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o2power.sharepoint.com/sites/O2PDMS/NewBusinesses/Shared Documents/Backup/"/>
    </mc:Choice>
  </mc:AlternateContent>
  <xr:revisionPtr revIDLastSave="0" documentId="13_ncr:1_{4EC78E7E-E87D-4038-B9FB-149B94B85053}" xr6:coauthVersionLast="47" xr6:coauthVersionMax="47" xr10:uidLastSave="{00000000-0000-0000-0000-000000000000}"/>
  <bookViews>
    <workbookView xWindow="-110" yWindow="-110" windowWidth="19420" windowHeight="11500" tabRatio="896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r:id="rId9"/>
    <sheet name="Plant_BD" sheetId="27" r:id="rId10"/>
    <sheet name="Grid_BD" sheetId="24" r:id="rId11"/>
    <sheet name="Curtailment Records" sheetId="42" r:id="rId12"/>
    <sheet name="Inv_SY_B" sheetId="35" r:id="rId13"/>
    <sheet name="Inv_SY_D" sheetId="36" r:id="rId14"/>
    <sheet name="Inv_PR" sheetId="41" r:id="rId15"/>
    <sheet name="MC" sheetId="30" r:id="rId16"/>
    <sheet name="Wet MC " sheetId="32" r:id="rId17"/>
    <sheet name="GC" sheetId="31" r:id="rId18"/>
    <sheet name="Basic Data" sheetId="22" r:id="rId19"/>
  </sheets>
  <definedNames>
    <definedName name="_xlnm._FilterDatabase" localSheetId="18" hidden="1">'Basic Data'!$N$1:$V$727</definedName>
  </definedNames>
  <calcPr calcId="191028"/>
  <pivotCaches>
    <pivotCache cacheId="1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7" l="1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G33" i="27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H32" i="27"/>
  <c r="H33" i="27"/>
  <c r="R30" i="27"/>
  <c r="R31" i="27"/>
  <c r="T31" i="27" s="1"/>
  <c r="R32" i="27"/>
  <c r="T32" i="27" s="1"/>
  <c r="R33" i="27"/>
  <c r="T33" i="27" s="1"/>
  <c r="R34" i="27"/>
  <c r="R35" i="27"/>
  <c r="T35" i="27" s="1"/>
  <c r="R36" i="27"/>
  <c r="S30" i="27"/>
  <c r="S31" i="27"/>
  <c r="S32" i="27"/>
  <c r="S33" i="27"/>
  <c r="S34" i="27"/>
  <c r="S35" i="27"/>
  <c r="S36" i="27"/>
  <c r="T36" i="27" s="1"/>
  <c r="T30" i="27"/>
  <c r="T34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R29" i="27"/>
  <c r="T29" i="27" s="1"/>
  <c r="U29" i="27" s="1"/>
  <c r="AL29" i="27" s="1"/>
  <c r="R37" i="27"/>
  <c r="R38" i="27"/>
  <c r="R39" i="27"/>
  <c r="T39" i="27" s="1"/>
  <c r="R40" i="27"/>
  <c r="T40" i="27" s="1"/>
  <c r="R41" i="27"/>
  <c r="T41" i="27" s="1"/>
  <c r="R42" i="27"/>
  <c r="T42" i="27" s="1"/>
  <c r="R43" i="27"/>
  <c r="T43" i="27" s="1"/>
  <c r="R44" i="27"/>
  <c r="T44" i="27" s="1"/>
  <c r="S29" i="27"/>
  <c r="S37" i="27"/>
  <c r="S38" i="27"/>
  <c r="S39" i="27"/>
  <c r="S40" i="27"/>
  <c r="S41" i="27"/>
  <c r="S42" i="27"/>
  <c r="S43" i="27"/>
  <c r="S44" i="27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H45" i="27"/>
  <c r="R45" i="27"/>
  <c r="S45" i="27"/>
  <c r="T45" i="27"/>
  <c r="U45" i="27" s="1"/>
  <c r="AD45" i="27"/>
  <c r="AE45" i="27"/>
  <c r="AF45" i="27"/>
  <c r="AG45" i="27"/>
  <c r="Z37" i="37"/>
  <c r="V37" i="37"/>
  <c r="J37" i="37"/>
  <c r="L37" i="37"/>
  <c r="F37" i="37"/>
  <c r="E37" i="37"/>
  <c r="D37" i="37"/>
  <c r="C37" i="37"/>
  <c r="B37" i="37"/>
  <c r="A36" i="37"/>
  <c r="C36" i="37"/>
  <c r="D36" i="37"/>
  <c r="E36" i="37" s="1"/>
  <c r="X36" i="37" s="1"/>
  <c r="Z36" i="37" s="1"/>
  <c r="L36" i="37" s="1"/>
  <c r="I36" i="37"/>
  <c r="O36" i="37" s="1"/>
  <c r="V36" i="37"/>
  <c r="Q2" i="42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R109" i="27"/>
  <c r="R110" i="27"/>
  <c r="U35" i="27" l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AL3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P36" i="37"/>
  <c r="K36" i="37"/>
  <c r="F36" i="37"/>
  <c r="R5" i="42"/>
  <c r="R6" i="42"/>
  <c r="R2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R111" i="27"/>
  <c r="S111" i="27"/>
  <c r="AD111" i="27"/>
  <c r="AE111" i="27"/>
  <c r="AF111" i="27"/>
  <c r="AG111" i="27"/>
  <c r="C112" i="27"/>
  <c r="D112" i="27"/>
  <c r="G112" i="27"/>
  <c r="H112" i="27"/>
  <c r="K112" i="27"/>
  <c r="R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R113" i="27" l="1"/>
  <c r="R114" i="27"/>
  <c r="S113" i="27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V35" i="3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8" i="41" l="1"/>
  <c r="C25" i="35"/>
  <c r="B9" i="41" l="1"/>
  <c r="C25" i="9"/>
  <c r="C24" i="9"/>
  <c r="C22" i="9"/>
  <c r="C21" i="9"/>
  <c r="B10" i="41" l="1"/>
  <c r="C1" i="8"/>
  <c r="B11" i="41" l="1"/>
  <c r="K4" i="8"/>
  <c r="I4" i="8"/>
  <c r="B12" i="41" l="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AL465" i="27" l="1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U4" i="39" l="1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O32" i="29"/>
  <c r="P32" i="29"/>
  <c r="Q32" i="29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R177" i="27"/>
  <c r="S177" i="27"/>
  <c r="AD177" i="27"/>
  <c r="AE177" i="27"/>
  <c r="AF177" i="27"/>
  <c r="AG177" i="27"/>
  <c r="K176" i="27"/>
  <c r="G176" i="27"/>
  <c r="C176" i="27"/>
  <c r="D176" i="27"/>
  <c r="R176" i="27"/>
  <c r="S176" i="27"/>
  <c r="AD176" i="27"/>
  <c r="AE176" i="27"/>
  <c r="AF176" i="27"/>
  <c r="AG176" i="27"/>
  <c r="K174" i="27"/>
  <c r="K175" i="27"/>
  <c r="G175" i="27"/>
  <c r="C175" i="27"/>
  <c r="D175" i="27"/>
  <c r="R175" i="27"/>
  <c r="S175" i="27"/>
  <c r="AD175" i="27"/>
  <c r="AE175" i="27"/>
  <c r="AF175" i="27"/>
  <c r="AG175" i="27"/>
  <c r="G174" i="27"/>
  <c r="C174" i="27"/>
  <c r="D174" i="27"/>
  <c r="R174" i="27"/>
  <c r="T174" i="27" s="1"/>
  <c r="U174" i="27" s="1"/>
  <c r="S174" i="27"/>
  <c r="AD174" i="27"/>
  <c r="AE174" i="27"/>
  <c r="AF174" i="27"/>
  <c r="AG174" i="27"/>
  <c r="K173" i="27"/>
  <c r="G173" i="27"/>
  <c r="C173" i="27"/>
  <c r="D173" i="27"/>
  <c r="R173" i="27"/>
  <c r="T173" i="27" s="1"/>
  <c r="S173" i="27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R172" i="27"/>
  <c r="S172" i="27"/>
  <c r="AD172" i="27"/>
  <c r="AE172" i="27"/>
  <c r="AF172" i="27"/>
  <c r="AG172" i="27"/>
  <c r="C169" i="27"/>
  <c r="C170" i="27"/>
  <c r="C171" i="27"/>
  <c r="D169" i="27"/>
  <c r="D170" i="27"/>
  <c r="D171" i="27"/>
  <c r="R169" i="27"/>
  <c r="T169" i="27" s="1"/>
  <c r="R170" i="27"/>
  <c r="R171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R167" i="27"/>
  <c r="T167" i="27" s="1"/>
  <c r="R168" i="27"/>
  <c r="T168" i="27" s="1"/>
  <c r="S167" i="27"/>
  <c r="S168" i="27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R166" i="27"/>
  <c r="T166" i="27" s="1"/>
  <c r="S166" i="27"/>
  <c r="AD166" i="27"/>
  <c r="AE166" i="27"/>
  <c r="AF166" i="27"/>
  <c r="AG166" i="27"/>
  <c r="C165" i="27"/>
  <c r="D165" i="27"/>
  <c r="R165" i="27"/>
  <c r="T165" i="27" s="1"/>
  <c r="S165" i="27"/>
  <c r="AD165" i="27"/>
  <c r="AE165" i="27"/>
  <c r="AF165" i="27"/>
  <c r="AG165" i="27"/>
  <c r="O30" i="29"/>
  <c r="P30" i="29"/>
  <c r="Q30" i="29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R140" i="27"/>
  <c r="S140" i="27"/>
  <c r="AD140" i="27"/>
  <c r="AE140" i="27"/>
  <c r="AF140" i="27"/>
  <c r="AG140" i="27"/>
  <c r="O29" i="29"/>
  <c r="P29" i="29"/>
  <c r="Q29" i="29"/>
  <c r="H140" i="27" l="1"/>
  <c r="T140" i="27"/>
  <c r="U140" i="27" s="1"/>
  <c r="AL140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80" i="27"/>
  <c r="C79" i="27"/>
  <c r="D79" i="27"/>
  <c r="H79" i="27"/>
  <c r="K79" i="27"/>
  <c r="H2" i="35" l="1"/>
  <c r="G25" i="35"/>
  <c r="K77" i="27"/>
  <c r="K78" i="27"/>
  <c r="AF69" i="27"/>
  <c r="AF70" i="27"/>
  <c r="AF71" i="27"/>
  <c r="I2" i="35" l="1"/>
  <c r="H25" i="35"/>
  <c r="C66" i="27"/>
  <c r="D66" i="27"/>
  <c r="H66" i="27"/>
  <c r="K66" i="27"/>
  <c r="R66" i="27"/>
  <c r="T66" i="27" s="1"/>
  <c r="S66" i="27"/>
  <c r="AD66" i="27"/>
  <c r="AE66" i="27"/>
  <c r="AF66" i="27"/>
  <c r="AG66" i="27"/>
  <c r="C67" i="27"/>
  <c r="D67" i="27"/>
  <c r="H67" i="27"/>
  <c r="K67" i="27"/>
  <c r="R67" i="27"/>
  <c r="S67" i="27"/>
  <c r="AD67" i="27"/>
  <c r="AE67" i="27"/>
  <c r="AF67" i="27"/>
  <c r="AG67" i="27"/>
  <c r="C68" i="27"/>
  <c r="D68" i="27"/>
  <c r="H68" i="27"/>
  <c r="K68" i="27"/>
  <c r="R68" i="27"/>
  <c r="S68" i="27"/>
  <c r="AD68" i="27"/>
  <c r="AE68" i="27"/>
  <c r="AF68" i="27"/>
  <c r="AG68" i="27"/>
  <c r="C69" i="27"/>
  <c r="D69" i="27"/>
  <c r="H69" i="27"/>
  <c r="K69" i="27"/>
  <c r="R69" i="27"/>
  <c r="T69" i="27" s="1"/>
  <c r="S69" i="27"/>
  <c r="AD69" i="27"/>
  <c r="AE69" i="27"/>
  <c r="AG69" i="27"/>
  <c r="C70" i="27"/>
  <c r="D70" i="27"/>
  <c r="H70" i="27"/>
  <c r="K70" i="27"/>
  <c r="R70" i="27"/>
  <c r="T70" i="27" s="1"/>
  <c r="S70" i="27"/>
  <c r="AD70" i="27"/>
  <c r="AE70" i="27"/>
  <c r="AG70" i="27"/>
  <c r="C71" i="27"/>
  <c r="D71" i="27"/>
  <c r="H71" i="27"/>
  <c r="K71" i="27"/>
  <c r="R71" i="27"/>
  <c r="T71" i="27" s="1"/>
  <c r="S71" i="27"/>
  <c r="AD71" i="27"/>
  <c r="AE71" i="27"/>
  <c r="AG71" i="27"/>
  <c r="C72" i="27"/>
  <c r="D72" i="27"/>
  <c r="H72" i="27"/>
  <c r="K72" i="27"/>
  <c r="R72" i="27"/>
  <c r="T72" i="27" s="1"/>
  <c r="S72" i="27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I25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R22" i="27"/>
  <c r="R23" i="27"/>
  <c r="R24" i="27"/>
  <c r="R25" i="27"/>
  <c r="R26" i="27"/>
  <c r="R27" i="27"/>
  <c r="R28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73" i="27"/>
  <c r="T73" i="27" s="1"/>
  <c r="R74" i="27"/>
  <c r="T74" i="27" s="1"/>
  <c r="R75" i="27"/>
  <c r="R76" i="27"/>
  <c r="R77" i="27"/>
  <c r="T77" i="27" s="1"/>
  <c r="R78" i="27"/>
  <c r="T78" i="27" s="1"/>
  <c r="R79" i="27"/>
  <c r="T79" i="27" s="1"/>
  <c r="R80" i="27"/>
  <c r="T80" i="27" s="1"/>
  <c r="R81" i="27"/>
  <c r="T81" i="27" s="1"/>
  <c r="R82" i="27"/>
  <c r="T82" i="27" s="1"/>
  <c r="R83" i="27"/>
  <c r="T83" i="27" s="1"/>
  <c r="R84" i="27"/>
  <c r="T84" i="27" s="1"/>
  <c r="R85" i="27"/>
  <c r="R86" i="27"/>
  <c r="R87" i="27"/>
  <c r="T87" i="27" s="1"/>
  <c r="R88" i="27"/>
  <c r="T88" i="27" s="1"/>
  <c r="R89" i="27"/>
  <c r="R90" i="27"/>
  <c r="T90" i="27" s="1"/>
  <c r="R91" i="27"/>
  <c r="T91" i="27" s="1"/>
  <c r="R92" i="27"/>
  <c r="T92" i="27" s="1"/>
  <c r="R93" i="27"/>
  <c r="T93" i="27" s="1"/>
  <c r="R94" i="27"/>
  <c r="T94" i="27" s="1"/>
  <c r="R95" i="27"/>
  <c r="R96" i="27"/>
  <c r="T96" i="27" s="1"/>
  <c r="R97" i="27"/>
  <c r="R98" i="27"/>
  <c r="T98" i="27" s="1"/>
  <c r="R99" i="27"/>
  <c r="T99" i="27" s="1"/>
  <c r="R100" i="27"/>
  <c r="T100" i="27" s="1"/>
  <c r="R101" i="27"/>
  <c r="T101" i="27" s="1"/>
  <c r="R102" i="27"/>
  <c r="T102" i="27" s="1"/>
  <c r="R103" i="27"/>
  <c r="T103" i="27" s="1"/>
  <c r="R104" i="27"/>
  <c r="T104" i="27" s="1"/>
  <c r="R105" i="27"/>
  <c r="R106" i="27"/>
  <c r="R107" i="27"/>
  <c r="R108" i="27"/>
  <c r="T108" i="27" s="1"/>
  <c r="T113" i="27"/>
  <c r="U113" i="27" s="1"/>
  <c r="R115" i="27"/>
  <c r="R116" i="27"/>
  <c r="R117" i="27"/>
  <c r="R118" i="27"/>
  <c r="R119" i="27"/>
  <c r="R120" i="27"/>
  <c r="R121" i="27"/>
  <c r="R122" i="27"/>
  <c r="R123" i="27"/>
  <c r="T123" i="27" s="1"/>
  <c r="R124" i="27"/>
  <c r="T124" i="27" s="1"/>
  <c r="R125" i="27"/>
  <c r="R126" i="27"/>
  <c r="R127" i="27"/>
  <c r="R128" i="27"/>
  <c r="R129" i="27"/>
  <c r="R130" i="27"/>
  <c r="R131" i="27"/>
  <c r="R132" i="27"/>
  <c r="T132" i="27" s="1"/>
  <c r="R133" i="27"/>
  <c r="T133" i="27" s="1"/>
  <c r="R134" i="27"/>
  <c r="T134" i="27" s="1"/>
  <c r="R135" i="27"/>
  <c r="T135" i="27" s="1"/>
  <c r="R136" i="27"/>
  <c r="T136" i="27" s="1"/>
  <c r="R137" i="27"/>
  <c r="R138" i="27"/>
  <c r="R139" i="27"/>
  <c r="R141" i="27"/>
  <c r="R142" i="27"/>
  <c r="R143" i="27"/>
  <c r="R144" i="27"/>
  <c r="R145" i="27"/>
  <c r="T145" i="27" s="1"/>
  <c r="R146" i="27"/>
  <c r="R147" i="27"/>
  <c r="R148" i="27"/>
  <c r="T148" i="27" s="1"/>
  <c r="R149" i="27"/>
  <c r="T149" i="27" s="1"/>
  <c r="R150" i="27"/>
  <c r="T150" i="27" s="1"/>
  <c r="R151" i="27"/>
  <c r="R152" i="27"/>
  <c r="T152" i="27" s="1"/>
  <c r="R153" i="27"/>
  <c r="R154" i="27"/>
  <c r="R155" i="27"/>
  <c r="T155" i="27" s="1"/>
  <c r="R156" i="27"/>
  <c r="T156" i="27" s="1"/>
  <c r="R157" i="27"/>
  <c r="R158" i="27"/>
  <c r="T158" i="27" s="1"/>
  <c r="R159" i="27"/>
  <c r="T159" i="27" s="1"/>
  <c r="R160" i="27"/>
  <c r="T160" i="27" s="1"/>
  <c r="R161" i="27"/>
  <c r="T161" i="27" s="1"/>
  <c r="R162" i="27"/>
  <c r="R163" i="27"/>
  <c r="T163" i="27" s="1"/>
  <c r="R164" i="27"/>
  <c r="T164" i="27" s="1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15" i="27"/>
  <c r="S116" i="27"/>
  <c r="S117" i="27"/>
  <c r="S118" i="27"/>
  <c r="S119" i="27"/>
  <c r="S120" i="27"/>
  <c r="S121" i="27"/>
  <c r="S122" i="27"/>
  <c r="S123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S149" i="27"/>
  <c r="S150" i="27"/>
  <c r="S151" i="27"/>
  <c r="S152" i="27"/>
  <c r="S153" i="27"/>
  <c r="S154" i="27"/>
  <c r="S155" i="27"/>
  <c r="S156" i="27"/>
  <c r="S157" i="27"/>
  <c r="S158" i="27"/>
  <c r="S159" i="27"/>
  <c r="S160" i="27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162" i="27" l="1"/>
  <c r="T115" i="27"/>
  <c r="U115" i="27" s="1"/>
  <c r="AL115" i="27" s="1"/>
  <c r="T95" i="27"/>
  <c r="J25" i="35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T5" i="27"/>
  <c r="U57" i="27" l="1"/>
  <c r="AL57" i="27" s="1"/>
  <c r="U58" i="27"/>
  <c r="AL58" i="27" s="1"/>
  <c r="U59" i="27"/>
  <c r="AL59" i="27" s="1"/>
  <c r="U56" i="27"/>
  <c r="AL56" i="27" s="1"/>
  <c r="C24" i="36"/>
  <c r="D24" i="36"/>
  <c r="E24" i="36"/>
  <c r="F24" i="36"/>
  <c r="G24" i="36"/>
  <c r="H24" i="36"/>
  <c r="I24" i="36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G36" i="37" s="1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I37" i="37" l="1"/>
  <c r="G20" i="37"/>
  <c r="H36" i="37"/>
  <c r="Q36" i="37" s="1"/>
  <c r="M36" i="37"/>
  <c r="N36" i="37"/>
  <c r="R36" i="37" s="1"/>
  <c r="F10" i="7"/>
  <c r="H10" i="7" s="1"/>
  <c r="F4" i="7"/>
  <c r="H4" i="7" s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D11" i="9"/>
  <c r="D26" i="9" s="1"/>
  <c r="D14" i="9"/>
  <c r="D4" i="8"/>
  <c r="D10" i="7"/>
  <c r="N10" i="7" s="1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K12" i="37"/>
  <c r="B339" i="30"/>
  <c r="D338" i="30"/>
  <c r="G338" i="30"/>
  <c r="H338" i="30" s="1"/>
  <c r="C338" i="30"/>
  <c r="B340" i="32"/>
  <c r="C339" i="32"/>
  <c r="D339" i="32"/>
  <c r="G339" i="32"/>
  <c r="H339" i="32" s="1"/>
  <c r="O37" i="37" l="1"/>
  <c r="G37" i="37"/>
  <c r="N4" i="7"/>
  <c r="H4" i="8"/>
  <c r="N10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N4" i="8" l="1"/>
  <c r="M37" i="37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X12" i="37" l="1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L11" i="37"/>
  <c r="P11" i="37" l="1"/>
  <c r="P37" i="37" s="1"/>
  <c r="N11" i="37"/>
  <c r="N37" i="37" s="1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28" i="27" s="1"/>
  <c r="AJ428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46" i="27" s="1"/>
  <c r="AJ446" i="27" s="1"/>
  <c r="R25" i="22"/>
  <c r="R7" i="22"/>
  <c r="R22" i="22"/>
  <c r="R53" i="22"/>
  <c r="R65" i="22"/>
  <c r="R12" i="22"/>
  <c r="R27" i="22"/>
  <c r="V41" i="27" s="1"/>
  <c r="AJ41" i="27" s="1"/>
  <c r="R239" i="22"/>
  <c r="R704" i="22"/>
  <c r="R55" i="22"/>
  <c r="V378" i="27" s="1"/>
  <c r="AJ378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31" i="27" s="1"/>
  <c r="AJ231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415" i="27" s="1"/>
  <c r="AJ415" i="27" s="1"/>
  <c r="R50" i="22"/>
  <c r="R14" i="22"/>
  <c r="R45" i="22"/>
  <c r="R17" i="22"/>
  <c r="R4" i="22"/>
  <c r="R19" i="22"/>
  <c r="V57" i="27" s="1"/>
  <c r="AJ57" i="27" s="1"/>
  <c r="R664" i="22"/>
  <c r="R167" i="22"/>
  <c r="R41" i="22"/>
  <c r="R37" i="22"/>
  <c r="R11" i="22"/>
  <c r="R34" i="22"/>
  <c r="R59" i="22"/>
  <c r="R687" i="22"/>
  <c r="R31" i="22"/>
  <c r="R108" i="22"/>
  <c r="R26" i="22"/>
  <c r="R726" i="22"/>
  <c r="R713" i="22"/>
  <c r="R672" i="22"/>
  <c r="R98" i="22"/>
  <c r="V449" i="27" s="1"/>
  <c r="AJ449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40" i="27" s="1"/>
  <c r="AJ440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V44" i="27" s="1"/>
  <c r="AJ44" i="27" s="1"/>
  <c r="R47" i="22"/>
  <c r="R62" i="22"/>
  <c r="R58" i="22"/>
  <c r="R29" i="22"/>
  <c r="R52" i="22"/>
  <c r="R49" i="22"/>
  <c r="V411" i="27" s="1"/>
  <c r="AJ411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27" i="27" s="1"/>
  <c r="AJ427" i="27" s="1"/>
  <c r="R145" i="22"/>
  <c r="R209" i="22"/>
  <c r="R273" i="22"/>
  <c r="R680" i="22"/>
  <c r="R166" i="22"/>
  <c r="R223" i="22"/>
  <c r="R310" i="22"/>
  <c r="R707" i="22"/>
  <c r="R175" i="22"/>
  <c r="R361" i="22"/>
  <c r="R71" i="22"/>
  <c r="V195" i="27" s="1"/>
  <c r="AJ195" i="27" s="1"/>
  <c r="R24" i="22"/>
  <c r="R21" i="22"/>
  <c r="R44" i="22"/>
  <c r="R205" i="22"/>
  <c r="R184" i="22"/>
  <c r="R312" i="22"/>
  <c r="R666" i="22"/>
  <c r="R89" i="22"/>
  <c r="V381" i="27" s="1"/>
  <c r="AJ381" i="27" s="1"/>
  <c r="R217" i="22"/>
  <c r="R347" i="22"/>
  <c r="R720" i="22"/>
  <c r="R191" i="22"/>
  <c r="R688" i="22"/>
  <c r="R238" i="22"/>
  <c r="R16" i="22"/>
  <c r="R46" i="22"/>
  <c r="R36" i="22"/>
  <c r="R51" i="22"/>
  <c r="R138" i="22"/>
  <c r="R155" i="22"/>
  <c r="R701" i="22"/>
  <c r="R236" i="22"/>
  <c r="R366" i="22"/>
  <c r="R93" i="22"/>
  <c r="V384" i="27" s="1"/>
  <c r="AJ384" i="27" s="1"/>
  <c r="R221" i="22"/>
  <c r="R72" i="22"/>
  <c r="V450" i="27" s="1"/>
  <c r="AJ450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308" i="27" s="1"/>
  <c r="AJ308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83" i="27" s="1"/>
  <c r="AJ383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V45" i="27" s="1"/>
  <c r="AJ45" i="27" s="1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31" i="27" s="1"/>
  <c r="AJ431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K37" i="37"/>
  <c r="V142" i="27"/>
  <c r="AJ142" i="27" s="1"/>
  <c r="V124" i="27"/>
  <c r="AJ124" i="27" s="1"/>
  <c r="J4" i="29"/>
  <c r="T4" i="29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47" i="27"/>
  <c r="V82" i="27"/>
  <c r="V63" i="27"/>
  <c r="J2" i="29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T28" i="29"/>
  <c r="T9" i="29"/>
  <c r="T29" i="29"/>
  <c r="AJ151" i="27"/>
  <c r="AJ79" i="27"/>
  <c r="AJ114" i="27"/>
  <c r="AJ158" i="27"/>
  <c r="T25" i="29"/>
  <c r="AJ80" i="27"/>
  <c r="AJ144" i="27"/>
  <c r="AJ113" i="27"/>
  <c r="AJ76" i="27"/>
  <c r="AJ115" i="27"/>
  <c r="AJ141" i="27"/>
  <c r="AJ46" i="27"/>
  <c r="T11" i="29"/>
  <c r="AJ86" i="27"/>
  <c r="AJ19" i="27"/>
  <c r="AJ4" i="27"/>
  <c r="AJ137" i="27"/>
  <c r="AJ125" i="27"/>
  <c r="AJ16" i="27"/>
  <c r="T16" i="29"/>
  <c r="AJ145" i="27"/>
  <c r="AJ6" i="27"/>
  <c r="T30" i="29"/>
  <c r="AJ116" i="27"/>
  <c r="AJ83" i="27"/>
  <c r="AJ81" i="27"/>
  <c r="AJ122" i="27"/>
  <c r="AJ48" i="27"/>
  <c r="T6" i="29"/>
  <c r="AJ136" i="27"/>
  <c r="AJ7" i="27"/>
  <c r="AJ155" i="27"/>
  <c r="AJ52" i="27"/>
  <c r="AJ50" i="27"/>
  <c r="AJ127" i="27"/>
  <c r="AJ5" i="27"/>
  <c r="AJ129" i="27"/>
  <c r="AJ98" i="27"/>
  <c r="AJ73" i="27"/>
  <c r="T5" i="29"/>
  <c r="T22" i="29"/>
  <c r="AJ51" i="27"/>
  <c r="AJ108" i="27"/>
  <c r="AJ156" i="27"/>
  <c r="AJ148" i="27"/>
  <c r="AJ143" i="27"/>
  <c r="AJ105" i="27"/>
  <c r="AJ71" i="27"/>
  <c r="AJ69" i="27"/>
  <c r="AJ60" i="27"/>
  <c r="T7" i="29"/>
  <c r="AJ101" i="27"/>
  <c r="AJ84" i="27"/>
  <c r="AJ85" i="27"/>
  <c r="AJ14" i="27"/>
  <c r="AJ132" i="27"/>
  <c r="AJ119" i="27"/>
  <c r="T3" i="29"/>
  <c r="AJ15" i="27"/>
  <c r="T18" i="29"/>
  <c r="AJ61" i="27"/>
  <c r="AJ8" i="27"/>
  <c r="AJ3" i="27"/>
  <c r="AJ90" i="27"/>
  <c r="AJ157" i="27"/>
  <c r="T13" i="29"/>
  <c r="T10" i="29"/>
  <c r="AJ9" i="27"/>
  <c r="AJ89" i="27"/>
  <c r="AJ17" i="27"/>
  <c r="AJ49" i="27"/>
  <c r="AJ27" i="27"/>
  <c r="AJ91" i="27"/>
  <c r="AJ47" i="27"/>
  <c r="T21" i="29"/>
  <c r="AJ149" i="27"/>
  <c r="AJ153" i="27"/>
  <c r="T23" i="29"/>
  <c r="AJ72" i="27"/>
  <c r="AL72" i="27" s="1"/>
  <c r="O49" i="38" s="1"/>
  <c r="AJ87" i="27"/>
  <c r="AJ75" i="27"/>
  <c r="AJ97" i="27"/>
  <c r="AJ107" i="27"/>
  <c r="AJ106" i="27"/>
  <c r="T26" i="29"/>
  <c r="AJ10" i="27"/>
  <c r="T15" i="29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T14" i="29"/>
  <c r="AJ62" i="27"/>
  <c r="AJ139" i="27"/>
  <c r="AJ64" i="27"/>
  <c r="T19" i="29"/>
  <c r="T20" i="29"/>
  <c r="T8" i="29"/>
  <c r="AJ100" i="27"/>
  <c r="AJ99" i="27"/>
  <c r="T12" i="29"/>
  <c r="T27" i="29"/>
  <c r="AJ104" i="27"/>
  <c r="AJ11" i="27"/>
  <c r="AJ135" i="27"/>
  <c r="AJ121" i="27"/>
  <c r="T24" i="29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T17" i="29"/>
  <c r="AJ77" i="27"/>
  <c r="AJ146" i="27"/>
  <c r="AJ28" i="27"/>
  <c r="AJ74" i="27"/>
  <c r="AJ22" i="27"/>
  <c r="AJ126" i="27"/>
  <c r="AJ66" i="27"/>
  <c r="T2" i="29"/>
  <c r="AJ63" i="27"/>
  <c r="AJ82" i="27"/>
  <c r="AJ147" i="27"/>
  <c r="D24" i="9" l="1"/>
  <c r="E24" i="9" s="1"/>
  <c r="D25" i="9"/>
  <c r="E25" i="9" s="1"/>
  <c r="T131" i="27"/>
  <c r="T130" i="27"/>
  <c r="H16" i="37" l="1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H6" i="37"/>
  <c r="Q6" i="37" s="1"/>
  <c r="H37" i="37"/>
  <c r="Q37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R37" i="37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<sst xmlns="http://schemas.openxmlformats.org/spreadsheetml/2006/main" count="6318" uniqueCount="772">
  <si>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</si>
  <si>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</si>
  <si>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</si>
  <si>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</si>
  <si>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</si>
  <si>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</si>
  <si>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</si>
  <si>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</si>
  <si>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</si>
  <si>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</si>
  <si>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</si>
  <si>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</si>
  <si>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</si>
  <si>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</si>
  <si>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</si>
  <si>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</si>
  <si>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</si>
  <si>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</si>
  <si>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</si>
  <si>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</si>
  <si>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</si>
  <si>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</si>
  <si>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</si>
  <si>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</si>
  <si>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</si>
  <si>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</si>
  <si>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</si>
  <si>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</si>
  <si>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</si>
  <si>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</si>
  <si>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</si>
  <si>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</si>
  <si>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</si>
  <si>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</si>
  <si>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</si>
  <si>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</si>
  <si>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</si>
  <si>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</si>
  <si>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</si>
  <si>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</si>
  <si>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</si>
  <si>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</si>
  <si>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</si>
  <si>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</si>
  <si>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</si>
  <si>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</si>
  <si>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</si>
  <si>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</si>
  <si>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</si>
  <si>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</si>
  <si>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</si>
  <si>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</si>
  <si>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</si>
  <si>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</si>
  <si>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</si>
  <si>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</si>
  <si>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</si>
  <si>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</si>
  <si>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</si>
  <si>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</si>
  <si>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</si>
  <si>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</si>
  <si>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</si>
  <si>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</si>
  <si>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</si>
  <si>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</si>
  <si>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</si>
  <si>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</si>
  <si>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</si>
  <si>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</si>
  <si>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</si>
  <si>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</si>
  <si>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</si>
  <si>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</si>
  <si>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</si>
  <si>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</si>
  <si>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</si>
  <si>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</si>
  <si>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</si>
  <si>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</si>
  <si>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</si>
  <si>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</si>
  <si>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</si>
  <si>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</si>
  <si>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</si>
  <si>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</si>
  <si>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</si>
  <si>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</si>
  <si>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</si>
  <si>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</si>
  <si>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</si>
  <si>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</si>
  <si>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</si>
  <si>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</si>
  <si>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</si>
  <si>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</si>
  <si>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</si>
  <si>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</si>
  <si>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</si>
  <si>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</si>
  <si>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</si>
  <si>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</si>
  <si>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</si>
  <si>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</si>
  <si>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</si>
  <si>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</si>
  <si>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</si>
  <si>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</si>
  <si>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</si>
  <si>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</si>
  <si>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</si>
  <si>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</si>
  <si>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</si>
  <si>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</si>
  <si>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</si>
  <si>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</si>
  <si>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</si>
  <si>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</si>
  <si>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</si>
  <si>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</si>
  <si>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</si>
  <si>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</si>
  <si>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</si>
  <si>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</si>
  <si>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</si>
  <si>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</si>
  <si>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</si>
  <si>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</si>
  <si>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</si>
  <si>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</si>
  <si>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</si>
  <si>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</si>
  <si>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</si>
  <si>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</si>
  <si>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</si>
  <si>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</si>
  <si>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</si>
  <si>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</si>
  <si>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</si>
  <si>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</si>
  <si>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</si>
  <si>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</si>
  <si>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</si>
  <si>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</si>
  <si>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</si>
  <si>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</si>
  <si>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</si>
  <si>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</si>
  <si>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</si>
  <si>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</si>
  <si>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</si>
  <si>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</si>
  <si>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</si>
  <si>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</si>
  <si>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</si>
  <si>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</si>
  <si>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</si>
  <si>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</si>
  <si>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</si>
  <si>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</si>
  <si>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</si>
  <si>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</si>
  <si>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</si>
  <si>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</si>
  <si>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</si>
  <si>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</si>
  <si>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</si>
  <si>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</si>
  <si>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</si>
  <si>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</si>
  <si>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</si>
  <si>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</si>
  <si>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</si>
  <si>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</si>
  <si>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</si>
  <si>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</si>
  <si>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</si>
  <si>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</si>
  <si>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</si>
  <si>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</si>
  <si>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</si>
  <si>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</si>
  <si>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</si>
  <si>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</si>
  <si>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</si>
  <si>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</si>
  <si>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</si>
  <si>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</si>
  <si>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</si>
  <si>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</si>
  <si>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</si>
  <si>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</si>
  <si>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</si>
  <si>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</si>
  <si>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</si>
  <si>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</si>
  <si>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</si>
  <si>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</si>
  <si>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</si>
  <si>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</si>
  <si>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</si>
  <si>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</si>
  <si>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</si>
  <si>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</si>
  <si>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</si>
  <si>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</si>
  <si>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</si>
  <si>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</si>
  <si>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</si>
  <si>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</si>
  <si>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</si>
  <si>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</si>
  <si>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</si>
  <si>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</si>
  <si>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</si>
  <si>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</si>
  <si>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</si>
  <si>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</si>
  <si>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</si>
  <si>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</si>
  <si>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</si>
  <si>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</si>
  <si>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</si>
  <si>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</si>
  <si>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</si>
  <si>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</si>
  <si>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</si>
  <si>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</si>
  <si>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</si>
  <si>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</si>
  <si>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</si>
  <si>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</si>
  <si>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</si>
  <si>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</si>
  <si>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</si>
  <si>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</si>
  <si>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</si>
  <si>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</si>
  <si>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</si>
  <si>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</si>
  <si>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</si>
  <si>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</si>
  <si>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</si>
  <si>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</si>
  <si>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</si>
  <si>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</si>
  <si>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</si>
  <si>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</si>
  <si>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</si>
  <si>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</si>
  <si>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</si>
  <si>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</si>
  <si>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</si>
  <si>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</si>
  <si>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</si>
  <si>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</si>
  <si>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</si>
  <si>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</si>
  <si>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</si>
  <si>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</si>
  <si>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</si>
  <si>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</si>
  <si>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</si>
  <si>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</si>
  <si>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</si>
  <si>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</si>
  <si>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</si>
  <si>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</si>
  <si>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</si>
  <si>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</si>
  <si>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</si>
  <si>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</si>
  <si>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</si>
  <si>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</si>
  <si>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</si>
  <si>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</si>
  <si>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</si>
  <si>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</si>
  <si>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</si>
  <si>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</si>
  <si>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</si>
  <si>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</si>
  <si>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</si>
  <si>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</si>
  <si>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</si>
  <si>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</si>
  <si>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</si>
  <si>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</si>
  <si>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</si>
  <si>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</si>
  <si>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</si>
  <si>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</si>
  <si>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</si>
  <si>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</si>
  <si>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</si>
  <si>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</si>
  <si>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ICOG Breaker triped due to HV winding tam. High</t>
  </si>
  <si>
    <t>Check the Protection relay, fault reset &amp; charge the breaker</t>
  </si>
  <si>
    <t>Close</t>
  </si>
  <si>
    <t>Inv2</t>
  </si>
  <si>
    <t>IS1</t>
  </si>
  <si>
    <t>ICOG Breaker triped Due to AC under voltage</t>
  </si>
  <si>
    <t>IS3</t>
  </si>
  <si>
    <t>IS4</t>
  </si>
  <si>
    <t>Inverter</t>
  </si>
  <si>
    <t>Inverter Trip Due to M_1 _1 Bus over voltage</t>
  </si>
  <si>
    <t xml:space="preserve">Check the field side all SCB's &amp; Inv Bus bar floting &amp; on the inverter </t>
  </si>
  <si>
    <t>MV Panel</t>
  </si>
  <si>
    <t>Due to inverter setting checking work</t>
  </si>
  <si>
    <t>Check the inverter setting &amp; turn On inverter</t>
  </si>
  <si>
    <t>Due to inverter setting Problem</t>
  </si>
  <si>
    <t>Inverter tripped due to grid voltage abnormal</t>
  </si>
  <si>
    <t>Reset the fault &amp; charge the inverter</t>
  </si>
  <si>
    <t>M1</t>
  </si>
  <si>
    <t>ICR-4 Inv-1 MPPT-1 tripped Due to Inductor Current abnormal</t>
  </si>
  <si>
    <t>Work in Progress</t>
  </si>
  <si>
    <t>M2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</si>
  <si>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</si>
  <si>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</si>
  <si>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</si>
  <si>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M3</t>
  </si>
  <si>
    <t>ICR-4 Inv-1 MPPT-3 tripped Due to M-1-1 square matrix insulation rasistance abnormal</t>
  </si>
  <si>
    <t>M4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</si>
  <si>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</si>
  <si>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</si>
  <si>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</si>
  <si>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SCB3</t>
  </si>
  <si>
    <t>Str_Typ2(550*29)</t>
  </si>
  <si>
    <t xml:space="preserve">String Fuses </t>
  </si>
  <si>
    <t>String fuse blown</t>
  </si>
  <si>
    <t>Fuse Replaced</t>
  </si>
  <si>
    <t>SCB6</t>
  </si>
  <si>
    <t>ICR-4 Inv-1 Replacment &amp; New one inverter installed</t>
  </si>
  <si>
    <t>Inverter Replacment work done</t>
  </si>
  <si>
    <t>ICR-4 IDT Tripped Due to Over Current</t>
  </si>
  <si>
    <t>ICR-4 Inv-1 Inverter Shutdown taken due to Inverter Parameter Checking</t>
  </si>
  <si>
    <t>Check the Parameter &amp; Turn on the Inverter</t>
  </si>
  <si>
    <t>SCB1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</si>
  <si>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</si>
  <si>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</si>
  <si>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</si>
  <si>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</si>
  <si>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</si>
  <si>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</si>
  <si>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SCB2</t>
  </si>
  <si>
    <t>PTR</t>
  </si>
  <si>
    <t>PTR Tripped dur to Under Voltage/Over Voltage</t>
  </si>
  <si>
    <t>Reset the fault &amp; charge the PTR</t>
  </si>
  <si>
    <t>Str_Typ2(550*58)</t>
  </si>
  <si>
    <t>Cables</t>
  </si>
  <si>
    <t>String Cable Open</t>
  </si>
  <si>
    <t>Connect the String Cable</t>
  </si>
  <si>
    <t>SCB4</t>
  </si>
  <si>
    <t>MC-4 Connector Open</t>
  </si>
  <si>
    <t>Connect the MC-4 Connector</t>
  </si>
  <si>
    <t>Y-Connector Damage</t>
  </si>
  <si>
    <t>Y-connector replaced</t>
  </si>
  <si>
    <t>Str_Typ1(545*58)</t>
  </si>
  <si>
    <t>Y-Connector open</t>
  </si>
  <si>
    <t>Y-Connector Connected</t>
  </si>
  <si>
    <t>JOB_622</t>
  </si>
  <si>
    <t>SCB5</t>
  </si>
  <si>
    <t>Y-Connector open &amp; MC-4 Connector damage</t>
  </si>
  <si>
    <t>Replace the MC-4 Connector</t>
  </si>
  <si>
    <t>JOB_623</t>
  </si>
  <si>
    <t xml:space="preserve">PTR Tripped due to HV REF fault &amp; MCR Incomer-1 Panel flashover Due low clearance between the panel body and B-phase VDI </t>
  </si>
  <si>
    <t>Panel busbar Position has been checked and adjusted post-flashover reseted the fault &amp; charge the trafo</t>
  </si>
  <si>
    <t xml:space="preserve">Panel busbar Position has been checked and adjusted post-flashover reseted the fault &amp; charge the trafo &amp; Inverter turned on late due to heavy rain. </t>
  </si>
  <si>
    <t>ICR-3 Inv-1 tripped Due to M-1-2 square matrix insulation rasistance abnormal</t>
  </si>
  <si>
    <t xml:space="preserve">6 Sq mm Positive &amp; Negative string cable ground fault  </t>
  </si>
  <si>
    <t>Replaced 40 mtr Posi &amp; 40 mtr. Neg 6 sq mm string cable &amp; Male &amp; Female MC-4 Connector</t>
  </si>
  <si>
    <t>JOB_671</t>
  </si>
  <si>
    <t>PTR Tripped Due To Over voltage/Under Voltage Protection</t>
  </si>
  <si>
    <t xml:space="preserve">Inspection the trafo, checking the relay setting, fault reset &amp; charge the breaker </t>
  </si>
  <si>
    <t>SCB</t>
  </si>
  <si>
    <t>Connectors</t>
  </si>
  <si>
    <t>Module</t>
  </si>
  <si>
    <t>Metering System Grid</t>
  </si>
  <si>
    <t>SCB7</t>
  </si>
  <si>
    <t>String fuse faulty</t>
  </si>
  <si>
    <t>Replaced the fuse</t>
  </si>
  <si>
    <t xml:space="preserve">ICR-04 Inv-01 MPPT-03 tripped due to Branch fan fault 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</si>
  <si>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</si>
  <si>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</si>
  <si>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</si>
  <si>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Replace the Branch fan, Reset the fault &amp; charge the inverter</t>
  </si>
  <si>
    <t>M-1_1 square matrix insulation resistance abnormal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</si>
  <si>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</si>
  <si>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</si>
  <si>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</si>
  <si>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</si>
  <si>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</si>
  <si>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</si>
  <si>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>Shutdown taken from 220 kv Grid side</t>
  </si>
  <si>
    <t>Charged the line after work completion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</si>
  <si>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</si>
  <si>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</si>
  <si>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</si>
  <si>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</si>
  <si>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</si>
  <si>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</si>
  <si>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</si>
  <si>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</si>
  <si>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</si>
  <si>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</si>
  <si>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</si>
  <si>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</si>
  <si>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</si>
  <si>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</si>
  <si>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</si>
  <si>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</si>
  <si>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</si>
  <si>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</si>
  <si>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</si>
  <si>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</si>
  <si>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</si>
  <si>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</si>
  <si>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</si>
  <si>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</si>
  <si>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</si>
  <si>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</si>
  <si>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</si>
  <si>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</si>
  <si>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</si>
  <si>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</si>
  <si>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</si>
  <si>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</si>
  <si>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</si>
  <si>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</si>
  <si>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</si>
  <si>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</si>
  <si>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</si>
  <si>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</si>
  <si>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</si>
  <si>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</si>
  <si>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</si>
  <si>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</si>
  <si>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</si>
  <si>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</si>
  <si>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</si>
  <si>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</si>
  <si>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</si>
  <si>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</si>
  <si>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</si>
  <si>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</si>
  <si>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</si>
  <si>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</si>
  <si>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</si>
  <si>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</si>
  <si>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</si>
  <si>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</si>
  <si>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</si>
  <si>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</si>
  <si>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</si>
  <si>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</si>
  <si>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</si>
  <si>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</si>
  <si>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</si>
  <si>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</si>
  <si>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</si>
  <si>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</si>
  <si>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</si>
  <si>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</si>
  <si>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</si>
  <si>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</si>
  <si>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</si>
  <si>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</si>
  <si>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</si>
  <si>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</si>
  <si>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</si>
  <si>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</si>
  <si>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</si>
  <si>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</si>
  <si>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</si>
  <si>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</si>
  <si>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</si>
  <si>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</si>
  <si>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</si>
  <si>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</si>
  <si>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</si>
  <si>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</si>
  <si>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</si>
  <si>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</si>
  <si>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</si>
  <si>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</si>
  <si>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</si>
  <si>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</si>
  <si>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</si>
  <si>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</si>
  <si>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</si>
  <si>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</si>
  <si>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</si>
  <si>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</si>
  <si>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</si>
  <si>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</si>
  <si>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</si>
  <si>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</si>
  <si>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</si>
  <si>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</si>
  <si>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</si>
  <si>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</si>
  <si>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</si>
  <si>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</si>
  <si>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</si>
  <si>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</si>
  <si>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</si>
  <si>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</si>
  <si>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</si>
  <si>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</si>
  <si>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</si>
  <si>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</si>
  <si>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</si>
  <si>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</si>
  <si>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</si>
  <si>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</si>
  <si>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</si>
  <si>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</si>
  <si>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</si>
  <si>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</si>
  <si>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</si>
  <si>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</si>
  <si>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</si>
  <si>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IS1Inv1M1</t>
  </si>
  <si>
    <t>Solar_F1</t>
  </si>
  <si>
    <t>Line1</t>
  </si>
  <si>
    <t>TX1</t>
  </si>
  <si>
    <t>Open</t>
  </si>
  <si>
    <t>STT</t>
  </si>
  <si>
    <t>F1</t>
  </si>
  <si>
    <t>Solar</t>
  </si>
  <si>
    <t>MVP</t>
  </si>
  <si>
    <t>IS1Inv1M2</t>
  </si>
  <si>
    <t>Expecetd DC Capcity</t>
  </si>
  <si>
    <t>Kores</t>
  </si>
  <si>
    <t>OG1</t>
  </si>
  <si>
    <t>Inv3</t>
  </si>
  <si>
    <t>Aux_Tx</t>
  </si>
  <si>
    <t>IS1Inv2M1</t>
  </si>
  <si>
    <t>Running DC Capcity</t>
  </si>
  <si>
    <t>Inv4</t>
  </si>
  <si>
    <t>MCR_MVP_SolarF1</t>
  </si>
  <si>
    <t>IS1Inv2M2</t>
  </si>
  <si>
    <t>MCR_MVP_SolarF2</t>
  </si>
  <si>
    <t>IS2Inv1M1</t>
  </si>
  <si>
    <t>MCR_MVP_SolarF3</t>
  </si>
  <si>
    <t>IS2Inv1M2</t>
  </si>
  <si>
    <t>MCR_MVP_SolarF4</t>
  </si>
  <si>
    <t>IS2Inv1M3</t>
  </si>
  <si>
    <t>SCB8</t>
  </si>
  <si>
    <t>Power_Tx1</t>
  </si>
  <si>
    <t>IS2Inv1M4</t>
  </si>
  <si>
    <t>SCB9</t>
  </si>
  <si>
    <t>Line_Bay1</t>
  </si>
  <si>
    <t>IS2Inv2M1</t>
  </si>
  <si>
    <t>Metering System Plant</t>
  </si>
  <si>
    <t>IS2Inv2M2</t>
  </si>
  <si>
    <t>Grid System</t>
  </si>
  <si>
    <t>IS2Inv2M3</t>
  </si>
  <si>
    <t>IS2Inv2M4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</si>
  <si>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</si>
  <si>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</si>
  <si>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</si>
  <si>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</si>
  <si>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</si>
  <si>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</si>
  <si>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</si>
  <si>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</si>
  <si>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</si>
  <si>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</si>
  <si>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</si>
  <si>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</si>
  <si>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</si>
  <si>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</si>
  <si>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</si>
  <si>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IS4Inv1M4</t>
  </si>
  <si>
    <t>Manual Stop</t>
  </si>
  <si>
    <t>IS4Inv2M1</t>
  </si>
  <si>
    <t>IS4Inv2M2</t>
  </si>
  <si>
    <t>IS4Inv2M3</t>
  </si>
  <si>
    <t>IS4Inv2M4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</si>
  <si>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</si>
  <si>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</si>
  <si>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</si>
  <si>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</si>
  <si>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</si>
  <si>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</si>
  <si>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</si>
  <si>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</si>
  <si>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</si>
  <si>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</si>
  <si>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</si>
  <si>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</si>
  <si>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</si>
  <si>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</si>
  <si>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</si>
  <si>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</si>
  <si>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</si>
  <si>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</si>
  <si>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</si>
  <si>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</si>
  <si>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</si>
  <si>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</si>
  <si>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</si>
  <si>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</si>
  <si>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</si>
  <si>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</si>
  <si>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</si>
  <si>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</si>
  <si>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</si>
  <si>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</si>
  <si>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</si>
  <si>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</si>
  <si>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</si>
  <si>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</si>
  <si>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</si>
  <si>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</si>
  <si>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</si>
  <si>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</si>
  <si>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</si>
  <si>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</si>
  <si>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</si>
  <si>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</si>
  <si>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</si>
  <si>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</si>
  <si>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</si>
  <si>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</si>
  <si>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</si>
  <si>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</si>
  <si>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</si>
  <si>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</si>
  <si>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</si>
  <si>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</si>
  <si>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</si>
  <si>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</si>
  <si>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</si>
  <si>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</si>
  <si>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</si>
  <si>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</si>
  <si>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</si>
  <si>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</si>
  <si>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</si>
  <si>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</si>
  <si>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</si>
  <si>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</si>
  <si>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</si>
  <si>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</si>
  <si>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</si>
  <si>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</si>
  <si>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</si>
  <si>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</si>
  <si>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</si>
  <si>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</si>
  <si>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</si>
  <si>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</si>
  <si>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</si>
  <si>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</si>
  <si>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</si>
  <si>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</si>
  <si>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</si>
  <si>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</si>
  <si>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</si>
  <si>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</si>
  <si>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</si>
  <si>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</si>
  <si>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</si>
  <si>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</si>
  <si>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</si>
  <si>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</si>
  <si>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</si>
  <si>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</si>
  <si>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</si>
  <si>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</si>
  <si>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</si>
  <si>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</si>
  <si>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</si>
  <si>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</si>
  <si>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</si>
  <si>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</si>
  <si>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</si>
  <si>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</si>
  <si>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</si>
  <si>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</si>
  <si>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</si>
  <si>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</si>
  <si>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</si>
  <si>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</si>
  <si>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</si>
  <si>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</si>
  <si>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</si>
  <si>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</si>
  <si>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</si>
  <si>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</si>
  <si>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</si>
  <si>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</si>
  <si>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</si>
  <si>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</si>
  <si>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</si>
  <si>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</si>
  <si>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</si>
  <si>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</si>
  <si>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</si>
  <si>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</si>
  <si>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</si>
  <si>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</si>
  <si>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</si>
  <si>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</si>
  <si>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</si>
  <si>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</si>
  <si>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</si>
  <si>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</si>
  <si>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</si>
  <si>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</si>
  <si>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</si>
  <si>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</si>
  <si>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</si>
  <si>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</si>
  <si>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</si>
  <si>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</si>
  <si>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</si>
  <si>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</si>
  <si>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</si>
  <si>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</si>
  <si>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</si>
  <si>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</si>
  <si>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</si>
  <si>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</si>
  <si>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</si>
  <si>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</si>
  <si>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</si>
  <si>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</si>
  <si>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</si>
  <si>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</si>
  <si>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</si>
  <si>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</si>
  <si>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</si>
  <si>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</si>
  <si>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</si>
  <si>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</si>
  <si>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</si>
  <si>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</si>
  <si>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</si>
  <si>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</si>
  <si>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</si>
  <si>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</si>
  <si>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</si>
  <si>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</si>
  <si>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</si>
  <si>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</si>
  <si>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</si>
  <si>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</si>
  <si>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</si>
  <si>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</si>
  <si>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</si>
  <si>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Ghatodi</t>
  </si>
  <si>
    <t>O/G Panel Tripped due to ICR-2 VCB Breaker Checking</t>
  </si>
  <si>
    <t>Check the ICR-2 breaker &amp; charge the O/G breaker panel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</si>
  <si>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</si>
  <si>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</si>
  <si>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</si>
  <si>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</si>
  <si>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</si>
  <si>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</si>
  <si>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</si>
  <si>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</si>
  <si>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</si>
  <si>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</si>
  <si>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>INV1</t>
  </si>
  <si>
    <t>INV2</t>
  </si>
  <si>
    <t>IDT Tripped Due To Over current /LS fault</t>
  </si>
  <si>
    <t>JOB_746</t>
  </si>
  <si>
    <t>Shutdown taken due to 220KV TL line Project Work</t>
  </si>
  <si>
    <t>JOB_762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</si>
</sst>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[$-409]mmm\-yy;@"/>
    <numFmt numFmtId="178" formatCode="[$-409]dd/mmm/yy;@"/>
    <numFmt numFmtId="179" formatCode="h:mm"/>
    <numFmt numFmtId="180" formatCode="d\-mmm\-yy"/>
  </numFmts>
  <fonts count="6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36" fillId="0" borderId="0" applyFont="0" applyFill="0" applyBorder="0" applyAlignment="0" applyProtection="0"/>
    <xf numFmtId="0" fontId="36" fillId="0" borderId="0"/>
    <xf numFmtId="0" fontId="33" fillId="0" borderId="0"/>
    <xf numFmtId="0" fontId="36" fillId="0" borderId="0"/>
    <xf numFmtId="0" fontId="36" fillId="0" borderId="0"/>
    <xf numFmtId="0" fontId="36" fillId="0" borderId="0"/>
    <xf numFmtId="0" fontId="34" fillId="0" borderId="0">
      <alignment vertical="center"/>
    </xf>
    <xf numFmtId="0" fontId="23" fillId="0" borderId="0"/>
    <xf numFmtId="0" fontId="36" fillId="0" borderId="0"/>
    <xf numFmtId="9" fontId="3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18" fillId="0" borderId="0"/>
    <xf numFmtId="0" fontId="38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48" applyNumberFormat="0" applyFill="0" applyAlignment="0" applyProtection="0"/>
    <xf numFmtId="0" fontId="42" fillId="0" borderId="49" applyNumberFormat="0" applyFill="0" applyAlignment="0" applyProtection="0"/>
    <xf numFmtId="0" fontId="43" fillId="0" borderId="50" applyNumberFormat="0" applyFill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20" borderId="0" applyNumberFormat="0" applyBorder="0" applyAlignment="0" applyProtection="0"/>
    <xf numFmtId="0" fontId="46" fillId="21" borderId="0" applyNumberFormat="0" applyBorder="0" applyAlignment="0" applyProtection="0"/>
    <xf numFmtId="0" fontId="47" fillId="22" borderId="51" applyNumberFormat="0" applyAlignment="0" applyProtection="0"/>
    <xf numFmtId="0" fontId="48" fillId="23" borderId="52" applyNumberFormat="0" applyAlignment="0" applyProtection="0"/>
    <xf numFmtId="0" fontId="49" fillId="23" borderId="51" applyNumberFormat="0" applyAlignment="0" applyProtection="0"/>
    <xf numFmtId="0" fontId="50" fillId="0" borderId="53" applyNumberFormat="0" applyFill="0" applyAlignment="0" applyProtection="0"/>
    <xf numFmtId="0" fontId="27" fillId="24" borderId="54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56" applyNumberFormat="0" applyFill="0" applyAlignment="0" applyProtection="0"/>
    <xf numFmtId="0" fontId="2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2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25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2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0" borderId="0"/>
    <xf numFmtId="0" fontId="14" fillId="25" borderId="55" applyNumberFormat="0" applyFont="0" applyAlignment="0" applyProtection="0"/>
    <xf numFmtId="0" fontId="13" fillId="0" borderId="0"/>
    <xf numFmtId="0" fontId="13" fillId="25" borderId="55" applyNumberFormat="0" applyFont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2" fillId="0" borderId="0"/>
    <xf numFmtId="0" fontId="12" fillId="25" borderId="55" applyNumberFormat="0" applyFont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0" fillId="0" borderId="0"/>
    <xf numFmtId="0" fontId="10" fillId="25" borderId="55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9" fillId="2" borderId="0" xfId="8" applyFont="1" applyFill="1" applyAlignment="1">
      <alignment horizontal="center" vertical="center" wrapText="1"/>
    </xf>
    <xf numFmtId="168" fontId="19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9" fillId="2" borderId="0" xfId="1" applyFont="1" applyFill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9" fillId="2" borderId="7" xfId="9" applyFont="1" applyFill="1" applyBorder="1" applyAlignment="1">
      <alignment horizontal="center" vertical="center" wrapText="1"/>
    </xf>
    <xf numFmtId="168" fontId="19" fillId="2" borderId="8" xfId="9" applyNumberFormat="1" applyFont="1" applyFill="1" applyBorder="1" applyAlignment="1">
      <alignment horizontal="center" vertical="center" wrapText="1"/>
    </xf>
    <xf numFmtId="0" fontId="19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19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9" fillId="2" borderId="14" xfId="8" applyFont="1" applyFill="1" applyBorder="1" applyAlignment="1">
      <alignment horizontal="center" vertical="center" wrapText="1"/>
    </xf>
    <xf numFmtId="0" fontId="19" fillId="2" borderId="15" xfId="8" applyFont="1" applyFill="1" applyBorder="1" applyAlignment="1">
      <alignment horizontal="center" vertical="center" wrapText="1"/>
    </xf>
    <xf numFmtId="168" fontId="19" fillId="2" borderId="15" xfId="8" applyNumberFormat="1" applyFont="1" applyFill="1" applyBorder="1" applyAlignment="1">
      <alignment horizontal="center" vertical="center" wrapText="1"/>
    </xf>
    <xf numFmtId="10" fontId="19" fillId="2" borderId="15" xfId="13" applyNumberFormat="1" applyFont="1" applyFill="1" applyBorder="1" applyAlignment="1">
      <alignment horizontal="center" vertical="center" wrapText="1"/>
    </xf>
    <xf numFmtId="10" fontId="19" fillId="2" borderId="16" xfId="13" applyNumberFormat="1" applyFont="1" applyFill="1" applyBorder="1" applyAlignment="1">
      <alignment horizontal="center" vertical="center" wrapText="1"/>
    </xf>
    <xf numFmtId="2" fontId="20" fillId="9" borderId="16" xfId="13" applyNumberFormat="1" applyFont="1" applyFill="1" applyBorder="1" applyAlignment="1">
      <alignment horizontal="center"/>
    </xf>
    <xf numFmtId="170" fontId="20" fillId="9" borderId="16" xfId="13" applyNumberFormat="1" applyFont="1" applyFill="1" applyBorder="1" applyAlignment="1">
      <alignment horizontal="center"/>
    </xf>
    <xf numFmtId="167" fontId="20" fillId="8" borderId="16" xfId="1" applyNumberFormat="1" applyFont="1" applyFill="1" applyBorder="1" applyAlignment="1">
      <alignment horizontal="center"/>
    </xf>
    <xf numFmtId="1" fontId="20" fillId="0" borderId="15" xfId="13" applyNumberFormat="1" applyFont="1" applyFill="1" applyBorder="1" applyAlignment="1">
      <alignment horizontal="center"/>
    </xf>
    <xf numFmtId="10" fontId="19" fillId="2" borderId="15" xfId="0" applyNumberFormat="1" applyFont="1" applyFill="1" applyBorder="1" applyAlignment="1">
      <alignment horizontal="center" vertical="center" wrapText="1"/>
    </xf>
    <xf numFmtId="10" fontId="20" fillId="0" borderId="15" xfId="2" applyNumberFormat="1" applyFont="1" applyFill="1" applyBorder="1" applyAlignment="1">
      <alignment horizontal="center"/>
    </xf>
    <xf numFmtId="2" fontId="20" fillId="0" borderId="0" xfId="0" applyNumberFormat="1" applyFont="1" applyAlignment="1">
      <alignment horizontal="center"/>
    </xf>
    <xf numFmtId="164" fontId="20" fillId="0" borderId="0" xfId="1" applyFont="1" applyFill="1" applyAlignment="1">
      <alignment horizontal="center"/>
    </xf>
    <xf numFmtId="171" fontId="20" fillId="8" borderId="17" xfId="0" applyNumberFormat="1" applyFont="1" applyFill="1" applyBorder="1" applyAlignment="1">
      <alignment horizontal="center"/>
    </xf>
    <xf numFmtId="1" fontId="20" fillId="7" borderId="17" xfId="13" applyNumberFormat="1" applyFont="1" applyFill="1" applyBorder="1" applyAlignment="1">
      <alignment horizontal="center"/>
    </xf>
    <xf numFmtId="170" fontId="20" fillId="9" borderId="18" xfId="13" applyNumberFormat="1" applyFont="1" applyFill="1" applyBorder="1" applyAlignment="1">
      <alignment horizontal="center"/>
    </xf>
    <xf numFmtId="170" fontId="20" fillId="9" borderId="15" xfId="13" applyNumberFormat="1" applyFont="1" applyFill="1" applyBorder="1" applyAlignment="1">
      <alignment horizontal="center"/>
    </xf>
    <xf numFmtId="167" fontId="20" fillId="8" borderId="14" xfId="1" applyNumberFormat="1" applyFont="1" applyFill="1" applyBorder="1" applyAlignment="1">
      <alignment horizontal="center"/>
    </xf>
    <xf numFmtId="0" fontId="20" fillId="8" borderId="17" xfId="0" applyFont="1" applyFill="1" applyBorder="1" applyAlignment="1">
      <alignment horizontal="center"/>
    </xf>
    <xf numFmtId="1" fontId="20" fillId="9" borderId="15" xfId="13" applyNumberFormat="1" applyFont="1" applyFill="1" applyBorder="1" applyAlignment="1">
      <alignment horizontal="center"/>
    </xf>
    <xf numFmtId="167" fontId="20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5" fillId="0" borderId="0" xfId="0" applyFont="1"/>
    <xf numFmtId="0" fontId="27" fillId="15" borderId="1" xfId="0" applyFont="1" applyFill="1" applyBorder="1" applyAlignment="1">
      <alignment vertical="center"/>
    </xf>
    <xf numFmtId="0" fontId="27" fillId="15" borderId="1" xfId="0" applyFont="1" applyFill="1" applyBorder="1" applyAlignment="1">
      <alignment horizontal="center" vertical="center" wrapText="1"/>
    </xf>
    <xf numFmtId="17" fontId="25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9" fillId="16" borderId="26" xfId="0" applyFont="1" applyFill="1" applyBorder="1"/>
    <xf numFmtId="171" fontId="30" fillId="8" borderId="27" xfId="6" applyNumberFormat="1" applyFont="1" applyFill="1" applyBorder="1" applyAlignment="1">
      <alignment horizontal="left" vertical="center"/>
    </xf>
    <xf numFmtId="171" fontId="30" fillId="8" borderId="27" xfId="6" applyNumberFormat="1" applyFont="1" applyFill="1" applyBorder="1" applyAlignment="1">
      <alignment vertical="center"/>
    </xf>
    <xf numFmtId="171" fontId="30" fillId="8" borderId="28" xfId="6" applyNumberFormat="1" applyFont="1" applyFill="1" applyBorder="1" applyAlignment="1">
      <alignment vertical="center"/>
    </xf>
    <xf numFmtId="168" fontId="30" fillId="8" borderId="27" xfId="6" applyNumberFormat="1" applyFont="1" applyFill="1" applyBorder="1" applyAlignment="1">
      <alignment horizontal="left" vertical="center"/>
    </xf>
    <xf numFmtId="0" fontId="29" fillId="16" borderId="29" xfId="0" applyFont="1" applyFill="1" applyBorder="1"/>
    <xf numFmtId="168" fontId="30" fillId="8" borderId="30" xfId="6" applyNumberFormat="1" applyFont="1" applyFill="1" applyBorder="1" applyAlignment="1">
      <alignment horizontal="left" vertical="center"/>
    </xf>
    <xf numFmtId="171" fontId="30" fillId="8" borderId="31" xfId="6" applyNumberFormat="1" applyFont="1" applyFill="1" applyBorder="1" applyAlignment="1">
      <alignment vertical="center"/>
    </xf>
    <xf numFmtId="171" fontId="30" fillId="8" borderId="32" xfId="6" applyNumberFormat="1" applyFont="1" applyFill="1" applyBorder="1" applyAlignment="1">
      <alignment vertical="center"/>
    </xf>
    <xf numFmtId="0" fontId="31" fillId="8" borderId="33" xfId="0" applyFont="1" applyFill="1" applyBorder="1"/>
    <xf numFmtId="168" fontId="32" fillId="8" borderId="33" xfId="6" applyNumberFormat="1" applyFont="1" applyFill="1" applyBorder="1" applyAlignment="1">
      <alignment horizontal="left" vertical="center"/>
    </xf>
    <xf numFmtId="0" fontId="29" fillId="16" borderId="34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center" wrapText="1"/>
    </xf>
    <xf numFmtId="0" fontId="31" fillId="8" borderId="38" xfId="0" applyFont="1" applyFill="1" applyBorder="1"/>
    <xf numFmtId="1" fontId="30" fillId="8" borderId="38" xfId="2" applyNumberFormat="1" applyFont="1" applyFill="1" applyBorder="1" applyAlignment="1">
      <alignment horizontal="center" vertical="center"/>
    </xf>
    <xf numFmtId="10" fontId="31" fillId="8" borderId="38" xfId="15" applyNumberFormat="1" applyFont="1" applyFill="1" applyBorder="1" applyAlignment="1">
      <alignment horizontal="center"/>
    </xf>
    <xf numFmtId="0" fontId="31" fillId="8" borderId="41" xfId="0" applyFont="1" applyFill="1" applyBorder="1"/>
    <xf numFmtId="1" fontId="30" fillId="8" borderId="41" xfId="2" applyNumberFormat="1" applyFont="1" applyFill="1" applyBorder="1" applyAlignment="1">
      <alignment horizontal="center" vertical="center"/>
    </xf>
    <xf numFmtId="1" fontId="31" fillId="8" borderId="41" xfId="2" applyNumberFormat="1" applyFont="1" applyFill="1" applyBorder="1" applyAlignment="1">
      <alignment horizontal="center"/>
    </xf>
    <xf numFmtId="10" fontId="31" fillId="8" borderId="41" xfId="15" applyNumberFormat="1" applyFont="1" applyFill="1" applyBorder="1" applyAlignment="1">
      <alignment horizontal="center"/>
    </xf>
    <xf numFmtId="0" fontId="31" fillId="8" borderId="42" xfId="0" applyFont="1" applyFill="1" applyBorder="1"/>
    <xf numFmtId="0" fontId="31" fillId="8" borderId="44" xfId="0" applyFont="1" applyFill="1" applyBorder="1"/>
    <xf numFmtId="1" fontId="30" fillId="8" borderId="44" xfId="2" applyNumberFormat="1" applyFont="1" applyFill="1" applyBorder="1" applyAlignment="1">
      <alignment horizontal="center" vertical="center"/>
    </xf>
    <xf numFmtId="1" fontId="31" fillId="8" borderId="44" xfId="2" applyNumberFormat="1" applyFont="1" applyFill="1" applyBorder="1" applyAlignment="1">
      <alignment horizontal="center"/>
    </xf>
    <xf numFmtId="10" fontId="31" fillId="8" borderId="44" xfId="15" applyNumberFormat="1" applyFont="1" applyFill="1" applyBorder="1" applyAlignment="1">
      <alignment horizontal="center"/>
    </xf>
    <xf numFmtId="166" fontId="30" fillId="8" borderId="38" xfId="2" applyNumberFormat="1" applyFont="1" applyFill="1" applyBorder="1" applyAlignment="1">
      <alignment horizontal="center" vertical="center"/>
    </xf>
    <xf numFmtId="166" fontId="31" fillId="8" borderId="38" xfId="2" applyNumberFormat="1" applyFont="1" applyFill="1" applyBorder="1" applyAlignment="1">
      <alignment horizontal="center"/>
    </xf>
    <xf numFmtId="166" fontId="30" fillId="8" borderId="41" xfId="2" applyNumberFormat="1" applyFont="1" applyFill="1" applyBorder="1" applyAlignment="1">
      <alignment horizontal="center" vertical="center"/>
    </xf>
    <xf numFmtId="166" fontId="31" fillId="8" borderId="41" xfId="2" applyNumberFormat="1" applyFont="1" applyFill="1" applyBorder="1" applyAlignment="1">
      <alignment horizontal="center"/>
    </xf>
    <xf numFmtId="166" fontId="30" fillId="8" borderId="44" xfId="2" applyNumberFormat="1" applyFont="1" applyFill="1" applyBorder="1" applyAlignment="1">
      <alignment horizontal="center" vertical="center"/>
    </xf>
    <xf numFmtId="166" fontId="31" fillId="8" borderId="44" xfId="2" applyNumberFormat="1" applyFont="1" applyFill="1" applyBorder="1" applyAlignment="1">
      <alignment horizontal="center"/>
    </xf>
    <xf numFmtId="173" fontId="24" fillId="10" borderId="20" xfId="10" applyNumberFormat="1" applyFont="1" applyFill="1" applyBorder="1" applyAlignment="1">
      <alignment horizontal="center" vertical="center"/>
    </xf>
    <xf numFmtId="170" fontId="20" fillId="17" borderId="46" xfId="13" applyNumberFormat="1" applyFont="1" applyFill="1" applyBorder="1" applyAlignment="1">
      <alignment horizontal="center"/>
    </xf>
    <xf numFmtId="0" fontId="54" fillId="2" borderId="10" xfId="8" applyFont="1" applyFill="1" applyBorder="1" applyAlignment="1">
      <alignment horizontal="center" vertical="center" wrapText="1"/>
    </xf>
    <xf numFmtId="168" fontId="54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55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20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9" fillId="2" borderId="0" xfId="8" applyFont="1" applyFill="1" applyAlignment="1">
      <alignment vertical="center" wrapText="1"/>
    </xf>
    <xf numFmtId="2" fontId="0" fillId="0" borderId="0" xfId="0" applyNumberFormat="1"/>
    <xf numFmtId="1" fontId="30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5" fillId="15" borderId="1" xfId="0" applyNumberFormat="1" applyFont="1" applyFill="1" applyBorder="1" applyAlignment="1">
      <alignment horizontal="center" vertical="center"/>
    </xf>
    <xf numFmtId="0" fontId="36" fillId="8" borderId="0" xfId="5" applyFill="1" applyAlignment="1">
      <alignment horizontal="center"/>
    </xf>
    <xf numFmtId="0" fontId="36" fillId="8" borderId="0" xfId="5" applyFill="1"/>
    <xf numFmtId="0" fontId="36" fillId="8" borderId="0" xfId="5" applyFill="1" applyAlignment="1">
      <alignment horizontal="right"/>
    </xf>
    <xf numFmtId="172" fontId="24" fillId="10" borderId="20" xfId="10" applyNumberFormat="1" applyFont="1" applyFill="1" applyBorder="1" applyAlignment="1">
      <alignment horizontal="center" vertical="center"/>
    </xf>
    <xf numFmtId="172" fontId="24" fillId="10" borderId="17" xfId="10" applyNumberFormat="1" applyFont="1" applyFill="1" applyBorder="1" applyAlignment="1">
      <alignment horizontal="center" vertical="center"/>
    </xf>
    <xf numFmtId="170" fontId="20" fillId="10" borderId="20" xfId="0" applyNumberFormat="1" applyFont="1" applyFill="1" applyBorder="1" applyAlignment="1">
      <alignment horizontal="center"/>
    </xf>
    <xf numFmtId="0" fontId="20" fillId="8" borderId="20" xfId="0" applyFont="1" applyFill="1" applyBorder="1" applyAlignment="1">
      <alignment horizontal="center"/>
    </xf>
    <xf numFmtId="171" fontId="20" fillId="8" borderId="20" xfId="0" applyNumberFormat="1" applyFont="1" applyFill="1" applyBorder="1" applyAlignment="1">
      <alignment horizontal="center"/>
    </xf>
    <xf numFmtId="170" fontId="20" fillId="10" borderId="20" xfId="13" applyNumberFormat="1" applyFont="1" applyFill="1" applyBorder="1" applyAlignment="1">
      <alignment horizontal="center"/>
    </xf>
    <xf numFmtId="1" fontId="20" fillId="0" borderId="20" xfId="13" applyNumberFormat="1" applyFont="1" applyFill="1" applyBorder="1" applyAlignment="1">
      <alignment horizontal="center"/>
    </xf>
    <xf numFmtId="173" fontId="24" fillId="10" borderId="17" xfId="10" applyNumberFormat="1" applyFont="1" applyFill="1" applyBorder="1" applyAlignment="1">
      <alignment horizontal="center" vertical="center"/>
    </xf>
    <xf numFmtId="1" fontId="20" fillId="11" borderId="21" xfId="13" applyNumberFormat="1" applyFont="1" applyFill="1" applyBorder="1" applyAlignment="1">
      <alignment horizontal="center"/>
    </xf>
    <xf numFmtId="1" fontId="20" fillId="0" borderId="20" xfId="0" applyNumberFormat="1" applyFont="1" applyBorder="1" applyAlignment="1">
      <alignment horizontal="center"/>
    </xf>
    <xf numFmtId="2" fontId="20" fillId="10" borderId="20" xfId="0" applyNumberFormat="1" applyFont="1" applyFill="1" applyBorder="1" applyAlignment="1">
      <alignment horizontal="center"/>
    </xf>
    <xf numFmtId="170" fontId="20" fillId="10" borderId="17" xfId="0" applyNumberFormat="1" applyFont="1" applyFill="1" applyBorder="1" applyAlignment="1">
      <alignment horizontal="center"/>
    </xf>
    <xf numFmtId="0" fontId="20" fillId="10" borderId="20" xfId="0" applyFont="1" applyFill="1" applyBorder="1" applyAlignment="1">
      <alignment horizontal="center"/>
    </xf>
    <xf numFmtId="174" fontId="20" fillId="10" borderId="20" xfId="0" applyNumberFormat="1" applyFont="1" applyFill="1" applyBorder="1" applyAlignment="1">
      <alignment horizontal="center"/>
    </xf>
    <xf numFmtId="175" fontId="20" fillId="10" borderId="20" xfId="0" applyNumberFormat="1" applyFont="1" applyFill="1" applyBorder="1" applyAlignment="1">
      <alignment vertical="center"/>
    </xf>
    <xf numFmtId="0" fontId="20" fillId="18" borderId="47" xfId="0" applyFont="1" applyFill="1" applyBorder="1" applyAlignment="1">
      <alignment horizontal="center"/>
    </xf>
    <xf numFmtId="175" fontId="20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20" fillId="7" borderId="16" xfId="13" applyNumberFormat="1" applyFont="1" applyFill="1" applyBorder="1" applyAlignment="1">
      <alignment horizontal="center"/>
    </xf>
    <xf numFmtId="1" fontId="20" fillId="7" borderId="18" xfId="13" applyNumberFormat="1" applyFont="1" applyFill="1" applyBorder="1" applyAlignment="1">
      <alignment horizontal="center"/>
    </xf>
    <xf numFmtId="1" fontId="20" fillId="7" borderId="15" xfId="13" applyNumberFormat="1" applyFont="1" applyFill="1" applyBorder="1" applyAlignment="1">
      <alignment horizontal="center"/>
    </xf>
    <xf numFmtId="1" fontId="20" fillId="7" borderId="0" xfId="13" applyNumberFormat="1" applyFont="1" applyFill="1" applyBorder="1" applyAlignment="1">
      <alignment horizontal="center"/>
    </xf>
    <xf numFmtId="1" fontId="20" fillId="7" borderId="62" xfId="13" applyNumberFormat="1" applyFont="1" applyFill="1" applyBorder="1" applyAlignment="1">
      <alignment horizontal="center"/>
    </xf>
    <xf numFmtId="173" fontId="24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2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2" fillId="52" borderId="0" xfId="0" applyNumberFormat="1" applyFont="1" applyFill="1" applyAlignment="1">
      <alignment horizontal="center"/>
    </xf>
    <xf numFmtId="0" fontId="22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31" fillId="8" borderId="40" xfId="0" applyFont="1" applyFill="1" applyBorder="1" applyAlignment="1">
      <alignment horizontal="center" vertical="center"/>
    </xf>
    <xf numFmtId="2" fontId="24" fillId="10" borderId="20" xfId="10" applyNumberFormat="1" applyFont="1" applyFill="1" applyBorder="1" applyAlignment="1">
      <alignment horizontal="center" vertical="center"/>
    </xf>
    <xf numFmtId="2" fontId="24" fillId="10" borderId="17" xfId="10" applyNumberFormat="1" applyFont="1" applyFill="1" applyBorder="1" applyAlignment="1">
      <alignment horizontal="center" vertical="center"/>
    </xf>
    <xf numFmtId="2" fontId="37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19" fillId="2" borderId="7" xfId="8" applyFont="1" applyFill="1" applyBorder="1" applyAlignment="1">
      <alignment horizontal="center" vertical="center" wrapText="1"/>
    </xf>
    <xf numFmtId="0" fontId="19" fillId="2" borderId="8" xfId="8" applyFont="1" applyFill="1" applyBorder="1" applyAlignment="1">
      <alignment horizontal="center" vertical="center" wrapText="1"/>
    </xf>
    <xf numFmtId="0" fontId="19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22" fillId="8" borderId="10" xfId="0" applyNumberFormat="1" applyFont="1" applyFill="1" applyBorder="1" applyAlignment="1">
      <alignment horizontal="center"/>
    </xf>
    <xf numFmtId="170" fontId="22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22" fillId="8" borderId="11" xfId="0" applyNumberFormat="1" applyFont="1" applyFill="1" applyBorder="1" applyAlignment="1">
      <alignment horizontal="center"/>
    </xf>
    <xf numFmtId="0" fontId="22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22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22" fillId="53" borderId="10" xfId="0" applyNumberFormat="1" applyFont="1" applyFill="1" applyBorder="1" applyAlignment="1">
      <alignment horizontal="center"/>
    </xf>
    <xf numFmtId="170" fontId="22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22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19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57" fillId="0" borderId="10" xfId="0" applyNumberFormat="1" applyFont="1" applyBorder="1" applyAlignment="1">
      <alignment horizontal="center"/>
    </xf>
    <xf numFmtId="166" fontId="57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4" fillId="0" borderId="0" xfId="4491" applyFont="1"/>
    <xf numFmtId="0" fontId="7" fillId="0" borderId="0" xfId="4491"/>
    <xf numFmtId="0" fontId="53" fillId="56" borderId="1" xfId="4491" applyFont="1" applyFill="1" applyBorder="1" applyAlignment="1">
      <alignment horizontal="center" vertical="center" wrapText="1"/>
    </xf>
    <xf numFmtId="0" fontId="53" fillId="0" borderId="0" xfId="4491" applyFont="1" applyAlignment="1">
      <alignment vertical="center"/>
    </xf>
    <xf numFmtId="172" fontId="7" fillId="8" borderId="1" xfId="4491" applyNumberFormat="1" applyFill="1" applyBorder="1" applyAlignment="1">
      <alignment horizontal="center" vertical="center"/>
    </xf>
    <xf numFmtId="0" fontId="7" fillId="8" borderId="1" xfId="4491" applyFill="1" applyBorder="1" applyAlignment="1">
      <alignment horizontal="center" vertical="center"/>
    </xf>
    <xf numFmtId="165" fontId="7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7" fillId="8" borderId="1" xfId="4491" applyNumberFormat="1" applyFill="1" applyBorder="1" applyAlignment="1">
      <alignment horizontal="center" vertical="center"/>
    </xf>
    <xf numFmtId="1" fontId="7" fillId="57" borderId="1" xfId="4491" applyNumberFormat="1" applyFill="1" applyBorder="1" applyAlignment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/>
    </xf>
    <xf numFmtId="10" fontId="20" fillId="8" borderId="1" xfId="4492" applyNumberFormat="1" applyFont="1" applyFill="1" applyBorder="1" applyAlignment="1" applyProtection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 wrapText="1"/>
    </xf>
    <xf numFmtId="176" fontId="7" fillId="0" borderId="1" xfId="4491" applyNumberFormat="1" applyBorder="1" applyAlignment="1">
      <alignment horizontal="center" vertical="center"/>
    </xf>
    <xf numFmtId="2" fontId="7" fillId="8" borderId="1" xfId="4491" applyNumberFormat="1" applyFill="1" applyBorder="1" applyAlignment="1">
      <alignment horizontal="center" vertical="center"/>
    </xf>
    <xf numFmtId="1" fontId="53" fillId="0" borderId="0" xfId="4491" applyNumberFormat="1" applyFont="1"/>
    <xf numFmtId="1" fontId="20" fillId="8" borderId="1" xfId="4491" applyNumberFormat="1" applyFont="1" applyFill="1" applyBorder="1" applyAlignment="1">
      <alignment horizontal="center"/>
    </xf>
    <xf numFmtId="0" fontId="7" fillId="0" borderId="0" xfId="4491" applyAlignment="1">
      <alignment horizontal="center" vertical="center"/>
    </xf>
    <xf numFmtId="0" fontId="53" fillId="0" borderId="4" xfId="4491" applyFont="1" applyBorder="1" applyAlignment="1">
      <alignment horizontal="left" vertical="center" wrapText="1"/>
    </xf>
    <xf numFmtId="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1" applyNumberFormat="1" applyFont="1" applyFill="1" applyBorder="1" applyAlignment="1">
      <alignment horizontal="center" vertical="center"/>
    </xf>
    <xf numFmtId="1" fontId="53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7" fillId="58" borderId="1" xfId="4491" applyNumberFormat="1" applyFill="1" applyBorder="1" applyAlignment="1">
      <alignment horizontal="center" vertical="center"/>
    </xf>
    <xf numFmtId="10" fontId="53" fillId="58" borderId="1" xfId="4492" applyNumberFormat="1" applyFont="1" applyFill="1" applyBorder="1" applyAlignment="1">
      <alignment horizontal="center" vertical="center"/>
    </xf>
    <xf numFmtId="0" fontId="53" fillId="58" borderId="1" xfId="4491" applyFont="1" applyFill="1" applyBorder="1" applyAlignment="1">
      <alignment horizontal="center" vertical="center"/>
    </xf>
    <xf numFmtId="1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2" applyNumberFormat="1" applyFont="1" applyFill="1" applyBorder="1" applyAlignment="1" applyProtection="1">
      <alignment horizontal="center" vertical="center"/>
    </xf>
    <xf numFmtId="0" fontId="53" fillId="0" borderId="0" xfId="4491" applyFont="1"/>
    <xf numFmtId="1" fontId="7" fillId="0" borderId="0" xfId="4491" applyNumberFormat="1"/>
    <xf numFmtId="9" fontId="0" fillId="0" borderId="0" xfId="4492" applyFont="1" applyProtection="1"/>
    <xf numFmtId="2" fontId="7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24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30" fillId="8" borderId="38" xfId="2" applyNumberFormat="1" applyFont="1" applyFill="1" applyBorder="1" applyAlignment="1">
      <alignment horizontal="center" vertical="center"/>
    </xf>
    <xf numFmtId="2" fontId="31" fillId="8" borderId="38" xfId="2" applyNumberFormat="1" applyFont="1" applyFill="1" applyBorder="1" applyAlignment="1">
      <alignment horizontal="center"/>
    </xf>
    <xf numFmtId="2" fontId="30" fillId="8" borderId="41" xfId="2" applyNumberFormat="1" applyFont="1" applyFill="1" applyBorder="1" applyAlignment="1">
      <alignment horizontal="center" vertical="center"/>
    </xf>
    <xf numFmtId="2" fontId="31" fillId="8" borderId="41" xfId="2" applyNumberFormat="1" applyFont="1" applyFill="1" applyBorder="1" applyAlignment="1">
      <alignment horizontal="center"/>
    </xf>
    <xf numFmtId="2" fontId="30" fillId="8" borderId="44" xfId="2" applyNumberFormat="1" applyFont="1" applyFill="1" applyBorder="1" applyAlignment="1">
      <alignment horizontal="center" vertical="center"/>
    </xf>
    <xf numFmtId="2" fontId="31" fillId="8" borderId="44" xfId="2" applyNumberFormat="1" applyFont="1" applyFill="1" applyBorder="1" applyAlignment="1">
      <alignment horizontal="center"/>
    </xf>
    <xf numFmtId="0" fontId="27" fillId="59" borderId="65" xfId="0" applyFont="1" applyFill="1" applyBorder="1" applyAlignment="1">
      <alignment horizontal="center" vertical="center" wrapText="1"/>
    </xf>
    <xf numFmtId="0" fontId="27" fillId="59" borderId="66" xfId="0" applyFont="1" applyFill="1" applyBorder="1" applyAlignment="1">
      <alignment horizontal="center" vertical="center" wrapText="1"/>
    </xf>
    <xf numFmtId="1" fontId="36" fillId="8" borderId="0" xfId="5" applyNumberFormat="1" applyFill="1"/>
    <xf numFmtId="168" fontId="19" fillId="0" borderId="67" xfId="4493" applyNumberFormat="1" applyFont="1" applyBorder="1" applyAlignment="1">
      <alignment horizontal="center" vertical="center" wrapText="1"/>
    </xf>
    <xf numFmtId="0" fontId="19" fillId="0" borderId="67" xfId="4493" applyFont="1" applyBorder="1" applyAlignment="1">
      <alignment horizontal="center" vertical="center" wrapText="1"/>
    </xf>
    <xf numFmtId="0" fontId="27" fillId="0" borderId="67" xfId="4494" applyFont="1" applyBorder="1" applyAlignment="1">
      <alignment horizontal="center" vertical="center" wrapText="1"/>
    </xf>
    <xf numFmtId="9" fontId="27" fillId="0" borderId="67" xfId="4495" applyFont="1" applyFill="1" applyBorder="1" applyAlignment="1">
      <alignment horizontal="center" vertical="center" wrapText="1"/>
    </xf>
    <xf numFmtId="0" fontId="6" fillId="0" borderId="0" xfId="4494"/>
    <xf numFmtId="15" fontId="6" fillId="0" borderId="0" xfId="4494" applyNumberFormat="1" applyAlignment="1">
      <alignment horizontal="center" vertical="center"/>
    </xf>
    <xf numFmtId="1" fontId="6" fillId="0" borderId="0" xfId="4494" applyNumberFormat="1" applyAlignment="1">
      <alignment horizontal="center" vertical="center"/>
    </xf>
    <xf numFmtId="0" fontId="6" fillId="0" borderId="0" xfId="4494" applyAlignment="1">
      <alignment horizontal="center" vertical="center"/>
    </xf>
    <xf numFmtId="17" fontId="6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7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6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7" fillId="0" borderId="68" xfId="4494" applyFont="1" applyBorder="1" applyAlignment="1">
      <alignment horizontal="center" vertical="center" wrapText="1"/>
    </xf>
    <xf numFmtId="0" fontId="27" fillId="0" borderId="68" xfId="4493" applyFont="1" applyBorder="1" applyAlignment="1">
      <alignment horizontal="center" vertical="center" wrapText="1"/>
    </xf>
    <xf numFmtId="2" fontId="6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6" fillId="0" borderId="69" xfId="4494" applyBorder="1" applyAlignment="1">
      <alignment horizontal="center" vertical="center"/>
    </xf>
    <xf numFmtId="2" fontId="6" fillId="0" borderId="70" xfId="4494" applyNumberFormat="1" applyBorder="1" applyAlignment="1">
      <alignment horizontal="center" vertical="center"/>
    </xf>
    <xf numFmtId="165" fontId="6" fillId="0" borderId="69" xfId="4494" applyNumberFormat="1" applyBorder="1" applyAlignment="1">
      <alignment horizontal="center" vertical="center"/>
    </xf>
    <xf numFmtId="1" fontId="6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6" fillId="0" borderId="69" xfId="4494" applyNumberFormat="1" applyBorder="1" applyAlignment="1">
      <alignment horizontal="center" vertical="center"/>
    </xf>
    <xf numFmtId="0" fontId="20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6" fillId="0" borderId="70" xfId="4494" applyBorder="1" applyAlignment="1">
      <alignment horizontal="center" vertical="center"/>
    </xf>
    <xf numFmtId="165" fontId="6" fillId="0" borderId="70" xfId="4494" applyNumberFormat="1" applyBorder="1" applyAlignment="1">
      <alignment horizontal="center" vertical="center"/>
    </xf>
    <xf numFmtId="1" fontId="6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20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71" fontId="30" fillId="8" borderId="27" xfId="6" applyNumberFormat="1" applyFont="1" applyFill="1" applyBorder="1" applyAlignment="1" applyProtection="1">
      <alignment horizontal="left" vertical="center"/>
      <protection locked="0"/>
    </xf>
    <xf numFmtId="168" fontId="30" fillId="8" borderId="27" xfId="6" applyNumberFormat="1" applyFont="1" applyFill="1" applyBorder="1" applyAlignment="1" applyProtection="1">
      <alignment horizontal="left" vertical="center"/>
      <protection locked="0"/>
    </xf>
    <xf numFmtId="1" fontId="31" fillId="8" borderId="39" xfId="0" applyNumberFormat="1" applyFont="1" applyFill="1" applyBorder="1" applyProtection="1">
      <protection locked="0"/>
    </xf>
    <xf numFmtId="0" fontId="31" fillId="8" borderId="42" xfId="0" applyFont="1" applyFill="1" applyBorder="1" applyProtection="1">
      <protection locked="0"/>
    </xf>
    <xf numFmtId="0" fontId="31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1" fontId="67" fillId="7" borderId="20" xfId="0" applyNumberFormat="1" applyFont="1" applyFill="1" applyBorder="1" applyAlignment="1">
      <alignment horizontal="center"/>
    </xf>
    <xf numFmtId="0" fontId="5" fillId="5" borderId="10" xfId="0" applyFont="1" applyFill="1" applyBorder="1"/>
    <xf numFmtId="10" fontId="5" fillId="8" borderId="1" xfId="4492" applyNumberFormat="1" applyFont="1" applyFill="1" applyBorder="1" applyAlignment="1" applyProtection="1">
      <alignment horizontal="center" vertical="center"/>
    </xf>
    <xf numFmtId="15" fontId="5" fillId="5" borderId="10" xfId="0" applyNumberFormat="1" applyFont="1" applyFill="1" applyBorder="1"/>
    <xf numFmtId="0" fontId="5" fillId="5" borderId="11" xfId="0" applyFont="1" applyFill="1" applyBorder="1" applyAlignment="1">
      <alignment horizontal="left"/>
    </xf>
    <xf numFmtId="0" fontId="5" fillId="5" borderId="11" xfId="0" applyFont="1" applyFill="1" applyBorder="1"/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17" borderId="57" xfId="0" applyFont="1" applyFill="1" applyBorder="1" applyAlignment="1">
      <alignment horizontal="center"/>
    </xf>
    <xf numFmtId="0" fontId="5" fillId="17" borderId="60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0" applyFont="1"/>
    <xf numFmtId="0" fontId="53" fillId="0" borderId="72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4" fillId="8" borderId="20" xfId="1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/>
    </xf>
    <xf numFmtId="180" fontId="0" fillId="5" borderId="10" xfId="0" applyNumberFormat="1" applyFill="1" applyBorder="1"/>
    <xf numFmtId="166" fontId="68" fillId="0" borderId="10" xfId="14" applyNumberFormat="1" applyFont="1" applyBorder="1" applyAlignment="1">
      <alignment horizontal="center"/>
    </xf>
    <xf numFmtId="179" fontId="0" fillId="5" borderId="10" xfId="0" applyNumberFormat="1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8" fillId="16" borderId="23" xfId="0" applyFont="1" applyFill="1" applyBorder="1" applyAlignment="1">
      <alignment horizontal="center" vertical="center"/>
    </xf>
    <xf numFmtId="0" fontId="28" fillId="16" borderId="24" xfId="0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31" fillId="8" borderId="37" xfId="0" applyFont="1" applyFill="1" applyBorder="1" applyAlignment="1">
      <alignment horizontal="center" vertical="center"/>
    </xf>
    <xf numFmtId="0" fontId="31" fillId="8" borderId="40" xfId="0" applyFont="1" applyFill="1" applyBorder="1" applyAlignment="1">
      <alignment horizontal="center" vertical="center"/>
    </xf>
    <xf numFmtId="0" fontId="31" fillId="8" borderId="43" xfId="0" applyFont="1" applyFill="1" applyBorder="1" applyAlignment="1">
      <alignment horizontal="center" vertical="center"/>
    </xf>
    <xf numFmtId="0" fontId="63" fillId="54" borderId="64" xfId="4491" applyFont="1" applyFill="1" applyBorder="1" applyAlignment="1">
      <alignment horizontal="center" wrapText="1"/>
    </xf>
    <xf numFmtId="0" fontId="63" fillId="54" borderId="3" xfId="4491" applyFont="1" applyFill="1" applyBorder="1" applyAlignment="1">
      <alignment horizontal="center" wrapText="1"/>
    </xf>
    <xf numFmtId="0" fontId="63" fillId="54" borderId="1" xfId="4491" applyFont="1" applyFill="1" applyBorder="1" applyAlignment="1">
      <alignment horizontal="center" wrapText="1"/>
    </xf>
    <xf numFmtId="0" fontId="53" fillId="3" borderId="1" xfId="4491" applyFont="1" applyFill="1" applyBorder="1" applyAlignment="1">
      <alignment horizontal="center" vertical="center" wrapText="1"/>
    </xf>
    <xf numFmtId="0" fontId="53" fillId="55" borderId="1" xfId="4491" applyFont="1" applyFill="1" applyBorder="1" applyAlignment="1">
      <alignment horizontal="center" vertical="center" wrapText="1"/>
    </xf>
    <xf numFmtId="0" fontId="53" fillId="56" borderId="1" xfId="4491" applyFont="1" applyFill="1" applyBorder="1" applyAlignment="1">
      <alignment horizontal="center" vertical="center"/>
    </xf>
    <xf numFmtId="0" fontId="53" fillId="56" borderId="1" xfId="4491" applyFont="1" applyFill="1" applyBorder="1" applyAlignment="1">
      <alignment horizontal="center" vertical="center" wrapText="1"/>
    </xf>
    <xf numFmtId="0" fontId="53" fillId="56" borderId="5" xfId="4491" applyFont="1" applyFill="1" applyBorder="1" applyAlignment="1">
      <alignment horizontal="center" vertical="center" wrapText="1"/>
    </xf>
    <xf numFmtId="0" fontId="53" fillId="56" borderId="2" xfId="4491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28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8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9" formatCode="h:mm"/>
    </dxf>
    <dxf>
      <numFmt numFmtId="179" formatCode="h:mm"/>
    </dxf>
    <dxf>
      <numFmt numFmtId="179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8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1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9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26" totalsRowDxfId="423" headerRowBorderDxfId="425" tableBorderDxfId="424" totalsRowBorderDxfId="422">
  <autoFilter ref="A1:AS369" xr:uid="{3B203726-2095-49D8-A694-A659B4A14C0A}"/>
  <tableColumns count="45">
    <tableColumn id="1" xr3:uid="{D8F43D09-E9EF-492A-8B18-9C6B1B51FE7E}" name="Date" dataDxfId="421" totalsRowDxfId="420" dataCellStyle="Normal 53"/>
    <tableColumn id="2" xr3:uid="{17FC98E2-BDD5-4486-BD76-3D5D87865F92}" name="Financial Year" dataDxfId="419" totalsRowDxfId="418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417" totalsRowDxfId="416" dataCellStyle="Normal 53">
      <calculatedColumnFormula>YEAR(Daily_KPI[[#This Row],[Date]])</calculatedColumnFormula>
    </tableColumn>
    <tableColumn id="4" xr3:uid="{2B289273-3195-4091-9C3B-7DC79BD968F6}" name="Month Year" dataDxfId="415" totalsRowDxfId="414" dataCellStyle="Normal 53">
      <calculatedColumnFormula>Daily_KPI[[#This Row],[Date]]-DAY(Daily_KPI[[#This Row],[Date]])+1</calculatedColumnFormula>
    </tableColumn>
    <tableColumn id="5" xr3:uid="{2E8F6039-834D-4861-95D1-2773BF17DB35}" name="Days" dataDxfId="413" totalsRowDxfId="412" dataCellStyle="Normal 53">
      <calculatedColumnFormula>DAY(EOMONTH(A2,0))</calculatedColumnFormula>
    </tableColumn>
    <tableColumn id="6" xr3:uid="{2B2E1685-F7D2-488E-8999-3968E84156D4}" name="Operating Hours" dataDxfId="411" dataCellStyle="Percent 43">
      <calculatedColumnFormula>IFERROR(_xlfn.XLOOKUP($A2,Input_Raw!$A:$A,Input_Raw!$AR:$AR),"")</calculatedColumnFormula>
    </tableColumn>
    <tableColumn id="7" xr3:uid="{BB172904-0855-403C-9785-E2E72275913F}" name="GHI-UP (KWh/m2)" dataDxfId="410" totalsRowDxfId="409" dataCellStyle="Percent 43">
      <calculatedColumnFormula>IFERROR(_xlfn.XLOOKUP($A2,Input_Raw!$A:$A,Input_Raw!$R:$R),"")</calculatedColumnFormula>
    </tableColumn>
    <tableColumn id="8" xr3:uid="{1D298A56-ACFA-4B3A-9AF0-2791ED986CA9}" name="GHI-Down(KWh/m2)" dataDxfId="408" dataCellStyle="Percent 43"/>
    <tableColumn id="9" xr3:uid="{4B1A15FE-C4D7-4557-A738-808A73058227}" name="POA-UP(KWh/m2)" dataDxfId="407" dataCellStyle="Percent 43">
      <calculatedColumnFormula>IFERROR(_xlfn.XLOOKUP($A2,Input_Raw!$A:$A,Input_Raw!$Q:$Q),"")</calculatedColumnFormula>
    </tableColumn>
    <tableColumn id="10" xr3:uid="{42BC900C-A2A4-4428-BF92-9B23950FB86F}" name="POA-Down(KWh/m2)" dataDxfId="406" dataCellStyle="Percent 43"/>
    <tableColumn id="11" xr3:uid="{EF96AFDB-2CD2-4E15-A8BC-B1157332BA8B}" name="Amb_Temp(°C)" dataDxfId="405" totalsRowDxfId="404" dataCellStyle="Percent 43">
      <calculatedColumnFormula>IFERROR(_xlfn.XLOOKUP($A2,Input_Raw!$A:$A,Input_Raw!S:S),"")</calculatedColumnFormula>
    </tableColumn>
    <tableColumn id="12" xr3:uid="{5EA4A231-A5DB-44EE-976F-59154562FF32}" name="Mod_Temp(°C)" dataDxfId="403" totalsRowDxfId="402" dataCellStyle="Percent 43">
      <calculatedColumnFormula>IFERROR(_xlfn.XLOOKUP($A2,Input_Raw!$A:$A,Input_Raw!T:T),"")</calculatedColumnFormula>
    </tableColumn>
    <tableColumn id="13" xr3:uid="{E56A5D16-2FE8-48C7-8C59-3BE99F8CA22E}" name="WS_Avg(m/s)" dataDxfId="401" totalsRowDxfId="400" dataCellStyle="Percent 43">
      <calculatedColumnFormula>IFERROR(_xlfn.XLOOKUP($A2,Input_Raw!$A:$A,Input_Raw!W:W),"")</calculatedColumnFormula>
    </tableColumn>
    <tableColumn id="14" xr3:uid="{1DD13536-3979-4DD1-8C35-B5B151179AB8}" name="WS_Max(m/s)" dataDxfId="399" totalsRowDxfId="398" dataCellStyle="Percent 43">
      <calculatedColumnFormula>IFERROR(_xlfn.XLOOKUP($A2,Input_Raw!$A:$A,Input_Raw!X:X),"")</calculatedColumnFormula>
    </tableColumn>
    <tableColumn id="15" xr3:uid="{43E0263C-1183-41AE-8413-D19F0955271B}" name="PA(%)" dataDxfId="397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96" dataCellStyle="Percent 43"/>
    <tableColumn id="17" xr3:uid="{F877BA75-B99B-4EBE-B99C-48AAA8F1F7BF}" name="IGA (%)" dataDxfId="395" dataCellStyle="Percent 43"/>
    <tableColumn id="18" xr3:uid="{B694AB7F-0F5F-4FE8-B38A-9779B5428942}" name="EGA(%)" dataDxfId="394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93" totalsRowDxfId="392" dataCellStyle="Normal 53"/>
    <tableColumn id="20" xr3:uid="{1C269C4E-6A8A-4DB3-A00A-ED411454B262}" name="TA (%)" dataDxfId="391" dataCellStyle="Percent 43"/>
    <tableColumn id="21" xr3:uid="{DCC3850E-4204-4E68-8D6F-645780C9D339}" name="PR(%)" dataDxfId="390" totalsRowDxfId="389" dataCellStyle="Percent 43">
      <calculatedColumnFormula>IFERROR(AA2/I2/AB2/1000,"")</calculatedColumnFormula>
    </tableColumn>
    <tableColumn id="22" xr3:uid="{7079FA34-F3FA-4CD8-AE69-4E7A8CF786F0}" name="WPR(%)" dataDxfId="388" totalsRowDxfId="387" dataCellStyle="Percent 43">
      <calculatedColumnFormula>IFERROR(_xlfn.XLOOKUP($A2,Input_Raw!$A:$A,Input_Raw!$AX:$AX),"")</calculatedColumnFormula>
    </tableColumn>
    <tableColumn id="23" xr3:uid="{CBA846E4-4CAD-46D1-A973-A2211A9AF6A9}" name="CUF(%)" dataDxfId="386" totalsRowDxfId="385" dataCellStyle="Percent 43">
      <calculatedColumnFormula>IFERROR(AA2/(24*AR2*1000),"")</calculatedColumnFormula>
    </tableColumn>
    <tableColumn id="24" xr3:uid="{339615D8-1F63-42DD-8F61-80222A13D46C}" name="Gen_Exp (kWh)" dataDxfId="384" totalsRowDxfId="383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82" totalsRowDxfId="381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80" totalsRowDxfId="379" dataCellStyle="Normal 53"/>
    <tableColumn id="27" xr3:uid="{3E7D8E07-78D2-4CAB-9A27-CF9B233BB249}" name="Mtr_Net_Exp (KWh)" dataDxfId="378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77" totalsRowDxfId="376" dataCellStyle="Normal 53">
      <calculatedColumnFormula>IFERROR(_xlfn.XLOOKUP($A2,Input_Raw!$A:$A,Input_Raw!$AU:$AU),"")</calculatedColumnFormula>
    </tableColumn>
    <tableColumn id="29" xr3:uid="{F9E936EF-EF1C-4383-B702-9D6B1145456A}" name="Bugt_Resource" dataDxfId="375" totalsRowDxfId="374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73" totalsRowDxfId="372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71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70" totalsRowDxfId="369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68" totalsRowDxfId="367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66" totalsRowDxfId="365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64" totalsRowDxfId="363" dataCellStyle="Normal 53"/>
    <tableColumn id="34" xr3:uid="{C1B98A55-20AF-41F5-A0DD-62F5917DFF6C}" name="Actual Energy WPR" dataDxfId="362" totalsRowDxfId="361" dataCellStyle="Normal 53"/>
    <tableColumn id="35" xr3:uid="{0F415FE2-3355-4A39-864D-10A3B9AD00B2}" name="RA (%)" dataDxfId="360" totalsRowDxfId="359" dataCellStyle="Normal 53"/>
    <tableColumn id="36" xr3:uid="{7F0215CE-D966-4BB9-A2F5-194B742D9668}" name="Mod Clean Dry (Num)" dataDxfId="358" totalsRowDxfId="357" dataCellStyle="Normal 53"/>
    <tableColumn id="37" xr3:uid="{622C5A19-6374-4807-8449-89760E2B7C31}" name="Mod Clean Wet (Num)" dataDxfId="356" totalsRowDxfId="355" dataCellStyle="Normal 53"/>
    <tableColumn id="38" xr3:uid="{D2AC8764-A512-4CD0-A35D-231510801658}" name="Line Loss(%)" dataDxfId="354" totalsRowDxfId="353" dataCellStyle="Percent 35"/>
    <tableColumn id="39" xr3:uid="{E7436573-76F7-48B3-81E1-F30EAF57FBDA}" name="Reactive Power (%)" dataDxfId="352" dataCellStyle="Percent 43"/>
    <tableColumn id="40" xr3:uid="{FF479CD8-0D5E-4BE6-A0E2-BB1E1B7164C4}" name="Bugt Line loss (%) (Wind)" dataDxfId="351" totalsRowDxfId="350" dataCellStyle="Percent 43"/>
    <tableColumn id="41" xr3:uid="{58D82606-FF12-460A-9A29-89E7B21AE63E}" name="Bugt Reactive Power (%) (Wind)" dataDxfId="349" totalsRowDxfId="348" dataCellStyle="Percent 43"/>
    <tableColumn id="45" xr3:uid="{15860610-292F-4778-A5C5-C1990BC7593F}" name="Bugt Capacity" dataDxfId="347" totalsRowDxfId="346" dataCellStyle="Normal 53">
      <calculatedColumnFormula>_xlfn.XLOOKUP($D2,'Modelling New'!$D:$D,'Modelling New'!$N:$N)</calculatedColumnFormula>
    </tableColumn>
    <tableColumn id="44" xr3:uid="{CC97D97F-F96A-4265-A37C-3718C9660706}" name="CC*Bugt" dataDxfId="345" totalsRowDxfId="344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43" dataCellStyle="Normal 27">
      <calculatedColumnFormula>A4+1</calculatedColumnFormula>
    </tableColumn>
    <tableColumn id="1" xr3:uid="{00000000-0010-0000-0100-000001000000}" name="Finacial Year" dataDxfId="342">
      <calculatedColumnFormula>YEAR(RD[[#This Row],[Date]])+IF(MONTH(RD[[#This Row],[Date]])&gt;=4,1,0)</calculatedColumnFormula>
    </tableColumn>
    <tableColumn id="2" xr3:uid="{00000000-0010-0000-0100-000002000000}" name="Calendor Year" dataDxfId="341">
      <calculatedColumnFormula>YEAR(RD[[#This Row],[Date]])</calculatedColumnFormula>
    </tableColumn>
    <tableColumn id="3" xr3:uid="{00000000-0010-0000-0100-000003000000}" name="Month Year" dataDxfId="340">
      <calculatedColumnFormula>A5-DAY(A5)+1</calculatedColumnFormula>
    </tableColumn>
    <tableColumn id="4" xr3:uid="{00000000-0010-0000-0100-000004000000}" name="Days" dataDxfId="339">
      <calculatedColumnFormula>DAY(EOMONTH(RD[[#This Row],[Date]],0))</calculatedColumnFormula>
    </tableColumn>
    <tableColumn id="149" xr3:uid="{00000000-0010-0000-0100-000095000000}" name="Sunrise Time (POA&gt;20 W/m2)" dataDxfId="338"/>
    <tableColumn id="148" xr3:uid="{00000000-0010-0000-0100-000094000000}" name="Sunset Time (POA&lt;20 W/m2)" dataDxfId="337"/>
    <tableColumn id="125" xr3:uid="{00000000-0010-0000-0100-00007D000000}" name="IS1Inv1" dataDxfId="336"/>
    <tableColumn id="129" xr3:uid="{00000000-0010-0000-0100-000081000000}" name="IS1Inv2" dataDxfId="335"/>
    <tableColumn id="130" xr3:uid="{00000000-0010-0000-0100-000082000000}" name="IS2Inv1" dataDxfId="334"/>
    <tableColumn id="132" xr3:uid="{00000000-0010-0000-0100-000084000000}" name="IS2Inv2" dataDxfId="333"/>
    <tableColumn id="116" xr3:uid="{00000000-0010-0000-0100-000074000000}" name="IS3Inv1" dataDxfId="332"/>
    <tableColumn id="21" xr3:uid="{00000000-0010-0000-0100-000015000000}" name="IS4Inv1" dataDxfId="331"/>
    <tableColumn id="121" xr3:uid="{00000000-0010-0000-0100-000079000000}" name="IS4Inv2" dataDxfId="330"/>
    <tableColumn id="113" xr3:uid="{00000000-0010-0000-0100-000071000000}" name="IS15_Inv1_M1" dataDxfId="329"/>
    <tableColumn id="118" xr3:uid="{00000000-0010-0000-0100-000076000000}" name="IS15_Inv1_M2" dataDxfId="328"/>
    <tableColumn id="134" xr3:uid="{00000000-0010-0000-0100-000086000000}" name="POA_UP_IS1 (KWh/m2)" dataDxfId="327"/>
    <tableColumn id="135" xr3:uid="{00000000-0010-0000-0100-000087000000}" name="GHI_UP_IS1 (KWh/m2)" dataDxfId="326"/>
    <tableColumn id="137" xr3:uid="{00000000-0010-0000-0100-000089000000}" name="AT_IS1 (°C)" dataDxfId="325"/>
    <tableColumn id="138" xr3:uid="{00000000-0010-0000-0100-00008A000000}" name="MT_IS1 (°C)" dataDxfId="324"/>
    <tableColumn id="139" xr3:uid="{00000000-0010-0000-0100-00008B000000}" name="RH_IS1 (%)" dataDxfId="323" dataCellStyle="Percent 2"/>
    <tableColumn id="140" xr3:uid="{00000000-0010-0000-0100-00008C000000}" name="Rain_IS1 (mm)" dataDxfId="322"/>
    <tableColumn id="141" xr3:uid="{00000000-0010-0000-0100-00008D000000}" name="WS_Avg_IS1 (m/s)" dataDxfId="321"/>
    <tableColumn id="142" xr3:uid="{00000000-0010-0000-0100-00008E000000}" name="WS_Max_IS1 (m/s)" dataDxfId="320"/>
    <tableColumn id="143" xr3:uid="{00000000-0010-0000-0100-00008F000000}" name="O2RE7" dataDxfId="319">
      <calculatedColumnFormula>SUM(RD[[#This Row],[IS1Inv1]:[IS3Inv1]])</calculatedColumnFormula>
    </tableColumn>
    <tableColumn id="144" xr3:uid="{00000000-0010-0000-0100-000090000000}" name="O2RE27" dataDxfId="318">
      <calculatedColumnFormula>SUM(RD[[#This Row],[IS4Inv1]:[IS4Inv2]])</calculatedColumnFormula>
    </tableColumn>
    <tableColumn id="147" xr3:uid="{00000000-0010-0000-0100-000093000000}" name="Inv Total Gneration (MWh)" dataDxfId="317">
      <calculatedColumnFormula>SUM(RD[[#This Row],[O2RE7]:[O2RE27]])</calculatedColumnFormula>
    </tableColumn>
    <tableColumn id="56" xr3:uid="{00000000-0010-0000-0100-000038000000}" name="33 kV_F1_Ex" dataDxfId="316"/>
    <tableColumn id="60" xr3:uid="{00000000-0010-0000-0100-00003C000000}" name="33kV_OG1_Ex" dataDxfId="315"/>
    <tableColumn id="62" xr3:uid="{00000000-0010-0000-0100-00003E000000}" name="220kV_TX1_Ex" dataDxfId="314"/>
    <tableColumn id="65" xr3:uid="{00000000-0010-0000-0100-000041000000}" name="220kV_TL_TVM_Ex" dataDxfId="313"/>
    <tableColumn id="66" xr3:uid="{00000000-0010-0000-0100-000042000000}" name="220kV_C&amp;R_PQM_Ex" dataDxfId="312"/>
    <tableColumn id="7" xr3:uid="{F3B54982-ABB6-4F2A-A338-B2047BB26A63}" name="220kV_C&amp;R_PQM_Imp" dataDxfId="311"/>
    <tableColumn id="64" xr3:uid="{00000000-0010-0000-0100-000040000000}" name="33kV_Aux1_Im" dataDxfId="310"/>
    <tableColumn id="90" xr3:uid="{00000000-0010-0000-0100-00005A000000}" name="33 kV_Solar_F1_Energy (kWh)" dataDxfId="309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308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307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306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305" dataCellStyle="Percent 2"/>
    <tableColumn id="101" xr3:uid="{00000000-0010-0000-0100-000065000000}" name="33kV_Aux1_Im(KWh)" dataDxfId="304"/>
    <tableColumn id="103" xr3:uid="{00000000-0010-0000-0100-000067000000}" name="33 kV Total Export (KWH)" dataDxfId="303">
      <calculatedColumnFormula>RD[[#This Row],[33kV_OG1_Energy (KWh)]]</calculatedColumnFormula>
    </tableColumn>
    <tableColumn id="104" xr3:uid="{00000000-0010-0000-0100-000068000000}" name="220 KV Net Export (KWh)" dataDxfId="302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301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30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99">
      <calculatedColumnFormula>RD[[#This Row],[33kV_OG1_Energy (KWh)]]</calculatedColumnFormula>
    </tableColumn>
    <tableColumn id="6" xr3:uid="{00000000-0010-0000-0100-000006000000}" name=" Net Export" dataDxfId="29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97"/>
    <tableColumn id="8" xr3:uid="{00000000-0010-0000-0100-000008000000}" name="E_AC (WPR)" dataDxfId="296"/>
    <tableColumn id="9" xr3:uid="{00000000-0010-0000-0100-000009000000}" name="E_DC (WPR)" dataDxfId="295"/>
    <tableColumn id="10" xr3:uid="{00000000-0010-0000-0100-00000A000000}" name="WPR (%)" dataDxfId="29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93" dataDxfId="291" headerRowBorderDxfId="292" tableBorderDxfId="290" totalsRowBorderDxfId="289">
  <autoFilter ref="A1:V32" xr:uid="{00000000-0009-0000-0100-00000C000000}"/>
  <tableColumns count="22">
    <tableColumn id="1" xr3:uid="{00000000-0010-0000-0200-000001000000}" name="Sr. No." dataDxfId="288"/>
    <tableColumn id="6" xr3:uid="{00000000-0010-0000-0200-000006000000}" name="Date" dataDxfId="287"/>
    <tableColumn id="2" xr3:uid="{00000000-0010-0000-0200-000002000000}" name="Finacial Year" dataDxfId="286"/>
    <tableColumn id="3" xr3:uid="{00000000-0010-0000-0200-000003000000}" name="Calendor Year" dataDxfId="285"/>
    <tableColumn id="20" xr3:uid="{00000000-0010-0000-0200-000014000000}" name="Contractuyal year" dataDxfId="284"/>
    <tableColumn id="5" xr3:uid="{00000000-0010-0000-0200-000005000000}" name="Operating Year" dataDxfId="283"/>
    <tableColumn id="7" xr3:uid="{00000000-0010-0000-0200-000007000000}" name="Affected Feeder " dataDxfId="282"/>
    <tableColumn id="21" xr3:uid="{00000000-0010-0000-0200-000015000000}" name="SPV" dataDxfId="281">
      <calculatedColumnFormula>_xlfn.XLOOKUP(IGA_BD[[#This Row],[Affected Feeder ]],'Basic Data'!N:N,'Basic Data'!O:O)</calculatedColumnFormula>
    </tableColumn>
    <tableColumn id="10" xr3:uid="{00000000-0010-0000-0200-00000A000000}" name="Consumer" dataDxfId="280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79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78"/>
    <tableColumn id="12" xr3:uid="{00000000-0010-0000-0200-00000C000000}" name="Fault Start TimeStamp" dataDxfId="277"/>
    <tableColumn id="13" xr3:uid="{00000000-0010-0000-0200-00000D000000}" name="Work Start TimeStamp" dataDxfId="276"/>
    <tableColumn id="14" xr3:uid="{00000000-0010-0000-0200-00000E000000}" name="Fault Clearance time" dataDxfId="275"/>
    <tableColumn id="15" xr3:uid="{00000000-0010-0000-0200-00000F000000}" name="Response Time" dataDxfId="274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73">
      <calculatedColumnFormula>(IGA_BD[[#This Row],[Fault Clearance time]]-IGA_BD[[#This Row],[Work Start TimeStamp]])*24</calculatedColumnFormula>
    </tableColumn>
    <tableColumn id="17" xr3:uid="{00000000-0010-0000-0200-000011000000}" name="Breakdown Time" dataDxfId="272">
      <calculatedColumnFormula>(IGA_BD[[#This Row],[Fault Clearance time]]-IGA_BD[[#This Row],[Fault Start TimeStamp]])*24</calculatedColumnFormula>
    </tableColumn>
    <tableColumn id="18" xr3:uid="{00000000-0010-0000-0200-000012000000}" name="Action taken" dataDxfId="271"/>
    <tableColumn id="19" xr3:uid="{00000000-0010-0000-0200-000013000000}" name="Status" dataDxfId="270"/>
    <tableColumn id="22" xr3:uid="{00000000-0010-0000-0200-000016000000}" name="Plant Equivalent breakdown" dataDxfId="269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68"/>
    <tableColumn id="8" xr3:uid="{00000000-0010-0000-0200-000008000000}" name="Estimated Energy Loss (kWh)" dataDxfId="267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66" dataDxfId="264" headerRowBorderDxfId="265" tableBorderDxfId="263" totalsRowBorderDxfId="262">
  <tableColumns count="40">
    <tableColumn id="1" xr3:uid="{2B028A55-9E65-494B-87A0-C9EA4570CC03}" name="Sr. No." dataDxfId="261" dataCellStyle="Comma 42"/>
    <tableColumn id="2" xr3:uid="{885B4D4F-EF9E-4E79-8D4B-C2C91282083A}" name="Month Name" dataDxfId="260" dataCellStyle="Comma 42"/>
    <tableColumn id="3" xr3:uid="{27779E53-7884-4F0F-AE97-2F75899BE35B}" name="Month Number" dataDxfId="259" dataCellStyle="Comma 42"/>
    <tableColumn id="4" xr3:uid="{1C134B8B-7554-4308-9E49-0A30B7EDF443}" name="Month" dataDxfId="258" dataCellStyle="Comma 42"/>
    <tableColumn id="5" xr3:uid="{4186AC57-5D53-4F7B-9062-78A7250C8883}" name="CY" dataDxfId="257">
      <calculatedColumnFormula>YEAR(D2)</calculatedColumnFormula>
    </tableColumn>
    <tableColumn id="6" xr3:uid="{AC8F376E-F6E7-435F-AD5E-1500A77B2FAF}" name="FY" dataDxfId="256"/>
    <tableColumn id="7" xr3:uid="{C472F879-9483-4003-8690-C8405A9F0ACA}" name="No. of Days in Month" dataDxfId="255">
      <calculatedColumnFormula>DAY(EOMONTH(D2,0))</calculatedColumnFormula>
    </tableColumn>
    <tableColumn id="8" xr3:uid="{9682D996-8A10-4AAE-A8D1-813A5946FB5C}" name="GHI" dataDxfId="254"/>
    <tableColumn id="9" xr3:uid="{5646A1EC-C4E3-43A1-ABAF-821A197AE99B}" name="POA" dataDxfId="253"/>
    <tableColumn id="10" xr3:uid="{4D067AA3-A6DB-49F7-BA64-142D01FA8AE4}" name="WS" dataDxfId="252"/>
    <tableColumn id="11" xr3:uid="{CB4E2B6C-C557-4264-AAD0-4439A3852E80}" name="Tamb" dataDxfId="251"/>
    <tableColumn id="12" xr3:uid="{F8F5552B-9566-45E4-A58C-28C52C25E84B}" name="Tmod" dataDxfId="250"/>
    <tableColumn id="13" xr3:uid="{6D8D2D98-2B56-4A31-A0B5-4D820ADC8A00}" name="Egrid (MWh)" dataDxfId="249"/>
    <tableColumn id="14" xr3:uid="{C646FE2E-463A-4762-996F-81346AA9B591}" name="Bugt_Capacity" dataDxfId="248"/>
    <tableColumn id="15" xr3:uid="{96EE6B22-FB30-4C05-8AE2-4F08AFCD5986}" name="PR" dataDxfId="247">
      <calculatedColumnFormula>IFERROR(M2/I2/N2,"")</calculatedColumnFormula>
    </tableColumn>
    <tableColumn id="16" xr3:uid="{11299A8A-1CAD-43E4-B679-9ACDCCA9DEC0}" name="Daily POA" dataDxfId="246">
      <calculatedColumnFormula>IFERROR(I2/G2,"")</calculatedColumnFormula>
    </tableColumn>
    <tableColumn id="17" xr3:uid="{7D2E5E3F-B60D-4261-AFBF-3EFC6EDD08EE}" name="Days Operated" dataDxfId="245">
      <calculatedColumnFormula>COUNTIFS('Daily KPI'!$D:$D,D2,'Daily KPI'!$K:$K,"&gt;0")</calculatedColumnFormula>
    </tableColumn>
    <tableColumn id="18" xr3:uid="{0513CF3A-2E6E-489C-9E9B-AD1C15869A9B}" name="MTD POA" dataDxfId="244">
      <calculatedColumnFormula>I2/G2*Q2</calculatedColumnFormula>
    </tableColumn>
    <tableColumn id="27" xr3:uid="{1DB0DE6F-BADB-4FE3-AC43-02CC94FD389D}" name="YTD POA" dataDxfId="243">
      <calculatedColumnFormula>SUMIF($F$2:F2,F2,$R$2:R2)</calculatedColumnFormula>
    </tableColumn>
    <tableColumn id="19" xr3:uid="{2048DE8F-3F59-40E5-B3E7-775FEE0EF5A8}" name="Daily Energy (MWh)" dataDxfId="242">
      <calculatedColumnFormula>M2/G2</calculatedColumnFormula>
    </tableColumn>
    <tableColumn id="20" xr3:uid="{D9C26E09-8381-4970-B3FC-E5636F4125D7}" name="MTD Energy (MWh)" dataDxfId="241">
      <calculatedColumnFormula>M2/G2*Q2</calculatedColumnFormula>
    </tableColumn>
    <tableColumn id="28" xr3:uid="{3B148171-C6B8-488E-B9D6-C2255FB09412}" name="YTD Energy (MWh)" dataDxfId="240">
      <calculatedColumnFormula>SUMIF($F$2:F2,F2,$U$2:U2)</calculatedColumnFormula>
    </tableColumn>
    <tableColumn id="38" xr3:uid="{C04583F2-B812-4A2A-8E85-EC2EC6F32F3E}" name="Bugt CUF (%)" dataDxfId="239">
      <calculatedColumnFormula>IFERROR(T2/(24*N2),"")</calculatedColumnFormula>
    </tableColumn>
    <tableColumn id="37" xr3:uid="{BDA65464-EFEB-414F-8FEF-266ECCD70579}" name="Bugt CUF (%) MTD" dataDxfId="238">
      <calculatedColumnFormula>IFERROR(U2/(24*N2*Q2),"")</calculatedColumnFormula>
    </tableColumn>
    <tableColumn id="36" xr3:uid="{5577041E-DA30-4F44-A838-DE9144E1E7B1}" name="Bugt CUF (%)YTD" dataDxfId="237">
      <calculatedColumnFormula>IFERROR(V2/(24*N2*SUMIFS($Q:$Q,$F:$F,$F2,$D:$D,"&lt;="&amp;D2)),"")</calculatedColumnFormula>
    </tableColumn>
    <tableColumn id="21" xr3:uid="{1BC3D9C9-BAD2-4FE9-A175-091B0D28F518}" name="Ave. Cap MTD" dataDxfId="236">
      <calculatedColumnFormula>IFERROR(AVERAGEIF('Daily KPI'!D:D,Mod[[#This Row],[Month]],'Daily KPI'!AB:AB),"")</calculatedColumnFormula>
    </tableColumn>
    <tableColumn id="29" xr3:uid="{FC4A1E4C-4CB8-4605-BDB5-E5B61FBEED4F}" name="Ave. Cap YTD" dataDxfId="235">
      <calculatedColumnFormula>IFERROR(AVERAGEIF($F$2:F2,F2,$Z$2:Z2),"")</calculatedColumnFormula>
    </tableColumn>
    <tableColumn id="22" xr3:uid="{702281B7-0432-44C0-9EBC-665ACCF6B2A8}" name="CC Energy MTD" dataDxfId="234"/>
    <tableColumn id="31" xr3:uid="{D1430AA8-8932-4CDD-B656-27D1F9A431CE}" name="WS MTD" dataDxfId="233"/>
    <tableColumn id="23" xr3:uid="{E6B4DBCD-73DA-4FBC-9A67-DE992A84B93B}" name="WS YTD" dataDxfId="232"/>
    <tableColumn id="24" xr3:uid="{A57F4E06-B0B6-4B31-9043-B0307659E8F7}" name="Bugt PA" dataDxfId="231" dataCellStyle="Percent 43"/>
    <tableColumn id="25" xr3:uid="{CA4CDA86-18B4-4A4D-9319-1CF40E14868D}" name="Bugt EGA" dataDxfId="230" dataCellStyle="Percent 43"/>
    <tableColumn id="35" xr3:uid="{0B7DDF74-F33D-4D8F-B649-44793FC2EF4F}" name="Bugt TA" dataDxfId="229"/>
    <tableColumn id="26" xr3:uid="{1E94AF8C-9EF9-4EFF-9C55-00C0A4CF9F2E}" name="Bugt MA" dataDxfId="228"/>
    <tableColumn id="30" xr3:uid="{4C6A41F1-7D0A-4C52-B0C9-DFE7713DF4BC}" name="Bugt IGA" dataDxfId="227"/>
    <tableColumn id="32" xr3:uid="{B8796E77-66B9-4E7A-9057-6AEB5C90CFB0}" name="Corelation" dataDxfId="226"/>
    <tableColumn id="33" xr3:uid="{D8ABDEB8-4C5A-4689-83C9-5E704D05BC58}" name="Bugt Line loss" dataDxfId="225"/>
    <tableColumn id="34" xr3:uid="{550FEFC8-DC1D-47FD-B05A-36EDCA221025}" name="Bugt Reactive Power" dataDxfId="224"/>
    <tableColumn id="40" xr3:uid="{A70F5369-5099-487D-BDD9-DA538B34FD1B}" name="CC*Bugt (MTD)" dataDxfId="223">
      <calculatedColumnFormula>SUMIF('Daily KPI'!$D:$D,$D2,'Daily KPI'!$AS:$AS)</calculatedColumnFormula>
    </tableColumn>
    <tableColumn id="41" xr3:uid="{F3A75964-3DFB-4BEA-A00D-B41F5C9D67C6}" name="CC*Bugt (YTD)" dataDxfId="222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21"/>
    <tableColumn id="2" xr3:uid="{00000000-0010-0000-0300-000002000000}" name="Date" dataDxfId="220"/>
    <tableColumn id="3" xr3:uid="{00000000-0010-0000-0300-000003000000}" name="Financial Year" dataDxfId="219">
      <calculatedColumnFormula>YEAR(PA[[#This Row],[Date]])+IF(MONTH(PA[[#This Row],[Date]])&gt;=4,1,0)</calculatedColumnFormula>
    </tableColumn>
    <tableColumn id="4" xr3:uid="{00000000-0010-0000-0300-000004000000}" name="Calendar Year" dataDxfId="218">
      <calculatedColumnFormula>YEAR(PA[[#This Row],[Date]])</calculatedColumnFormula>
    </tableColumn>
    <tableColumn id="5" xr3:uid="{00000000-0010-0000-0300-000005000000}" name="Contractual Year" dataDxfId="217"/>
    <tableColumn id="6" xr3:uid="{00000000-0010-0000-0300-000006000000}" name="Operating Year" dataDxfId="216"/>
    <tableColumn id="7" xr3:uid="{00000000-0010-0000-0300-000007000000}" name="Month Year" dataDxfId="215"/>
    <tableColumn id="8" xr3:uid="{00000000-0010-0000-0300-000008000000}" name="Days" dataDxfId="214">
      <calculatedColumnFormula>DAY(EOMONTH(PA[[#This Row],[Month Year]],0))</calculatedColumnFormula>
    </tableColumn>
    <tableColumn id="9" xr3:uid="{00000000-0010-0000-0300-000009000000}" name="Sunrise Time (POA&gt;20 W/m2)" dataDxfId="213"/>
    <tableColumn id="10" xr3:uid="{00000000-0010-0000-0300-00000A000000}" name="Sunset Time (POA&lt;20 W/m2)" dataDxfId="212"/>
    <tableColumn id="11" xr3:uid="{00000000-0010-0000-0300-00000B000000}" name="Total Generation Time" dataDxfId="211"/>
    <tableColumn id="12" xr3:uid="{00000000-0010-0000-0300-00000C000000}" name="Inverter  Station Number (if Bd in filed)" dataDxfId="210"/>
    <tableColumn id="13" xr3:uid="{00000000-0010-0000-0300-00000D000000}" name="Inverter number (If Inv, SCb or Str BD)" dataDxfId="209"/>
    <tableColumn id="14" xr3:uid="{00000000-0010-0000-0300-00000E000000}" name="Inverter Module Number (If Inv, SCb or Str BD)" dataDxfId="208"/>
    <tableColumn id="15" xr3:uid="{00000000-0010-0000-0300-00000F000000}" name="SCB Number (If SCB or Str BD)" dataDxfId="207"/>
    <tableColumn id="16" xr3:uid="{00000000-0010-0000-0300-000010000000}" name="String Type(If String BD)" dataDxfId="206"/>
    <tableColumn id="17" xr3:uid="{00000000-0010-0000-0300-000011000000}" name="Equipment (If any BD other than PV  array and inv)" dataDxfId="205"/>
    <tableColumn id="18" xr3:uid="{00000000-0010-0000-0300-000012000000}" name="C1" dataDxfId="204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3">
      <calculatedColumnFormula>IF(PA[[#This Row],[String Type(If String BD)]]="",1,0)</calculatedColumnFormula>
    </tableColumn>
    <tableColumn id="20" xr3:uid="{00000000-0010-0000-0300-000014000000}" name="Affected Equipment " dataDxfId="202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201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200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9"/>
    <tableColumn id="24" xr3:uid="{00000000-0010-0000-0300-000018000000}" name="Fault Code (As per HMI)" dataDxfId="198"/>
    <tableColumn id="25" xr3:uid="{00000000-0010-0000-0300-000019000000}" name="Breakdown Description" dataDxfId="197"/>
    <tableColumn id="26" xr3:uid="{00000000-0010-0000-0300-00001A000000}" name="Fault Time" dataDxfId="196"/>
    <tableColumn id="27" xr3:uid="{00000000-0010-0000-0300-00001B000000}" name="Acknowledgement Time " dataDxfId="195"/>
    <tableColumn id="28" xr3:uid="{00000000-0010-0000-0300-00001C000000}" name="Work Start time on Fault" dataDxfId="194"/>
    <tableColumn id="29" xr3:uid="{00000000-0010-0000-0300-00001D000000}" name="Work Completion time on fault" dataDxfId="193"/>
    <tableColumn id="30" xr3:uid="{00000000-0010-0000-0300-00001E000000}" name="Acknow. time " dataDxfId="192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91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90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9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8"/>
    <tableColumn id="35" xr3:uid="{00000000-0010-0000-0300-000023000000}" name="Status" dataDxfId="187"/>
    <tableColumn id="36" xr3:uid="{00000000-0010-0000-0300-000024000000}" name="Plant Equivalent breakdown" dataDxfId="186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5"/>
    <tableColumn id="38" xr3:uid="{00000000-0010-0000-0300-000026000000}" name="Approximate Energy Loss (KWh)" dataDxfId="184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3"/>
    <tableColumn id="40" xr3:uid="{2C1E81EA-E3B6-4BE4-9691-422652FC4B6C}" name="CC*Bugt" dataDxfId="182"/>
    <tableColumn id="41" xr3:uid="{9869DACC-BD93-4B19-BF74-CE6D9B4639F6}" name="PTW No." dataDxfId="181"/>
    <tableColumn id="42" xr3:uid="{DFA57D34-182A-47A5-A5F0-580C252D51B4}" name="Job Card No." dataDxfId="1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9">
      <calculatedColumnFormula>A1+1</calculatedColumnFormula>
    </tableColumn>
    <tableColumn id="6" xr3:uid="{00000000-0010-0000-0400-000006000000}" name="Date" dataDxfId="178"/>
    <tableColumn id="2" xr3:uid="{00000000-0010-0000-0400-000002000000}" name="Finacial Year" dataDxfId="177">
      <calculatedColumnFormula>YEAR(Grid_BD[[#This Row],[Date]])+IF(MONTH(Grid_BD[[#This Row],[Date]])&gt;=4,1,0)</calculatedColumnFormula>
    </tableColumn>
    <tableColumn id="3" xr3:uid="{00000000-0010-0000-0400-000003000000}" name="Calendor Year" dataDxfId="176">
      <calculatedColumnFormula>YEAR(Grid_BD[[#This Row],[Date]])</calculatedColumnFormula>
    </tableColumn>
    <tableColumn id="5" xr3:uid="{00000000-0010-0000-0400-000005000000}" name="Operating Year" dataDxfId="175"/>
    <tableColumn id="7" xr3:uid="{00000000-0010-0000-0400-000007000000}" name="Affected Feeder " dataDxfId="174"/>
    <tableColumn id="21" xr3:uid="{00000000-0010-0000-0400-000015000000}" name="Op. Hours" dataDxfId="173">
      <calculatedColumnFormula>IFERROR(_xlfn.XLOOKUP(Grid_BD[[#This Row],[Date]],RD[Date],RD[Operating Hours]),"")</calculatedColumnFormula>
    </tableColumn>
    <tableColumn id="10" xr3:uid="{00000000-0010-0000-0400-00000A000000}" name="Concumaer" dataDxfId="172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71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70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9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8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7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6"/>
    <tableColumn id="22" xr3:uid="{00000000-0010-0000-0400-000016000000}" name="Plant Equivalent breakdown" dataDxfId="165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4" dataCellStyle="Comma"/>
    <tableColumn id="9" xr3:uid="{00000000-0010-0000-0400-000009000000}" name="Estimated Energy Loss (kWh)" dataDxfId="163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62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61"/>
    <tableColumn id="26" xr3:uid="{6329C7A1-F236-4685-B14C-DD763D88A26A}" name="Job Card No." dataDxfId="16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9" dataDxfId="157" headerRowBorderDxfId="158" tableBorderDxfId="156" totalsRowBorderDxfId="155">
  <autoFilter ref="A1:U6" xr:uid="{4F984E08-5C70-4CFD-957B-782F0EE953DF}"/>
  <tableColumns count="21">
    <tableColumn id="1" xr3:uid="{2352D990-65F3-49F8-90F1-41DBCC908DB1}" name="Sr. No" dataDxfId="154"/>
    <tableColumn id="2" xr3:uid="{848DB6DF-F2E8-4492-B659-53EB52B594A9}" name="Month" dataDxfId="153">
      <calculatedColumnFormula>Table7[[#This Row],[Date]]-DAY(Table7[[#This Row],[Date]])+1</calculatedColumnFormula>
    </tableColumn>
    <tableColumn id="3" xr3:uid="{ECB9DFC2-3825-4CD2-BF58-AB0082DF4025}" name="Date" dataDxfId="152"/>
    <tableColumn id="4" xr3:uid="{EA748705-9966-4923-9436-96391EC2F782}" name="Plant Name" dataDxfId="151"/>
    <tableColumn id="5" xr3:uid="{B3EC62D1-BBF1-48F5-9557-89ED95209076}" name="Categoty" dataDxfId="150"/>
    <tableColumn id="6" xr3:uid="{76A7D69A-8ED9-4D3F-83D1-CBD8E2782993}" name="Equipment Name" dataDxfId="149"/>
    <tableColumn id="7" xr3:uid="{B4D75C1F-B732-4DE1-9266-1ADA025A58E0}" name="Inverter No." dataDxfId="148"/>
    <tableColumn id="8" xr3:uid="{4B5B4246-085E-4FFF-8115-BF96E1C81789}" name="From" dataDxfId="147"/>
    <tableColumn id="9" xr3:uid="{A50E0AEF-27CE-472C-A431-5FC0F414AEC5}" name="To" dataDxfId="146"/>
    <tableColumn id="10" xr3:uid="{0D67F2E2-F243-4E3D-BF5F-096108B4CE8B}" name="Duration in MIN" dataDxfId="145">
      <calculatedColumnFormula>I2-H2</calculatedColumnFormula>
    </tableColumn>
    <tableColumn id="11" xr3:uid="{2BE2BE98-28FE-4947-A8B0-45DC1B18BFE1}" name="Total Breakdown Hrs." dataDxfId="144">
      <calculatedColumnFormula>(J2/0.041677)</calculatedColumnFormula>
    </tableColumn>
    <tableColumn id="12" xr3:uid="{8301665C-365A-4CA7-B498-0F46F5C419C6}" name="Avg POA During BD time" dataDxfId="143"/>
    <tableColumn id="13" xr3:uid="{7133944D-C9F7-4699-A49F-07DA0248E876}" name="Lost POA" dataDxfId="142"/>
    <tableColumn id="14" xr3:uid="{4C084CDF-5124-47D7-9E7D-C468C03B38B1}" name="Total POA " dataDxfId="141"/>
    <tableColumn id="15" xr3:uid="{26D26F24-275F-4B1F-B2B3-3F5647F53881}" name="Net POA" dataDxfId="140">
      <calculatedColumnFormula>(N2-M2)</calculatedColumnFormula>
    </tableColumn>
    <tableColumn id="16" xr3:uid="{693BA623-8151-42B3-9A34-3AF3B304E5CC}" name="Loss of Capacity in KWp" dataDxfId="139"/>
    <tableColumn id="17" xr3:uid="{B3A5481E-A50A-45ED-A5B5-4D11F7BBE7D8}" name="Estimated PR % (Pvsyst)" dataDxfId="138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7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6"/>
    <tableColumn id="20" xr3:uid="{FDD9EEFF-1006-4B0F-A493-D57D72AC4CF4}" name="Current Load befor Load Sheeding (AC MW)" dataDxfId="135"/>
    <tableColumn id="21" xr3:uid="{C94B790A-87A6-4B12-9E50-D20E58368A09}" name="Load to be maintain (AC Mw)" dataDxfId="13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3" dataDxfId="131" headerRowBorderDxfId="132" tableBorderDxfId="130" totalsRowBorderDxfId="129" headerRowCellStyle="Normal 26">
  <autoFilter ref="B3:J64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D11" sqref="D11"/>
    </sheetView>
  </sheetViews>
  <sheetFormatPr defaultColWidth="9" defaultRowHeight="14.5"/>
  <cols>
    <col min="1" max="1" width="17" style="145" customWidth="1"/>
    <col min="2" max="2" width="19.1796875" style="146" bestFit="1" customWidth="1"/>
    <col min="3" max="3" width="13.453125" style="146" customWidth="1"/>
    <col min="4" max="4" width="12.453125" style="147" customWidth="1"/>
    <col min="5" max="5" width="13" style="145" customWidth="1"/>
    <col min="6" max="6" width="32.453125" style="146" customWidth="1"/>
    <col min="7" max="7" width="18" style="146" hidden="1" customWidth="1"/>
    <col min="8" max="8" width="15.81640625" style="146" hidden="1" customWidth="1"/>
    <col min="9" max="9" width="18" style="146" hidden="1" customWidth="1"/>
    <col min="10" max="16384" width="9" style="146"/>
  </cols>
  <sheetData>
    <row r="1" spans="1:9" ht="4" hidden="1" customHeight="1"/>
    <row r="2" spans="1:9" ht="15" thickBot="1"/>
    <row r="3" spans="1:9" ht="15.5">
      <c r="A3" s="376" t="s">
        <v>0</v>
      </c>
      <c r="B3" s="377"/>
      <c r="C3" s="377"/>
      <c r="D3" s="377"/>
      <c r="E3" s="377"/>
      <c r="F3" s="378"/>
    </row>
    <row r="4" spans="1:9">
      <c r="A4" s="90" t="s">
        <v>1</v>
      </c>
      <c r="B4" s="328">
        <v>45839</v>
      </c>
      <c r="C4" s="92"/>
      <c r="D4" s="92"/>
      <c r="E4" s="92"/>
      <c r="F4" s="93"/>
    </row>
    <row r="5" spans="1:9">
      <c r="A5" s="90" t="s">
        <v>2</v>
      </c>
      <c r="B5" s="329">
        <v>45853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" thickBot="1">
      <c r="A8" s="95" t="s">
        <v>5</v>
      </c>
      <c r="B8" s="96">
        <v>46112</v>
      </c>
      <c r="C8" s="97"/>
      <c r="D8" s="97"/>
      <c r="E8" s="97"/>
      <c r="F8" s="98"/>
    </row>
    <row r="9" spans="1:9" ht="4" customHeight="1" thickBot="1">
      <c r="A9" s="99"/>
      <c r="B9" s="100"/>
      <c r="C9" s="100"/>
      <c r="D9" s="100"/>
      <c r="E9" s="100"/>
      <c r="F9" s="100"/>
    </row>
    <row r="10" spans="1:9" ht="1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79">
        <v>1</v>
      </c>
      <c r="B11" s="104" t="s">
        <v>15</v>
      </c>
      <c r="C11" s="105">
        <f>_xlfn.XLOOKUP($B$5,'Daily KPI'!$A:$A,'Daily KPI'!$AD:$AD)/1000</f>
        <v>171.30696170170089</v>
      </c>
      <c r="D11" s="105">
        <f>_xlfn.XLOOKUP($B$5,'Daily KPI'!$A:$A,'Daily KPI'!$Y:$Y)/1000</f>
        <v>145</v>
      </c>
      <c r="E11" s="106">
        <f>D11/C11-1</f>
        <v>-0.15356621494174627</v>
      </c>
      <c r="F11" s="330"/>
      <c r="G11" s="287">
        <f>_xlfn.XLOOKUP($B$5,'Daily KPI'!$A:$A,'Daily KPI'!$AS:$AS)/1000</f>
        <v>123.5385606974953</v>
      </c>
      <c r="H11" s="287">
        <f>_xlfn.XLOOKUP($B$4,'Modelling New'!$D:$D,'Modelling New'!$AM:$AM)/1000</f>
        <v>3829.6953816223559</v>
      </c>
      <c r="I11" s="287">
        <f>_xlfn.XLOOKUP($B$4,'Modelling New'!$D:$D,'Modelling New'!$AN:$AN)/1000</f>
        <v>18028.894068742764</v>
      </c>
    </row>
    <row r="12" spans="1:9">
      <c r="A12" s="380"/>
      <c r="B12" s="107" t="s">
        <v>16</v>
      </c>
      <c r="C12" s="108">
        <f>MonthlyKPI!E4</f>
        <v>2569.6044255255129</v>
      </c>
      <c r="D12" s="109">
        <f>MonthlyKPI!F4</f>
        <v>1638.4303688744508</v>
      </c>
      <c r="E12" s="110">
        <f>D12/C12-1</f>
        <v>-0.36238031325021036</v>
      </c>
      <c r="F12" s="331"/>
    </row>
    <row r="13" spans="1:9" ht="15" thickBot="1">
      <c r="A13" s="381"/>
      <c r="B13" s="112" t="s">
        <v>17</v>
      </c>
      <c r="C13" s="113">
        <f>AnnualKPI!E4</f>
        <v>18836.618100169304</v>
      </c>
      <c r="D13" s="114">
        <f>AnnualKPI!F4</f>
        <v>16190</v>
      </c>
      <c r="E13" s="115">
        <f>D13/C13-1</f>
        <v>-0.14050388907898048</v>
      </c>
      <c r="F13" s="332"/>
    </row>
    <row r="14" spans="1:9">
      <c r="A14" s="379">
        <v>2</v>
      </c>
      <c r="B14" s="104" t="s">
        <v>18</v>
      </c>
      <c r="C14" s="279">
        <f>_xlfn.XLOOKUP($B$5,'Daily KPI'!$A:$A,'Daily KPI'!$AC:$AC)</f>
        <v>3.8096774193548386</v>
      </c>
      <c r="D14" s="280">
        <f>_xlfn.XLOOKUP($B$5,'Daily KPI'!$A:$A,'Daily KPI'!$I:$I)</f>
        <v>4.4325999999999999</v>
      </c>
      <c r="E14" s="106">
        <f t="shared" ref="E14:E25" si="0">(D14-C14)/(C14)</f>
        <v>0.16351058425063505</v>
      </c>
      <c r="F14" s="330"/>
    </row>
    <row r="15" spans="1:9">
      <c r="A15" s="380"/>
      <c r="B15" s="107" t="s">
        <v>19</v>
      </c>
      <c r="C15" s="281">
        <f>MonthlyKPI!C4</f>
        <v>57.145161290322577</v>
      </c>
      <c r="D15" s="282">
        <f>MonthlyKPI!D4</f>
        <v>48.163200000000003</v>
      </c>
      <c r="E15" s="110">
        <f t="shared" si="0"/>
        <v>-0.15717798475867897</v>
      </c>
      <c r="F15" s="331"/>
    </row>
    <row r="16" spans="1:9" ht="15" thickBot="1">
      <c r="A16" s="381"/>
      <c r="B16" s="112" t="s">
        <v>20</v>
      </c>
      <c r="C16" s="283">
        <f>AnnualKPI!C4</f>
        <v>594.2531953903225</v>
      </c>
      <c r="D16" s="284">
        <f>AnnualKPI!D4</f>
        <v>536.51089823666632</v>
      </c>
      <c r="E16" s="115">
        <f t="shared" si="0"/>
        <v>-9.7167836204447147E-2</v>
      </c>
      <c r="F16" s="332"/>
    </row>
    <row r="17" spans="1:6">
      <c r="A17" s="379">
        <v>3</v>
      </c>
      <c r="B17" s="104" t="s">
        <v>21</v>
      </c>
      <c r="C17" s="116">
        <f>_xlfn.XLOOKUP($B$5,'Daily KPI'!$A:$A,'Daily KPI'!$AE:$AE)</f>
        <v>0.82702281611841366</v>
      </c>
      <c r="D17" s="117">
        <f>_xlfn.XLOOKUP($B$5,'Daily KPI'!$A:$A,'Daily KPI'!$U:$U)</f>
        <v>0.81551443995030581</v>
      </c>
      <c r="E17" s="106">
        <f t="shared" si="0"/>
        <v>-1.3915427656665848E-2</v>
      </c>
      <c r="F17" s="330"/>
    </row>
    <row r="18" spans="1:6">
      <c r="A18" s="380"/>
      <c r="B18" s="107" t="s">
        <v>22</v>
      </c>
      <c r="C18" s="118">
        <f>MonthlyKPI!M4</f>
        <v>0.82702281611841366</v>
      </c>
      <c r="D18" s="119">
        <f>MonthlyKPI!N4</f>
        <v>0.86759254744574155</v>
      </c>
      <c r="E18" s="110">
        <f t="shared" si="0"/>
        <v>4.9055153662796995E-2</v>
      </c>
      <c r="F18" s="331"/>
    </row>
    <row r="19" spans="1:6" ht="15" thickBot="1">
      <c r="A19" s="381"/>
      <c r="B19" s="112" t="s">
        <v>23</v>
      </c>
      <c r="C19" s="120">
        <f>AnnualKPI!M4</f>
        <v>0.82702281611841366</v>
      </c>
      <c r="D19" s="121">
        <f>AnnualKPI!N4</f>
        <v>0.78617972835701599</v>
      </c>
      <c r="E19" s="115">
        <f t="shared" si="0"/>
        <v>-4.9385684367321887E-2</v>
      </c>
      <c r="F19" s="332"/>
    </row>
    <row r="20" spans="1:6">
      <c r="A20" s="379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1</v>
      </c>
      <c r="E20" s="106">
        <f t="shared" si="0"/>
        <v>5.0251256281407079E-3</v>
      </c>
      <c r="F20" s="330"/>
    </row>
    <row r="21" spans="1:6">
      <c r="A21" s="380"/>
      <c r="B21" s="107" t="s">
        <v>25</v>
      </c>
      <c r="C21" s="118">
        <f>_xlfn.XLOOKUP($B$4,'Modelling New'!$D:$D,'Modelling New'!$AE:$AE)</f>
        <v>0.995</v>
      </c>
      <c r="D21" s="119">
        <f>MonthlyKPI!L4</f>
        <v>0.96753429526330104</v>
      </c>
      <c r="E21" s="110">
        <f t="shared" si="0"/>
        <v>-2.7603723353466291E-2</v>
      </c>
      <c r="F21" s="331"/>
    </row>
    <row r="22" spans="1:6" ht="15" thickBot="1">
      <c r="A22" s="381"/>
      <c r="B22" s="112" t="s">
        <v>26</v>
      </c>
      <c r="C22" s="118">
        <f>_xlfn.XLOOKUP($B$4,'Modelling New'!$D:$D,'Modelling New'!$AE:$AE)</f>
        <v>0.995</v>
      </c>
      <c r="D22" s="121">
        <f>AnnualKPI!L4</f>
        <v>1</v>
      </c>
      <c r="E22" s="115">
        <f t="shared" si="0"/>
        <v>5.0251256281407079E-3</v>
      </c>
      <c r="F22" s="332"/>
    </row>
    <row r="23" spans="1:6">
      <c r="A23" s="379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30"/>
    </row>
    <row r="24" spans="1:6">
      <c r="A24" s="380"/>
      <c r="B24" s="107" t="s">
        <v>28</v>
      </c>
      <c r="C24" s="118">
        <f>_xlfn.XLOOKUP($B$4,'Modelling New'!$D:$D,'Modelling New'!$AF:$AF)</f>
        <v>0.995</v>
      </c>
      <c r="D24" s="119">
        <f>MonthlyKPI!J4</f>
        <v>1</v>
      </c>
      <c r="E24" s="110">
        <f t="shared" si="0"/>
        <v>5.0251256281407079E-3</v>
      </c>
      <c r="F24" s="331"/>
    </row>
    <row r="25" spans="1:6" ht="15" thickBot="1">
      <c r="A25" s="381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32"/>
    </row>
    <row r="26" spans="1:6">
      <c r="A26" s="379">
        <v>6</v>
      </c>
      <c r="B26" s="104" t="s">
        <v>30</v>
      </c>
      <c r="C26" s="117">
        <f>_xlfn.XLOOKUP($B$5,'Daily KPI'!$A:$A,'Daily KPI'!$AF:$AF)</f>
        <v>0.13127875616073204</v>
      </c>
      <c r="D26" s="117">
        <f>D11/24/(_xlfn.XLOOKUP(B5,'Daily KPI'!$A:$A,'Daily KPI'!$AR:$AR))</f>
        <v>0.111118774474868</v>
      </c>
      <c r="E26" s="106">
        <f t="shared" ref="E26:E28" si="1">(D26-C26)/(C26)</f>
        <v>-0.15356621494174602</v>
      </c>
      <c r="F26" s="330"/>
    </row>
    <row r="27" spans="1:6">
      <c r="A27" s="380"/>
      <c r="B27" s="107" t="s">
        <v>31</v>
      </c>
      <c r="C27" s="118">
        <f>MonthlyKPI!G4</f>
        <v>0.13127875616073204</v>
      </c>
      <c r="D27" s="119">
        <f>MonthlyKPI!H4</f>
        <v>8.3705919380107977E-2</v>
      </c>
      <c r="E27" s="110">
        <f t="shared" si="1"/>
        <v>-0.36238031325021036</v>
      </c>
      <c r="F27" s="331"/>
    </row>
    <row r="28" spans="1:6" ht="15" thickBot="1">
      <c r="A28" s="381"/>
      <c r="B28" s="112" t="s">
        <v>32</v>
      </c>
      <c r="C28" s="120">
        <f>AnnualKPI!G4</f>
        <v>0.13618099665204483</v>
      </c>
      <c r="D28" s="121">
        <f>AnnualKPI!H4</f>
        <v>0.11704703700378093</v>
      </c>
      <c r="E28" s="115">
        <f t="shared" si="1"/>
        <v>-0.1405038890789804</v>
      </c>
      <c r="F28" s="332"/>
    </row>
    <row r="30" spans="1:6" ht="15" thickBot="1"/>
    <row r="31" spans="1:6" ht="15.5">
      <c r="A31" s="376" t="s">
        <v>33</v>
      </c>
      <c r="B31" s="377"/>
      <c r="C31" s="377"/>
      <c r="D31" s="377"/>
      <c r="E31" s="377"/>
      <c r="F31" s="378"/>
    </row>
    <row r="32" spans="1:6">
      <c r="A32" s="90" t="s">
        <v>1</v>
      </c>
      <c r="B32" s="91">
        <f>B4</f>
        <v>45839</v>
      </c>
      <c r="C32" s="92"/>
      <c r="D32" s="92"/>
      <c r="E32" s="92"/>
      <c r="F32" s="93"/>
    </row>
    <row r="33" spans="1:6">
      <c r="A33" s="90" t="s">
        <v>2</v>
      </c>
      <c r="B33" s="94">
        <f>B5</f>
        <v>45853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1903507.7599805216</v>
      </c>
      <c r="D39" s="108">
        <f>SUMIFS(RD[O2RE7],RD[Month Year],$B$32)</f>
        <v>1232208.2</v>
      </c>
      <c r="E39" s="110">
        <f>D39/C39-1</f>
        <v>-0.35266447245131849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666096.66554499115</v>
      </c>
      <c r="D40" s="108">
        <f>SUMIFS(RD[O2RE27],RD[Month Year],$B$32)</f>
        <v>438451.10000000003</v>
      </c>
      <c r="E40" s="110">
        <f t="shared" ref="E40" si="2">D40/C40-1</f>
        <v>-0.34176055416631557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1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17.81640625" defaultRowHeight="14.5"/>
  <cols>
    <col min="1" max="1" width="13.453125" style="243" customWidth="1"/>
    <col min="2" max="2" width="9.453125" style="243" customWidth="1"/>
    <col min="3" max="3" width="11.453125" style="243" customWidth="1"/>
    <col min="4" max="4" width="10.81640625" style="243" customWidth="1"/>
    <col min="5" max="5" width="12.453125" style="243" customWidth="1"/>
    <col min="6" max="6" width="11.81640625" style="243" customWidth="1"/>
    <col min="7" max="7" width="10.1796875" style="243" customWidth="1"/>
    <col min="8" max="9" width="11.453125" style="243" customWidth="1"/>
    <col min="10" max="10" width="10.453125" style="243" customWidth="1"/>
    <col min="11" max="11" width="9.453125" style="243" customWidth="1"/>
    <col min="12" max="12" width="10.81640625" style="243" customWidth="1"/>
    <col min="13" max="13" width="11.81640625" style="243" customWidth="1"/>
    <col min="14" max="14" width="10.453125" style="243" customWidth="1"/>
    <col min="15" max="15" width="14.1796875" style="243" bestFit="1" customWidth="1"/>
    <col min="16" max="16" width="12.179687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796875" style="243" customWidth="1"/>
    <col min="22" max="22" width="10.453125" style="243" bestFit="1" customWidth="1"/>
    <col min="23" max="23" width="10.81640625" style="243" customWidth="1"/>
    <col min="24" max="24" width="20.453125" style="243" customWidth="1"/>
    <col min="25" max="25" width="12.1796875" style="243" customWidth="1"/>
    <col min="26" max="26" width="25.453125" style="243" customWidth="1"/>
    <col min="27" max="27" width="65.81640625" style="243" bestFit="1" customWidth="1"/>
    <col min="28" max="16384" width="17.81640625" style="243"/>
  </cols>
  <sheetData>
    <row r="1" spans="1:29" s="242" customFormat="1" ht="17.25" customHeight="1">
      <c r="A1" s="382"/>
      <c r="B1" s="384" t="s">
        <v>37</v>
      </c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1:29" s="242" customFormat="1" ht="19.5" customHeight="1">
      <c r="A2" s="383"/>
      <c r="B2" s="384" t="s">
        <v>38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</row>
    <row r="3" spans="1:29" ht="24" customHeight="1">
      <c r="A3" s="385" t="s">
        <v>39</v>
      </c>
      <c r="B3" s="385" t="s">
        <v>40</v>
      </c>
      <c r="C3" s="385" t="s">
        <v>41</v>
      </c>
      <c r="D3" s="385" t="s">
        <v>42</v>
      </c>
      <c r="E3" s="385" t="s">
        <v>43</v>
      </c>
      <c r="F3" s="385" t="s">
        <v>44</v>
      </c>
      <c r="G3" s="386" t="s">
        <v>45</v>
      </c>
      <c r="H3" s="386" t="s">
        <v>46</v>
      </c>
      <c r="I3" s="386" t="s">
        <v>47</v>
      </c>
      <c r="J3" s="386" t="s">
        <v>48</v>
      </c>
      <c r="K3" s="386" t="s">
        <v>49</v>
      </c>
      <c r="L3" s="386" t="s">
        <v>50</v>
      </c>
      <c r="M3" s="386" t="s">
        <v>51</v>
      </c>
      <c r="N3" s="386" t="s">
        <v>52</v>
      </c>
      <c r="O3" s="386" t="s">
        <v>53</v>
      </c>
      <c r="P3" s="386" t="s">
        <v>54</v>
      </c>
      <c r="Q3" s="386" t="s">
        <v>55</v>
      </c>
      <c r="R3" s="386" t="s">
        <v>56</v>
      </c>
      <c r="S3" s="386" t="s">
        <v>57</v>
      </c>
      <c r="T3" s="387" t="s">
        <v>58</v>
      </c>
      <c r="U3" s="387"/>
      <c r="V3" s="387"/>
      <c r="W3" s="387"/>
      <c r="X3" s="387"/>
      <c r="Y3" s="387"/>
      <c r="Z3" s="387"/>
      <c r="AA3" s="387"/>
    </row>
    <row r="4" spans="1:29" s="245" customFormat="1" ht="27.75" customHeight="1">
      <c r="A4" s="385"/>
      <c r="B4" s="385"/>
      <c r="C4" s="385"/>
      <c r="D4" s="385"/>
      <c r="E4" s="385"/>
      <c r="F4" s="385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  <c r="R4" s="386"/>
      <c r="S4" s="386"/>
      <c r="T4" s="388" t="s">
        <v>59</v>
      </c>
      <c r="U4" s="388"/>
      <c r="V4" s="389" t="s">
        <v>60</v>
      </c>
      <c r="W4" s="389" t="s">
        <v>61</v>
      </c>
      <c r="X4" s="389" t="s">
        <v>62</v>
      </c>
      <c r="Y4" s="389" t="s">
        <v>63</v>
      </c>
      <c r="Z4" s="389" t="s">
        <v>64</v>
      </c>
      <c r="AA4" s="389" t="s">
        <v>65</v>
      </c>
    </row>
    <row r="5" spans="1:29" s="245" customFormat="1" ht="14.25" customHeight="1">
      <c r="A5" s="385"/>
      <c r="B5" s="385"/>
      <c r="C5" s="385"/>
      <c r="D5" s="385"/>
      <c r="E5" s="385"/>
      <c r="F5" s="385"/>
      <c r="G5" s="386"/>
      <c r="H5" s="386"/>
      <c r="I5" s="386"/>
      <c r="J5" s="386"/>
      <c r="K5" s="386"/>
      <c r="L5" s="386"/>
      <c r="M5" s="386"/>
      <c r="N5" s="386"/>
      <c r="O5" s="386"/>
      <c r="P5" s="386"/>
      <c r="Q5" s="386"/>
      <c r="R5" s="386"/>
      <c r="S5" s="386"/>
      <c r="T5" s="244" t="s">
        <v>66</v>
      </c>
      <c r="U5" s="244" t="s">
        <v>67</v>
      </c>
      <c r="V5" s="390"/>
      <c r="W5" s="390"/>
      <c r="X5" s="390"/>
      <c r="Y5" s="390"/>
      <c r="Z5" s="390"/>
      <c r="AA5" s="390"/>
    </row>
    <row r="6" spans="1:29" ht="15" customHeight="1">
      <c r="A6" s="246">
        <v>45839</v>
      </c>
      <c r="B6" s="247">
        <v>39.21</v>
      </c>
      <c r="C6" s="248">
        <f>_xlfn.XLOOKUP(A6,'Daily KPI'!$A:$A,'Daily KPI'!$AC:$AC,0)</f>
        <v>3.8096774193548386</v>
      </c>
      <c r="D6" s="250">
        <f>_xlfn.XLOOKUP(A6,'Daily KPI'!$A:$A,'Daily KPI'!$AD:$AD,0)*B6/('Modelling New'!$AQ$1)</f>
        <v>171306.96170170087</v>
      </c>
      <c r="E6" s="249">
        <f>IFERROR(D6/(B6*C6*1000),0)</f>
        <v>1.1468060262912088</v>
      </c>
      <c r="F6" s="249">
        <f>IFERROR(D6/(24*1*B6*1000),0)</f>
        <v>0.18204004261423623</v>
      </c>
      <c r="G6" s="248">
        <f>_xlfn.XLOOKUP(A6,'Daily KPI'!$A:$A,'Daily KPI'!$I:$I,0)</f>
        <v>1.7470000000000001</v>
      </c>
      <c r="H6" s="250">
        <f>IFERROR(D6*(G6/C6),0)</f>
        <v>78556.063716164383</v>
      </c>
      <c r="I6" s="248">
        <f>_xlfn.XLOOKUP(A6,Input_Raw!A:A,Input_Raw!AS:AS)</f>
        <v>53000</v>
      </c>
      <c r="J6" s="251"/>
      <c r="K6" s="250">
        <f>I6-J6</f>
        <v>53000</v>
      </c>
      <c r="L6" s="250">
        <f>Z6</f>
        <v>0</v>
      </c>
      <c r="M6" s="249">
        <f>IFERROR(I6/(B6*G6*1000),0)</f>
        <v>0.77372409611872262</v>
      </c>
      <c r="N6" s="249">
        <f>IFERROR((I6+L6)/(B6*G6)/1000,0)</f>
        <v>0.7737240961187225</v>
      </c>
      <c r="O6" s="249">
        <f>IFERROR(I6/(24*1*B6)/1000,0)</f>
        <v>5.6320666496642011E-2</v>
      </c>
      <c r="P6" s="249">
        <f>IFERROR((I6+L6)/(24*1*B6)/1000,0)</f>
        <v>5.6320666496642011E-2</v>
      </c>
      <c r="Q6" s="252">
        <f>(I6+L6)-H6</f>
        <v>-25556.063716164383</v>
      </c>
      <c r="R6" s="253">
        <f>N6-E6</f>
        <v>-0.37308193017248625</v>
      </c>
      <c r="S6" s="254"/>
      <c r="T6" s="255"/>
      <c r="U6" s="255"/>
      <c r="V6" s="250">
        <f>(U6-T6)*(24*60)</f>
        <v>0</v>
      </c>
      <c r="W6" s="256"/>
      <c r="X6" s="345">
        <f>E6</f>
        <v>1.1468060262912088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45840</v>
      </c>
      <c r="B7" s="247">
        <v>39.21</v>
      </c>
      <c r="C7" s="248">
        <f>_xlfn.XLOOKUP(A7,'Daily KPI'!$A:$A,'Daily KPI'!$AC:$AC,0)</f>
        <v>3.8096774193548386</v>
      </c>
      <c r="D7" s="250">
        <f>_xlfn.XLOOKUP(A7,'Daily KPI'!$A:$A,'Daily KPI'!$AD:$AD,0)*B7/('Modelling New'!$AQ$1)</f>
        <v>171306.96170170087</v>
      </c>
      <c r="E7" s="249">
        <f t="shared" ref="E7:E35" si="1">IFERROR(D7/(B7*C7*1000),0)</f>
        <v>1.1468060262912088</v>
      </c>
      <c r="F7" s="249">
        <f t="shared" ref="F7:F35" si="2">IFERROR(D7/(24*1*B7*1000),0)</f>
        <v>0.18204004261423623</v>
      </c>
      <c r="G7" s="248">
        <f>_xlfn.XLOOKUP(A7,'Daily KPI'!$A:$A,'Daily KPI'!$I:$I,0)</f>
        <v>2.9289999999999998</v>
      </c>
      <c r="H7" s="250">
        <f>IFERROR(D7*(G7/C7),0)</f>
        <v>131706.18810798254</v>
      </c>
      <c r="I7" s="248">
        <f>_xlfn.XLOOKUP(A7,Input_Raw!A:A,Input_Raw!AS:AS)</f>
        <v>100000</v>
      </c>
      <c r="J7" s="251"/>
      <c r="K7" s="250">
        <f t="shared" ref="K7:K33" si="3">I7-J7</f>
        <v>100000</v>
      </c>
      <c r="L7" s="250">
        <f t="shared" ref="L7:L33" si="4">Z7</f>
        <v>0</v>
      </c>
      <c r="M7" s="249">
        <f t="shared" ref="M7:M35" si="5">IFERROR(I7/(B7*G7*1000),0)</f>
        <v>0.87073055774036368</v>
      </c>
      <c r="N7" s="249">
        <f t="shared" ref="N7:N35" si="6">IFERROR((I7+L7)/(B7*G7)/1000,0)</f>
        <v>0.87073055774036368</v>
      </c>
      <c r="O7" s="249">
        <f t="shared" ref="O7:O35" si="7">IFERROR(I7/(24*1*B7)/1000,0)</f>
        <v>0.10626540848423022</v>
      </c>
      <c r="P7" s="249">
        <f t="shared" ref="P7:P35" si="8">IFERROR((I7+L7)/(24*1*B7)/1000,0)</f>
        <v>0.10626540848423022</v>
      </c>
      <c r="Q7" s="252">
        <f t="shared" ref="Q7:Q33" si="9">(I7+L7)-H7</f>
        <v>-31706.18810798254</v>
      </c>
      <c r="R7" s="253">
        <f t="shared" ref="R7:R33" si="10">N7-E7</f>
        <v>-0.27607546855084508</v>
      </c>
      <c r="S7" s="254"/>
      <c r="T7" s="255"/>
      <c r="U7" s="255"/>
      <c r="V7" s="250">
        <f t="shared" ref="V7:V33" si="11">(U7-T7)*(24*60)</f>
        <v>0</v>
      </c>
      <c r="W7" s="256"/>
      <c r="X7" s="345">
        <f t="shared" ref="X7:X33" si="12">E7</f>
        <v>1.1468060262912088</v>
      </c>
      <c r="Y7" s="250"/>
      <c r="Z7" s="250">
        <f t="shared" si="0"/>
        <v>0</v>
      </c>
      <c r="AA7" s="254"/>
      <c r="AC7" s="257"/>
    </row>
    <row r="8" spans="1:29">
      <c r="A8" s="246">
        <f t="shared" ref="A8:A36" si="13">A7+1</f>
        <v>45841</v>
      </c>
      <c r="B8" s="247">
        <v>39.21</v>
      </c>
      <c r="C8" s="248">
        <f>_xlfn.XLOOKUP(A8,'Daily KPI'!$A:$A,'Daily KPI'!$AC:$AC,0)</f>
        <v>3.8096774193548386</v>
      </c>
      <c r="D8" s="250">
        <f>_xlfn.XLOOKUP(A8,'Daily KPI'!$A:$A,'Daily KPI'!$AD:$AD,0)*B8/('Modelling New'!$AQ$1)</f>
        <v>171306.96170170087</v>
      </c>
      <c r="E8" s="249">
        <f t="shared" si="1"/>
        <v>1.1468060262912088</v>
      </c>
      <c r="F8" s="249">
        <f t="shared" si="2"/>
        <v>0.18204004261423623</v>
      </c>
      <c r="G8" s="248">
        <f>_xlfn.XLOOKUP(A8,'Daily KPI'!$A:$A,'Daily KPI'!$I:$I,0)</f>
        <v>3.92</v>
      </c>
      <c r="H8" s="250">
        <f t="shared" ref="H8:H33" si="14">IFERROR(D8*(G8/C8),0)</f>
        <v>176267.75602024296</v>
      </c>
      <c r="I8" s="248">
        <f>_xlfn.XLOOKUP(A8,Input_Raw!A:A,Input_Raw!AS:AS)</f>
        <v>142000</v>
      </c>
      <c r="J8" s="251"/>
      <c r="K8" s="250">
        <f t="shared" si="3"/>
        <v>142000</v>
      </c>
      <c r="L8" s="250">
        <f t="shared" si="4"/>
        <v>0</v>
      </c>
      <c r="M8" s="249">
        <f t="shared" si="5"/>
        <v>0.92385844927106264</v>
      </c>
      <c r="N8" s="249">
        <f t="shared" si="6"/>
        <v>0.92385844927106253</v>
      </c>
      <c r="O8" s="249">
        <f t="shared" si="7"/>
        <v>0.1508968800476069</v>
      </c>
      <c r="P8" s="249">
        <f t="shared" si="8"/>
        <v>0.1508968800476069</v>
      </c>
      <c r="Q8" s="252">
        <f t="shared" si="9"/>
        <v>-34267.756020242959</v>
      </c>
      <c r="R8" s="253">
        <f t="shared" si="10"/>
        <v>-0.22294757702014623</v>
      </c>
      <c r="S8" s="254"/>
      <c r="T8" s="255"/>
      <c r="U8" s="255"/>
      <c r="V8" s="250">
        <f t="shared" si="11"/>
        <v>0</v>
      </c>
      <c r="W8" s="256"/>
      <c r="X8" s="345">
        <f t="shared" si="12"/>
        <v>1.1468060262912088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45842</v>
      </c>
      <c r="B9" s="247">
        <v>39.21</v>
      </c>
      <c r="C9" s="248">
        <f>_xlfn.XLOOKUP(A9,'Daily KPI'!$A:$A,'Daily KPI'!$AC:$AC,0)</f>
        <v>3.8096774193548386</v>
      </c>
      <c r="D9" s="250">
        <f>_xlfn.XLOOKUP(A9,'Daily KPI'!$A:$A,'Daily KPI'!$AD:$AD,0)*B9/('Modelling New'!$AQ$1)</f>
        <v>171306.96170170087</v>
      </c>
      <c r="E9" s="249">
        <f t="shared" si="1"/>
        <v>1.1468060262912088</v>
      </c>
      <c r="F9" s="249">
        <f t="shared" si="2"/>
        <v>0.18204004261423623</v>
      </c>
      <c r="G9" s="248">
        <f>_xlfn.XLOOKUP(A9,'Daily KPI'!$A:$A,'Daily KPI'!$I:$I,0)</f>
        <v>2.71</v>
      </c>
      <c r="H9" s="250">
        <f t="shared" si="14"/>
        <v>121858.57622828019</v>
      </c>
      <c r="I9" s="248">
        <f>_xlfn.XLOOKUP(A9,Input_Raw!A:A,Input_Raw!AS:AS)</f>
        <v>100000</v>
      </c>
      <c r="J9" s="251"/>
      <c r="K9" s="250">
        <f t="shared" si="3"/>
        <v>100000</v>
      </c>
      <c r="L9" s="250">
        <f t="shared" si="4"/>
        <v>0</v>
      </c>
      <c r="M9" s="249">
        <f t="shared" si="5"/>
        <v>0.94109586849502769</v>
      </c>
      <c r="N9" s="249">
        <f t="shared" si="6"/>
        <v>0.94109586849502769</v>
      </c>
      <c r="O9" s="249">
        <f t="shared" si="7"/>
        <v>0.10626540848423022</v>
      </c>
      <c r="P9" s="249">
        <f t="shared" si="8"/>
        <v>0.10626540848423022</v>
      </c>
      <c r="Q9" s="252">
        <f t="shared" si="9"/>
        <v>-21858.576228280188</v>
      </c>
      <c r="R9" s="253">
        <f t="shared" si="10"/>
        <v>-0.20571015779618107</v>
      </c>
      <c r="S9" s="254"/>
      <c r="T9" s="255"/>
      <c r="U9" s="255"/>
      <c r="V9" s="250">
        <f t="shared" si="11"/>
        <v>0</v>
      </c>
      <c r="W9" s="256"/>
      <c r="X9" s="345">
        <f t="shared" si="12"/>
        <v>1.1468060262912088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45843</v>
      </c>
      <c r="B10" s="247">
        <v>39.21</v>
      </c>
      <c r="C10" s="248">
        <f>_xlfn.XLOOKUP(A10,'Daily KPI'!$A:$A,'Daily KPI'!$AC:$AC,0)</f>
        <v>3.8096774193548386</v>
      </c>
      <c r="D10" s="250">
        <f>_xlfn.XLOOKUP(A10,'Daily KPI'!$A:$A,'Daily KPI'!$AD:$AD,0)*B10/('Modelling New'!$AQ$1)</f>
        <v>171306.96170170087</v>
      </c>
      <c r="E10" s="249">
        <f t="shared" si="1"/>
        <v>1.1468060262912088</v>
      </c>
      <c r="F10" s="249">
        <f t="shared" si="2"/>
        <v>0.18204004261423623</v>
      </c>
      <c r="G10" s="248">
        <f>_xlfn.XLOOKUP(A10,'Daily KPI'!$A:$A,'Daily KPI'!$I:$I,0)</f>
        <v>2.95</v>
      </c>
      <c r="H10" s="250">
        <f t="shared" si="14"/>
        <v>132650.479658091</v>
      </c>
      <c r="I10" s="248">
        <f>_xlfn.XLOOKUP(A10,Input_Raw!A:A,Input_Raw!AS:AS)</f>
        <v>107000</v>
      </c>
      <c r="J10" s="251"/>
      <c r="K10" s="250">
        <f t="shared" si="3"/>
        <v>107000</v>
      </c>
      <c r="L10" s="250">
        <f t="shared" si="4"/>
        <v>0</v>
      </c>
      <c r="M10" s="249">
        <f t="shared" si="5"/>
        <v>0.9250493863983158</v>
      </c>
      <c r="N10" s="249">
        <f t="shared" si="6"/>
        <v>0.92504938639831569</v>
      </c>
      <c r="O10" s="249">
        <f t="shared" si="7"/>
        <v>0.11370398707812633</v>
      </c>
      <c r="P10" s="249">
        <f t="shared" si="8"/>
        <v>0.11370398707812633</v>
      </c>
      <c r="Q10" s="252">
        <f t="shared" si="9"/>
        <v>-25650.479658091004</v>
      </c>
      <c r="R10" s="253">
        <f t="shared" si="10"/>
        <v>-0.22175663989289307</v>
      </c>
      <c r="S10" s="254"/>
      <c r="T10" s="255"/>
      <c r="U10" s="255"/>
      <c r="V10" s="250">
        <f t="shared" si="11"/>
        <v>0</v>
      </c>
      <c r="W10" s="256"/>
      <c r="X10" s="345">
        <f t="shared" si="12"/>
        <v>1.1468060262912088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45844</v>
      </c>
      <c r="B11" s="247">
        <v>39.21</v>
      </c>
      <c r="C11" s="248">
        <f>_xlfn.XLOOKUP(A11,'Daily KPI'!$A:$A,'Daily KPI'!$AC:$AC,0)</f>
        <v>3.8096774193548386</v>
      </c>
      <c r="D11" s="250">
        <f>_xlfn.XLOOKUP(A11,'Daily KPI'!$A:$A,'Daily KPI'!$AD:$AD,0)*B11/('Modelling New'!$AQ$1)</f>
        <v>171306.96170170087</v>
      </c>
      <c r="E11" s="249">
        <f t="shared" si="1"/>
        <v>1.1468060262912088</v>
      </c>
      <c r="F11" s="249">
        <f t="shared" si="2"/>
        <v>0.18204004261423623</v>
      </c>
      <c r="G11" s="248">
        <f>_xlfn.XLOOKUP(A11,'Daily KPI'!$A:$A,'Daily KPI'!$I:$I,0)</f>
        <v>2.06</v>
      </c>
      <c r="H11" s="250">
        <f t="shared" si="14"/>
        <v>92630.504439209311</v>
      </c>
      <c r="I11" s="248">
        <f>_xlfn.XLOOKUP(A11,Input_Raw!A:A,Input_Raw!AS:AS)</f>
        <v>75000</v>
      </c>
      <c r="J11" s="251"/>
      <c r="K11" s="250">
        <f t="shared" si="3"/>
        <v>75000</v>
      </c>
      <c r="L11" s="250">
        <f t="shared" si="4"/>
        <v>0</v>
      </c>
      <c r="M11" s="249">
        <f t="shared" si="5"/>
        <v>0.92853269549327377</v>
      </c>
      <c r="N11" s="249">
        <f t="shared" si="6"/>
        <v>0.92853269549327377</v>
      </c>
      <c r="O11" s="249">
        <f t="shared" si="7"/>
        <v>7.9699056363172663E-2</v>
      </c>
      <c r="P11" s="249">
        <f t="shared" si="8"/>
        <v>7.9699056363172663E-2</v>
      </c>
      <c r="Q11" s="252">
        <f t="shared" si="9"/>
        <v>-17630.504439209311</v>
      </c>
      <c r="R11" s="253">
        <f t="shared" si="10"/>
        <v>-0.21827333079793498</v>
      </c>
      <c r="S11" s="254"/>
      <c r="T11" s="255"/>
      <c r="U11" s="255"/>
      <c r="V11" s="250">
        <f t="shared" si="11"/>
        <v>0</v>
      </c>
      <c r="W11" s="256"/>
      <c r="X11" s="345">
        <f t="shared" si="12"/>
        <v>1.1468060262912088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45845</v>
      </c>
      <c r="B12" s="247">
        <v>39.21</v>
      </c>
      <c r="C12" s="248">
        <f>_xlfn.XLOOKUP(A12,'Daily KPI'!$A:$A,'Daily KPI'!$AC:$AC,0)</f>
        <v>3.8096774193548386</v>
      </c>
      <c r="D12" s="250">
        <f>_xlfn.XLOOKUP(A12,'Daily KPI'!$A:$A,'Daily KPI'!$AD:$AD,0)*B12/('Modelling New'!$AQ$1)</f>
        <v>171306.96170170087</v>
      </c>
      <c r="E12" s="249">
        <f t="shared" si="1"/>
        <v>1.1468060262912088</v>
      </c>
      <c r="F12" s="249">
        <f t="shared" si="2"/>
        <v>0.18204004261423623</v>
      </c>
      <c r="G12" s="248">
        <f>_xlfn.XLOOKUP(A12,'Daily KPI'!$A:$A,'Daily KPI'!$I:$I,0)</f>
        <v>1.39</v>
      </c>
      <c r="H12" s="250">
        <f t="shared" si="14"/>
        <v>62503.107364320829</v>
      </c>
      <c r="I12" s="248">
        <f>_xlfn.XLOOKUP(A12,Input_Raw!A:A,Input_Raw!AS:AS)</f>
        <v>57000</v>
      </c>
      <c r="J12" s="251"/>
      <c r="K12" s="250">
        <f t="shared" si="3"/>
        <v>57000</v>
      </c>
      <c r="L12" s="250">
        <f t="shared" si="4"/>
        <v>0</v>
      </c>
      <c r="M12" s="249">
        <f t="shared" si="5"/>
        <v>1.0458350993268124</v>
      </c>
      <c r="N12" s="249">
        <f t="shared" si="6"/>
        <v>1.0458350993268124</v>
      </c>
      <c r="O12" s="249">
        <f t="shared" si="7"/>
        <v>6.0571282836011223E-2</v>
      </c>
      <c r="P12" s="249">
        <f t="shared" si="8"/>
        <v>6.0571282836011223E-2</v>
      </c>
      <c r="Q12" s="252">
        <f t="shared" si="9"/>
        <v>-5503.1073643208292</v>
      </c>
      <c r="R12" s="253">
        <f t="shared" si="10"/>
        <v>-0.10097092696439636</v>
      </c>
      <c r="S12" s="254"/>
      <c r="T12" s="255"/>
      <c r="U12" s="255"/>
      <c r="V12" s="250">
        <f t="shared" si="11"/>
        <v>0</v>
      </c>
      <c r="W12" s="256"/>
      <c r="X12" s="345">
        <f t="shared" si="12"/>
        <v>1.1468060262912088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45846</v>
      </c>
      <c r="B13" s="247">
        <v>39.21</v>
      </c>
      <c r="C13" s="248">
        <f>_xlfn.XLOOKUP(A13,'Daily KPI'!$A:$A,'Daily KPI'!$AC:$AC,0)</f>
        <v>3.8096774193548386</v>
      </c>
      <c r="D13" s="250">
        <f>_xlfn.XLOOKUP(A13,'Daily KPI'!$A:$A,'Daily KPI'!$AD:$AD,0)*B13/('Modelling New'!$AQ$1)</f>
        <v>171306.96170170087</v>
      </c>
      <c r="E13" s="249">
        <f t="shared" si="1"/>
        <v>1.1468060262912088</v>
      </c>
      <c r="F13" s="249">
        <f t="shared" si="2"/>
        <v>0.18204004261423623</v>
      </c>
      <c r="G13" s="248">
        <f>_xlfn.XLOOKUP(A13,'Daily KPI'!$A:$A,'Daily KPI'!$I:$I,0)</f>
        <v>1.72</v>
      </c>
      <c r="H13" s="250">
        <f t="shared" si="14"/>
        <v>77341.974580310678</v>
      </c>
      <c r="I13" s="248">
        <f>_xlfn.XLOOKUP(A13,Input_Raw!A:A,Input_Raw!AS:AS)</f>
        <v>66000</v>
      </c>
      <c r="J13" s="251"/>
      <c r="K13" s="250">
        <f t="shared" si="3"/>
        <v>66000</v>
      </c>
      <c r="L13" s="250">
        <f t="shared" si="4"/>
        <v>0</v>
      </c>
      <c r="M13" s="249">
        <f t="shared" si="5"/>
        <v>0.97863027348267828</v>
      </c>
      <c r="N13" s="249">
        <f t="shared" si="6"/>
        <v>0.97863027348267828</v>
      </c>
      <c r="O13" s="249">
        <f t="shared" si="7"/>
        <v>7.0135169599591943E-2</v>
      </c>
      <c r="P13" s="249">
        <f t="shared" si="8"/>
        <v>7.0135169599591943E-2</v>
      </c>
      <c r="Q13" s="252">
        <f t="shared" si="9"/>
        <v>-11341.974580310678</v>
      </c>
      <c r="R13" s="253">
        <f t="shared" si="10"/>
        <v>-0.16817575280853048</v>
      </c>
      <c r="S13" s="254"/>
      <c r="T13" s="255"/>
      <c r="U13" s="255"/>
      <c r="V13" s="250">
        <f t="shared" si="11"/>
        <v>0</v>
      </c>
      <c r="W13" s="256"/>
      <c r="X13" s="345">
        <f t="shared" si="12"/>
        <v>1.1468060262912088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45847</v>
      </c>
      <c r="B14" s="247">
        <v>39.21</v>
      </c>
      <c r="C14" s="248">
        <f>_xlfn.XLOOKUP(A14,'Daily KPI'!$A:$A,'Daily KPI'!$AC:$AC,0)</f>
        <v>3.8096774193548386</v>
      </c>
      <c r="D14" s="250">
        <f>_xlfn.XLOOKUP(A14,'Daily KPI'!$A:$A,'Daily KPI'!$AD:$AD,0)*B14/('Modelling New'!$AQ$1)</f>
        <v>171306.96170170087</v>
      </c>
      <c r="E14" s="249">
        <f t="shared" si="1"/>
        <v>1.1468060262912088</v>
      </c>
      <c r="F14" s="249">
        <f t="shared" si="2"/>
        <v>0.18204004261423623</v>
      </c>
      <c r="G14" s="248">
        <f>_xlfn.XLOOKUP(A14,'Daily KPI'!$A:$A,'Daily KPI'!$I:$I,0)</f>
        <v>1.45</v>
      </c>
      <c r="H14" s="250">
        <f t="shared" si="14"/>
        <v>65201.08322177353</v>
      </c>
      <c r="I14" s="248">
        <f>_xlfn.XLOOKUP(A14,Input_Raw!A:A,Input_Raw!AS:AS)</f>
        <v>55000</v>
      </c>
      <c r="J14" s="251"/>
      <c r="K14" s="250">
        <f t="shared" si="3"/>
        <v>55000</v>
      </c>
      <c r="L14" s="250">
        <f t="shared" si="4"/>
        <v>0</v>
      </c>
      <c r="M14" s="249">
        <f t="shared" si="5"/>
        <v>0.96738164964954398</v>
      </c>
      <c r="N14" s="249">
        <f t="shared" si="6"/>
        <v>0.96738164964954398</v>
      </c>
      <c r="O14" s="249">
        <f t="shared" si="7"/>
        <v>5.8445974666326624E-2</v>
      </c>
      <c r="P14" s="249">
        <f t="shared" si="8"/>
        <v>5.8445974666326624E-2</v>
      </c>
      <c r="Q14" s="252">
        <f t="shared" si="9"/>
        <v>-10201.08322177353</v>
      </c>
      <c r="R14" s="253">
        <f t="shared" si="10"/>
        <v>-0.17942437664166477</v>
      </c>
      <c r="S14" s="254"/>
      <c r="T14" s="255"/>
      <c r="U14" s="255"/>
      <c r="V14" s="250">
        <f t="shared" si="11"/>
        <v>0</v>
      </c>
      <c r="W14" s="256"/>
      <c r="X14" s="345">
        <f t="shared" si="12"/>
        <v>1.1468060262912088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45848</v>
      </c>
      <c r="B15" s="247">
        <v>39.21</v>
      </c>
      <c r="C15" s="248">
        <f>_xlfn.XLOOKUP(A15,'Daily KPI'!$A:$A,'Daily KPI'!$AC:$AC,0)</f>
        <v>3.8096774193548386</v>
      </c>
      <c r="D15" s="250">
        <f>_xlfn.XLOOKUP(A15,'Daily KPI'!$A:$A,'Daily KPI'!$AD:$AD,0)*B15/('Modelling New'!$AQ$1)</f>
        <v>171306.96170170087</v>
      </c>
      <c r="E15" s="249">
        <f t="shared" si="1"/>
        <v>1.1468060262912088</v>
      </c>
      <c r="F15" s="249">
        <f t="shared" si="2"/>
        <v>0.18204004261423623</v>
      </c>
      <c r="G15" s="248">
        <f>_xlfn.XLOOKUP(A15,'Daily KPI'!$A:$A,'Daily KPI'!$I:$I,0)</f>
        <v>1.66</v>
      </c>
      <c r="H15" s="250">
        <f t="shared" si="14"/>
        <v>74643.99872285797</v>
      </c>
      <c r="I15" s="248">
        <f>_xlfn.XLOOKUP(A15,Input_Raw!A:A,Input_Raw!AS:AS)</f>
        <v>59000</v>
      </c>
      <c r="J15" s="251"/>
      <c r="K15" s="250">
        <f t="shared" si="3"/>
        <v>59000</v>
      </c>
      <c r="L15" s="250">
        <f t="shared" si="4"/>
        <v>0</v>
      </c>
      <c r="M15" s="249">
        <f t="shared" si="5"/>
        <v>0.90645673743174693</v>
      </c>
      <c r="N15" s="249">
        <f t="shared" si="6"/>
        <v>0.90645673743174693</v>
      </c>
      <c r="O15" s="249">
        <f t="shared" si="7"/>
        <v>6.2696591005695829E-2</v>
      </c>
      <c r="P15" s="249">
        <f t="shared" si="8"/>
        <v>6.2696591005695829E-2</v>
      </c>
      <c r="Q15" s="252">
        <f t="shared" si="9"/>
        <v>-15643.99872285797</v>
      </c>
      <c r="R15" s="253">
        <f t="shared" si="10"/>
        <v>-0.24034928885946183</v>
      </c>
      <c r="S15" s="254"/>
      <c r="T15" s="255"/>
      <c r="U15" s="255"/>
      <c r="V15" s="250">
        <f t="shared" si="11"/>
        <v>0</v>
      </c>
      <c r="W15" s="256"/>
      <c r="X15" s="345">
        <f t="shared" si="12"/>
        <v>1.1468060262912088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45849</v>
      </c>
      <c r="B16" s="247">
        <v>39.21</v>
      </c>
      <c r="C16" s="248">
        <f>_xlfn.XLOOKUP(A16,'Daily KPI'!$A:$A,'Daily KPI'!$AC:$AC,0)</f>
        <v>3.8096774193548386</v>
      </c>
      <c r="D16" s="250">
        <f>_xlfn.XLOOKUP(A16,'Daily KPI'!$A:$A,'Daily KPI'!$AD:$AD,0)*B16/('Modelling New'!$AQ$1)</f>
        <v>171306.96170170087</v>
      </c>
      <c r="E16" s="249">
        <f t="shared" si="1"/>
        <v>1.1468060262912088</v>
      </c>
      <c r="F16" s="249">
        <f t="shared" si="2"/>
        <v>0.18204004261423623</v>
      </c>
      <c r="G16" s="248">
        <f>_xlfn.XLOOKUP(A16,'Daily KPI'!$A:$A,'Daily KPI'!$I:$I,0)</f>
        <v>5.5789999999999997</v>
      </c>
      <c r="H16" s="250">
        <f t="shared" si="14"/>
        <v>250866.78847881002</v>
      </c>
      <c r="I16" s="248">
        <f>_xlfn.XLOOKUP(A16,Input_Raw!A:A,Input_Raw!AS:AS)</f>
        <v>191000</v>
      </c>
      <c r="J16" s="251"/>
      <c r="K16" s="250">
        <f t="shared" si="3"/>
        <v>191000</v>
      </c>
      <c r="L16" s="250">
        <f t="shared" si="4"/>
        <v>0</v>
      </c>
      <c r="M16" s="249">
        <f t="shared" si="5"/>
        <v>0.87313251925382918</v>
      </c>
      <c r="N16" s="249">
        <f t="shared" si="6"/>
        <v>0.87313251925382918</v>
      </c>
      <c r="O16" s="249">
        <f t="shared" si="7"/>
        <v>0.20296693020487971</v>
      </c>
      <c r="P16" s="249">
        <f t="shared" si="8"/>
        <v>0.20296693020487971</v>
      </c>
      <c r="Q16" s="252">
        <f t="shared" si="9"/>
        <v>-59866.78847881002</v>
      </c>
      <c r="R16" s="253">
        <f t="shared" si="10"/>
        <v>-0.27367350703737958</v>
      </c>
      <c r="S16" s="254"/>
      <c r="T16" s="255"/>
      <c r="U16" s="255"/>
      <c r="V16" s="250">
        <f t="shared" si="11"/>
        <v>0</v>
      </c>
      <c r="W16" s="256"/>
      <c r="X16" s="345">
        <f t="shared" si="12"/>
        <v>1.1468060262912088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45850</v>
      </c>
      <c r="B17" s="247">
        <v>39.21</v>
      </c>
      <c r="C17" s="248">
        <f>_xlfn.XLOOKUP(A17,'Daily KPI'!$A:$A,'Daily KPI'!$AC:$AC,0)</f>
        <v>3.8096774193548386</v>
      </c>
      <c r="D17" s="250">
        <f>_xlfn.XLOOKUP(A17,'Daily KPI'!$A:$A,'Daily KPI'!$AD:$AD,0)*B17/('Modelling New'!$AQ$1)</f>
        <v>171306.96170170087</v>
      </c>
      <c r="E17" s="249">
        <f t="shared" si="1"/>
        <v>1.1468060262912088</v>
      </c>
      <c r="F17" s="249">
        <f t="shared" si="2"/>
        <v>0.18204004261423623</v>
      </c>
      <c r="G17" s="248">
        <f>_xlfn.XLOOKUP(A17,'Daily KPI'!$A:$A,'Daily KPI'!$I:$I,0)</f>
        <v>5.93</v>
      </c>
      <c r="H17" s="250">
        <f t="shared" si="14"/>
        <v>266649.94724490831</v>
      </c>
      <c r="I17" s="248">
        <f>_xlfn.XLOOKUP(A17,Input_Raw!A:A,Input_Raw!AS:AS)</f>
        <v>189000</v>
      </c>
      <c r="J17" s="251"/>
      <c r="K17" s="250">
        <f t="shared" si="3"/>
        <v>189000</v>
      </c>
      <c r="L17" s="250">
        <f t="shared" si="4"/>
        <v>0</v>
      </c>
      <c r="M17" s="249">
        <f t="shared" si="5"/>
        <v>0.81284973504969349</v>
      </c>
      <c r="N17" s="249">
        <f t="shared" si="6"/>
        <v>0.8128497350496936</v>
      </c>
      <c r="O17" s="249">
        <f t="shared" si="7"/>
        <v>0.20084162203519512</v>
      </c>
      <c r="P17" s="249">
        <f t="shared" si="8"/>
        <v>0.20084162203519512</v>
      </c>
      <c r="Q17" s="252">
        <f t="shared" si="9"/>
        <v>-77649.947244908311</v>
      </c>
      <c r="R17" s="253">
        <f t="shared" si="10"/>
        <v>-0.33395629124151516</v>
      </c>
      <c r="S17" s="254"/>
      <c r="T17" s="255"/>
      <c r="U17" s="255"/>
      <c r="V17" s="250">
        <f t="shared" si="11"/>
        <v>0</v>
      </c>
      <c r="W17" s="256"/>
      <c r="X17" s="345">
        <f t="shared" si="12"/>
        <v>1.1468060262912088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45851</v>
      </c>
      <c r="B18" s="247">
        <v>39.21</v>
      </c>
      <c r="C18" s="248">
        <f>_xlfn.XLOOKUP(A18,'Daily KPI'!$A:$A,'Daily KPI'!$AC:$AC,0)</f>
        <v>3.8096774193548386</v>
      </c>
      <c r="D18" s="250">
        <f>_xlfn.XLOOKUP(A18,'Daily KPI'!$A:$A,'Daily KPI'!$AD:$AD,0)*B18/('Modelling New'!$AQ$1)</f>
        <v>171306.96170170087</v>
      </c>
      <c r="E18" s="249">
        <f t="shared" si="1"/>
        <v>1.1468060262912088</v>
      </c>
      <c r="F18" s="249">
        <f t="shared" si="2"/>
        <v>0.18204004261423623</v>
      </c>
      <c r="G18" s="248">
        <f>_xlfn.XLOOKUP(A18,'Daily KPI'!$A:$A,'Daily KPI'!$I:$I,0)</f>
        <v>4.2805</v>
      </c>
      <c r="H18" s="250">
        <f t="shared" si="14"/>
        <v>192478.09429710457</v>
      </c>
      <c r="I18" s="248">
        <f>_xlfn.XLOOKUP(A18,Input_Raw!A:A,Input_Raw!AS:AS)</f>
        <v>150000</v>
      </c>
      <c r="J18" s="251"/>
      <c r="K18" s="250">
        <f t="shared" si="3"/>
        <v>150000</v>
      </c>
      <c r="L18" s="250">
        <f t="shared" si="4"/>
        <v>0</v>
      </c>
      <c r="M18" s="249">
        <f t="shared" si="5"/>
        <v>0.89371678669134158</v>
      </c>
      <c r="N18" s="249">
        <f t="shared" si="6"/>
        <v>0.89371678669134169</v>
      </c>
      <c r="O18" s="249">
        <f t="shared" si="7"/>
        <v>0.15939811272634533</v>
      </c>
      <c r="P18" s="249">
        <f t="shared" si="8"/>
        <v>0.15939811272634533</v>
      </c>
      <c r="Q18" s="252">
        <f t="shared" si="9"/>
        <v>-42478.094297104573</v>
      </c>
      <c r="R18" s="253">
        <f t="shared" si="10"/>
        <v>-0.25308923959986707</v>
      </c>
      <c r="S18" s="254"/>
      <c r="T18" s="255"/>
      <c r="U18" s="255"/>
      <c r="V18" s="250">
        <f t="shared" si="11"/>
        <v>0</v>
      </c>
      <c r="W18" s="256"/>
      <c r="X18" s="345">
        <f t="shared" si="12"/>
        <v>1.1468060262912088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45852</v>
      </c>
      <c r="B19" s="247">
        <v>39.21</v>
      </c>
      <c r="C19" s="248">
        <f>_xlfn.XLOOKUP(A19,'Daily KPI'!$A:$A,'Daily KPI'!$AC:$AC,0)</f>
        <v>3.8096774193548386</v>
      </c>
      <c r="D19" s="250">
        <f>_xlfn.XLOOKUP(A19,'Daily KPI'!$A:$A,'Daily KPI'!$AD:$AD,0)*B19/('Modelling New'!$AQ$1)</f>
        <v>171306.96170170087</v>
      </c>
      <c r="E19" s="249">
        <f t="shared" si="1"/>
        <v>1.1468060262912088</v>
      </c>
      <c r="F19" s="249">
        <f t="shared" si="2"/>
        <v>0.18204004261423623</v>
      </c>
      <c r="G19" s="248">
        <f>_xlfn.XLOOKUP(A19,'Daily KPI'!$A:$A,'Daily KPI'!$I:$I,0)</f>
        <v>5.4051</v>
      </c>
      <c r="H19" s="250">
        <f t="shared" si="14"/>
        <v>243047.15511862628</v>
      </c>
      <c r="I19" s="248">
        <f>_xlfn.XLOOKUP(A19,Input_Raw!A:A,Input_Raw!AS:AS)</f>
        <v>168000</v>
      </c>
      <c r="J19" s="251"/>
      <c r="K19" s="250">
        <f t="shared" si="3"/>
        <v>168000</v>
      </c>
      <c r="L19" s="250">
        <f t="shared" si="4"/>
        <v>0</v>
      </c>
      <c r="M19" s="249">
        <f t="shared" si="5"/>
        <v>0.79269972249989118</v>
      </c>
      <c r="N19" s="249">
        <f t="shared" si="6"/>
        <v>0.79269972249989118</v>
      </c>
      <c r="O19" s="249">
        <f t="shared" si="7"/>
        <v>0.17852588625350677</v>
      </c>
      <c r="P19" s="249">
        <f t="shared" si="8"/>
        <v>0.17852588625350677</v>
      </c>
      <c r="Q19" s="252">
        <f t="shared" si="9"/>
        <v>-75047.15511862628</v>
      </c>
      <c r="R19" s="253">
        <f t="shared" si="10"/>
        <v>-0.35410630379131758</v>
      </c>
      <c r="S19" s="254"/>
      <c r="T19" s="255"/>
      <c r="U19" s="255"/>
      <c r="V19" s="250">
        <f t="shared" si="11"/>
        <v>0</v>
      </c>
      <c r="W19" s="256"/>
      <c r="X19" s="345">
        <f t="shared" si="12"/>
        <v>1.1468060262912088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45853</v>
      </c>
      <c r="B20" s="247">
        <v>39.21</v>
      </c>
      <c r="C20" s="248">
        <f>_xlfn.XLOOKUP(A20,'Daily KPI'!$A:$A,'Daily KPI'!$AC:$AC,0)</f>
        <v>3.8096774193548386</v>
      </c>
      <c r="D20" s="250">
        <f>_xlfn.XLOOKUP(A20,'Daily KPI'!$A:$A,'Daily KPI'!$AD:$AD,0)*B20/('Modelling New'!$AQ$1)</f>
        <v>171306.96170170087</v>
      </c>
      <c r="E20" s="249">
        <f t="shared" si="1"/>
        <v>1.1468060262912088</v>
      </c>
      <c r="F20" s="249">
        <f t="shared" si="2"/>
        <v>0.18204004261423623</v>
      </c>
      <c r="G20" s="248">
        <f>_xlfn.XLOOKUP(A20,'Daily KPI'!$A:$A,'Daily KPI'!$I:$I,0)</f>
        <v>4.4325999999999999</v>
      </c>
      <c r="H20" s="250">
        <f t="shared" si="14"/>
        <v>199317.46309574714</v>
      </c>
      <c r="I20" s="248">
        <f>_xlfn.XLOOKUP(A20,Input_Raw!A:A,Input_Raw!AS:AS)</f>
        <v>145000</v>
      </c>
      <c r="J20" s="251"/>
      <c r="K20" s="250">
        <f t="shared" si="3"/>
        <v>145000</v>
      </c>
      <c r="L20" s="250">
        <f t="shared" si="4"/>
        <v>0</v>
      </c>
      <c r="M20" s="249">
        <f t="shared" si="5"/>
        <v>0.83428150865208039</v>
      </c>
      <c r="N20" s="249">
        <f t="shared" si="6"/>
        <v>0.83428150865208028</v>
      </c>
      <c r="O20" s="249">
        <f t="shared" si="7"/>
        <v>0.15408484230213382</v>
      </c>
      <c r="P20" s="249">
        <f t="shared" si="8"/>
        <v>0.15408484230213382</v>
      </c>
      <c r="Q20" s="252">
        <f t="shared" si="9"/>
        <v>-54317.463095747138</v>
      </c>
      <c r="R20" s="253">
        <f t="shared" si="10"/>
        <v>-0.31252451763912847</v>
      </c>
      <c r="S20" s="254"/>
      <c r="T20" s="255"/>
      <c r="U20" s="255"/>
      <c r="V20" s="250">
        <f t="shared" si="11"/>
        <v>0</v>
      </c>
      <c r="W20" s="256"/>
      <c r="X20" s="345">
        <f t="shared" si="12"/>
        <v>1.1468060262912088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45854</v>
      </c>
      <c r="B21" s="247">
        <v>39.21</v>
      </c>
      <c r="C21" s="248">
        <f>_xlfn.XLOOKUP(A21,'Daily KPI'!$A:$A,'Daily KPI'!$AC:$AC,0)</f>
        <v>3.8096774193548386</v>
      </c>
      <c r="D21" s="250">
        <f>_xlfn.XLOOKUP(A21,'Daily KPI'!$A:$A,'Daily KPI'!$AD:$AD,0)*B21/('Modelling New'!$AQ$1)</f>
        <v>171306.96170170087</v>
      </c>
      <c r="E21" s="249">
        <f t="shared" si="1"/>
        <v>1.1468060262912088</v>
      </c>
      <c r="F21" s="249">
        <f t="shared" si="2"/>
        <v>0.18204004261423623</v>
      </c>
      <c r="G21" s="248">
        <f>_xlfn.XLOOKUP(A21,'Daily KPI'!$A:$A,'Daily KPI'!$I:$I,0)</f>
        <v>0</v>
      </c>
      <c r="H21" s="250">
        <f t="shared" si="14"/>
        <v>0</v>
      </c>
      <c r="I21" s="248">
        <f>_xlfn.XLOOKUP(A21,Input_Raw!A:A,Input_Raw!AS:AS)</f>
        <v>0</v>
      </c>
      <c r="J21" s="251"/>
      <c r="K21" s="250">
        <f t="shared" si="3"/>
        <v>0</v>
      </c>
      <c r="L21" s="250">
        <f t="shared" si="4"/>
        <v>0</v>
      </c>
      <c r="M21" s="249">
        <f t="shared" si="5"/>
        <v>0</v>
      </c>
      <c r="N21" s="249">
        <f t="shared" si="6"/>
        <v>0</v>
      </c>
      <c r="O21" s="249">
        <f t="shared" si="7"/>
        <v>0</v>
      </c>
      <c r="P21" s="249">
        <f t="shared" si="8"/>
        <v>0</v>
      </c>
      <c r="Q21" s="252">
        <f t="shared" si="9"/>
        <v>0</v>
      </c>
      <c r="R21" s="253">
        <f t="shared" si="10"/>
        <v>-1.1468060262912088</v>
      </c>
      <c r="S21" s="254"/>
      <c r="T21" s="255"/>
      <c r="U21" s="255"/>
      <c r="V21" s="250">
        <f t="shared" si="11"/>
        <v>0</v>
      </c>
      <c r="W21" s="256"/>
      <c r="X21" s="345">
        <f t="shared" si="12"/>
        <v>1.1468060262912088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45855</v>
      </c>
      <c r="B22" s="247">
        <v>39.21</v>
      </c>
      <c r="C22" s="248">
        <f>_xlfn.XLOOKUP(A22,'Daily KPI'!$A:$A,'Daily KPI'!$AC:$AC,0)</f>
        <v>3.8096774193548386</v>
      </c>
      <c r="D22" s="250">
        <f>_xlfn.XLOOKUP(A22,'Daily KPI'!$A:$A,'Daily KPI'!$AD:$AD,0)*B22/('Modelling New'!$AQ$1)</f>
        <v>171306.96170170087</v>
      </c>
      <c r="E22" s="249">
        <f t="shared" si="1"/>
        <v>1.1468060262912088</v>
      </c>
      <c r="F22" s="249">
        <f t="shared" si="2"/>
        <v>0.18204004261423623</v>
      </c>
      <c r="G22" s="248">
        <f>_xlfn.XLOOKUP(A22,'Daily KPI'!$A:$A,'Daily KPI'!$I:$I,0)</f>
        <v>0</v>
      </c>
      <c r="H22" s="250">
        <f t="shared" si="14"/>
        <v>0</v>
      </c>
      <c r="I22" s="248">
        <f>_xlfn.XLOOKUP(A22,Input_Raw!A:A,Input_Raw!AS:AS)</f>
        <v>0</v>
      </c>
      <c r="J22" s="251"/>
      <c r="K22" s="250">
        <f t="shared" si="3"/>
        <v>0</v>
      </c>
      <c r="L22" s="250">
        <f t="shared" si="4"/>
        <v>0</v>
      </c>
      <c r="M22" s="249">
        <f t="shared" si="5"/>
        <v>0</v>
      </c>
      <c r="N22" s="249">
        <f t="shared" si="6"/>
        <v>0</v>
      </c>
      <c r="O22" s="249">
        <f t="shared" si="7"/>
        <v>0</v>
      </c>
      <c r="P22" s="249">
        <f t="shared" si="8"/>
        <v>0</v>
      </c>
      <c r="Q22" s="252">
        <f t="shared" si="9"/>
        <v>0</v>
      </c>
      <c r="R22" s="253">
        <f t="shared" si="10"/>
        <v>-1.1468060262912088</v>
      </c>
      <c r="S22" s="258"/>
      <c r="T22" s="255"/>
      <c r="U22" s="255"/>
      <c r="V22" s="250">
        <f>(U22-T22)*(24*60)</f>
        <v>0</v>
      </c>
      <c r="W22" s="256"/>
      <c r="X22" s="345">
        <f t="shared" si="12"/>
        <v>1.1468060262912088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45856</v>
      </c>
      <c r="B23" s="247">
        <v>39.21</v>
      </c>
      <c r="C23" s="248">
        <f>_xlfn.XLOOKUP(A23,'Daily KPI'!$A:$A,'Daily KPI'!$AC:$AC,0)</f>
        <v>3.8096774193548386</v>
      </c>
      <c r="D23" s="250">
        <f>_xlfn.XLOOKUP(A23,'Daily KPI'!$A:$A,'Daily KPI'!$AD:$AD,0)*B23/('Modelling New'!$AQ$1)</f>
        <v>171306.96170170087</v>
      </c>
      <c r="E23" s="249">
        <f t="shared" si="1"/>
        <v>1.1468060262912088</v>
      </c>
      <c r="F23" s="249">
        <f t="shared" si="2"/>
        <v>0.18204004261423623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-1.1468060262912088</v>
      </c>
      <c r="S23" s="258"/>
      <c r="T23" s="255"/>
      <c r="U23" s="255"/>
      <c r="V23" s="250">
        <f t="shared" si="11"/>
        <v>0</v>
      </c>
      <c r="W23" s="256"/>
      <c r="X23" s="345">
        <f t="shared" si="12"/>
        <v>1.1468060262912088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45857</v>
      </c>
      <c r="B24" s="247">
        <v>39.21</v>
      </c>
      <c r="C24" s="248">
        <f>_xlfn.XLOOKUP(A24,'Daily KPI'!$A:$A,'Daily KPI'!$AC:$AC,0)</f>
        <v>3.8096774193548386</v>
      </c>
      <c r="D24" s="250">
        <f>_xlfn.XLOOKUP(A24,'Daily KPI'!$A:$A,'Daily KPI'!$AD:$AD,0)*B24/('Modelling New'!$AQ$1)</f>
        <v>171306.96170170087</v>
      </c>
      <c r="E24" s="249">
        <f t="shared" si="1"/>
        <v>1.1468060262912088</v>
      </c>
      <c r="F24" s="249">
        <f t="shared" si="2"/>
        <v>0.18204004261423623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-1.1468060262912088</v>
      </c>
      <c r="S24" s="258"/>
      <c r="T24" s="255"/>
      <c r="U24" s="255"/>
      <c r="V24" s="250">
        <f t="shared" si="11"/>
        <v>0</v>
      </c>
      <c r="W24" s="256"/>
      <c r="X24" s="345">
        <f t="shared" si="12"/>
        <v>1.1468060262912088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45858</v>
      </c>
      <c r="B25" s="247">
        <v>39.21</v>
      </c>
      <c r="C25" s="248">
        <f>_xlfn.XLOOKUP(A25,'Daily KPI'!$A:$A,'Daily KPI'!$AC:$AC,0)</f>
        <v>3.8096774193548386</v>
      </c>
      <c r="D25" s="250">
        <f>_xlfn.XLOOKUP(A25,'Daily KPI'!$A:$A,'Daily KPI'!$AD:$AD,0)*B25/('Modelling New'!$AQ$1)</f>
        <v>171306.96170170087</v>
      </c>
      <c r="E25" s="249">
        <f t="shared" si="1"/>
        <v>1.1468060262912088</v>
      </c>
      <c r="F25" s="249">
        <f t="shared" si="2"/>
        <v>0.18204004261423623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-1.1468060262912088</v>
      </c>
      <c r="S25" s="258"/>
      <c r="T25" s="255"/>
      <c r="U25" s="255"/>
      <c r="V25" s="250">
        <f t="shared" si="11"/>
        <v>0</v>
      </c>
      <c r="W25" s="256"/>
      <c r="X25" s="345">
        <f t="shared" si="12"/>
        <v>1.1468060262912088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45859</v>
      </c>
      <c r="B26" s="247">
        <v>39.21</v>
      </c>
      <c r="C26" s="248">
        <f>_xlfn.XLOOKUP(A26,'Daily KPI'!$A:$A,'Daily KPI'!$AC:$AC,0)</f>
        <v>3.8096774193548386</v>
      </c>
      <c r="D26" s="250">
        <f>_xlfn.XLOOKUP(A26,'Daily KPI'!$A:$A,'Daily KPI'!$AD:$AD,0)*B26/('Modelling New'!$AQ$1)</f>
        <v>171306.96170170087</v>
      </c>
      <c r="E26" s="249">
        <f t="shared" si="1"/>
        <v>1.1468060262912088</v>
      </c>
      <c r="F26" s="249">
        <f t="shared" si="2"/>
        <v>0.18204004261423623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-1.1468060262912088</v>
      </c>
      <c r="S26" s="254"/>
      <c r="T26" s="255"/>
      <c r="U26" s="255"/>
      <c r="V26" s="250">
        <f t="shared" si="11"/>
        <v>0</v>
      </c>
      <c r="W26" s="256"/>
      <c r="X26" s="345">
        <f t="shared" si="12"/>
        <v>1.1468060262912088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45860</v>
      </c>
      <c r="B27" s="247">
        <v>39.21</v>
      </c>
      <c r="C27" s="248">
        <f>_xlfn.XLOOKUP(A27,'Daily KPI'!$A:$A,'Daily KPI'!$AC:$AC,0)</f>
        <v>3.8096774193548386</v>
      </c>
      <c r="D27" s="250">
        <f>_xlfn.XLOOKUP(A27,'Daily KPI'!$A:$A,'Daily KPI'!$AD:$AD,0)*B27/('Modelling New'!$AQ$1)</f>
        <v>171306.96170170087</v>
      </c>
      <c r="E27" s="249">
        <f t="shared" si="1"/>
        <v>1.1468060262912088</v>
      </c>
      <c r="F27" s="249">
        <f t="shared" si="2"/>
        <v>0.18204004261423623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-1.1468060262912088</v>
      </c>
      <c r="S27" s="254"/>
      <c r="T27" s="255"/>
      <c r="U27" s="255"/>
      <c r="V27" s="250">
        <f t="shared" si="11"/>
        <v>0</v>
      </c>
      <c r="W27" s="256"/>
      <c r="X27" s="345">
        <f t="shared" si="12"/>
        <v>1.1468060262912088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45861</v>
      </c>
      <c r="B28" s="247">
        <v>39.21</v>
      </c>
      <c r="C28" s="248">
        <f>_xlfn.XLOOKUP(A28,'Daily KPI'!$A:$A,'Daily KPI'!$AC:$AC,0)</f>
        <v>3.8096774193548386</v>
      </c>
      <c r="D28" s="250">
        <f>_xlfn.XLOOKUP(A28,'Daily KPI'!$A:$A,'Daily KPI'!$AD:$AD,0)*B28/('Modelling New'!$AQ$1)</f>
        <v>171306.96170170087</v>
      </c>
      <c r="E28" s="249">
        <f t="shared" si="1"/>
        <v>1.1468060262912088</v>
      </c>
      <c r="F28" s="249">
        <f t="shared" si="2"/>
        <v>0.18204004261423623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-1.1468060262912088</v>
      </c>
      <c r="S28" s="254"/>
      <c r="T28" s="255"/>
      <c r="U28" s="255"/>
      <c r="V28" s="250">
        <f t="shared" si="11"/>
        <v>0</v>
      </c>
      <c r="W28" s="256"/>
      <c r="X28" s="345">
        <f t="shared" si="12"/>
        <v>1.1468060262912088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45862</v>
      </c>
      <c r="B29" s="247">
        <v>39.21</v>
      </c>
      <c r="C29" s="248">
        <f>_xlfn.XLOOKUP(A29,'Daily KPI'!$A:$A,'Daily KPI'!$AC:$AC,0)</f>
        <v>3.8096774193548386</v>
      </c>
      <c r="D29" s="250">
        <f>_xlfn.XLOOKUP(A29,'Daily KPI'!$A:$A,'Daily KPI'!$AD:$AD,0)*B29/('Modelling New'!$AQ$1)</f>
        <v>171306.96170170087</v>
      </c>
      <c r="E29" s="249">
        <f t="shared" si="1"/>
        <v>1.1468060262912088</v>
      </c>
      <c r="F29" s="249">
        <f t="shared" si="2"/>
        <v>0.18204004261423623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-1.1468060262912088</v>
      </c>
      <c r="S29" s="254"/>
      <c r="T29" s="255"/>
      <c r="U29" s="255"/>
      <c r="V29" s="250">
        <f t="shared" si="11"/>
        <v>0</v>
      </c>
      <c r="W29" s="256"/>
      <c r="X29" s="345">
        <f t="shared" si="12"/>
        <v>1.1468060262912088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45863</v>
      </c>
      <c r="B30" s="247">
        <v>39.21</v>
      </c>
      <c r="C30" s="248">
        <f>_xlfn.XLOOKUP(A30,'Daily KPI'!$A:$A,'Daily KPI'!$AC:$AC,0)</f>
        <v>3.8096774193548386</v>
      </c>
      <c r="D30" s="250">
        <f>_xlfn.XLOOKUP(A30,'Daily KPI'!$A:$A,'Daily KPI'!$AD:$AD,0)*B30/('Modelling New'!$AQ$1)</f>
        <v>171306.96170170087</v>
      </c>
      <c r="E30" s="249">
        <f t="shared" si="1"/>
        <v>1.1468060262912088</v>
      </c>
      <c r="F30" s="249">
        <f t="shared" si="2"/>
        <v>0.18204004261423623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-1.1468060262912088</v>
      </c>
      <c r="S30" s="254"/>
      <c r="T30" s="255"/>
      <c r="U30" s="255"/>
      <c r="V30" s="250">
        <f t="shared" si="11"/>
        <v>0</v>
      </c>
      <c r="W30" s="256"/>
      <c r="X30" s="345">
        <f t="shared" si="12"/>
        <v>1.1468060262912088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45864</v>
      </c>
      <c r="B31" s="247">
        <v>39.21</v>
      </c>
      <c r="C31" s="248">
        <f>_xlfn.XLOOKUP(A31,'Daily KPI'!$A:$A,'Daily KPI'!$AC:$AC,0)</f>
        <v>3.8096774193548386</v>
      </c>
      <c r="D31" s="250">
        <f>_xlfn.XLOOKUP(A31,'Daily KPI'!$A:$A,'Daily KPI'!$AD:$AD,0)*B31/('Modelling New'!$AQ$1)</f>
        <v>171306.96170170087</v>
      </c>
      <c r="E31" s="249">
        <f t="shared" si="1"/>
        <v>1.1468060262912088</v>
      </c>
      <c r="F31" s="249">
        <f t="shared" si="2"/>
        <v>0.18204004261423623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-1.1468060262912088</v>
      </c>
      <c r="S31" s="254"/>
      <c r="T31" s="255"/>
      <c r="U31" s="255"/>
      <c r="V31" s="250">
        <f t="shared" si="11"/>
        <v>0</v>
      </c>
      <c r="W31" s="256"/>
      <c r="X31" s="345">
        <f t="shared" si="12"/>
        <v>1.1468060262912088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45865</v>
      </c>
      <c r="B32" s="247">
        <v>39.21</v>
      </c>
      <c r="C32" s="248">
        <f>_xlfn.XLOOKUP(A32,'Daily KPI'!$A:$A,'Daily KPI'!$AC:$AC,0)</f>
        <v>3.8096774193548386</v>
      </c>
      <c r="D32" s="250">
        <f>_xlfn.XLOOKUP(A32,'Daily KPI'!$A:$A,'Daily KPI'!$AD:$AD,0)*B32/('Modelling New'!$AQ$1)</f>
        <v>171306.96170170087</v>
      </c>
      <c r="E32" s="249">
        <f t="shared" si="1"/>
        <v>1.1468060262912088</v>
      </c>
      <c r="F32" s="249">
        <f t="shared" si="2"/>
        <v>0.18204004261423623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-1.1468060262912088</v>
      </c>
      <c r="S32" s="254"/>
      <c r="T32" s="255"/>
      <c r="U32" s="255"/>
      <c r="V32" s="250">
        <f t="shared" si="11"/>
        <v>0</v>
      </c>
      <c r="W32" s="256"/>
      <c r="X32" s="345">
        <f t="shared" si="12"/>
        <v>1.1468060262912088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45866</v>
      </c>
      <c r="B33" s="247">
        <v>39.21</v>
      </c>
      <c r="C33" s="248">
        <f>_xlfn.XLOOKUP(A33,'Daily KPI'!$A:$A,'Daily KPI'!$AC:$AC,0)</f>
        <v>3.8096774193548386</v>
      </c>
      <c r="D33" s="250">
        <f>_xlfn.XLOOKUP(A33,'Daily KPI'!$A:$A,'Daily KPI'!$AD:$AD,0)*B33/('Modelling New'!$AQ$1)</f>
        <v>171306.96170170087</v>
      </c>
      <c r="E33" s="249">
        <f t="shared" si="1"/>
        <v>1.1468060262912088</v>
      </c>
      <c r="F33" s="249">
        <f t="shared" si="2"/>
        <v>0.18204004261423623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-1.1468060262912088</v>
      </c>
      <c r="S33" s="254"/>
      <c r="T33" s="255"/>
      <c r="U33" s="255"/>
      <c r="V33" s="250">
        <f t="shared" si="11"/>
        <v>0</v>
      </c>
      <c r="W33" s="256"/>
      <c r="X33" s="345">
        <f t="shared" si="12"/>
        <v>1.1468060262912088</v>
      </c>
      <c r="Y33" s="256"/>
      <c r="Z33" s="250">
        <f t="shared" si="0"/>
        <v>0</v>
      </c>
      <c r="AA33" s="254"/>
    </row>
    <row r="34" spans="1:27">
      <c r="A34" s="246">
        <f t="shared" si="13"/>
        <v>45867</v>
      </c>
      <c r="B34" s="247">
        <v>39.21</v>
      </c>
      <c r="C34" s="248">
        <f>_xlfn.XLOOKUP(A34,'Daily KPI'!$A:$A,'Daily KPI'!$AC:$AC,0)</f>
        <v>3.8096774193548386</v>
      </c>
      <c r="D34" s="250">
        <f>_xlfn.XLOOKUP(A34,'Daily KPI'!$A:$A,'Daily KPI'!$AD:$AD,0)*B34/('Modelling New'!$AQ$1)</f>
        <v>171306.96170170087</v>
      </c>
      <c r="E34" s="249">
        <f t="shared" si="1"/>
        <v>1.1468060262912088</v>
      </c>
      <c r="F34" s="249">
        <f t="shared" si="2"/>
        <v>0.18204004261423623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-1.1468060262912088</v>
      </c>
      <c r="S34" s="254"/>
      <c r="T34" s="255"/>
      <c r="U34" s="255"/>
      <c r="V34" s="250">
        <f t="shared" ref="V34:V35" si="20">(U34-T34)*(24*60)</f>
        <v>0</v>
      </c>
      <c r="W34" s="256"/>
      <c r="X34" s="345">
        <f t="shared" ref="X34:X35" si="21">E34</f>
        <v>1.1468060262912088</v>
      </c>
      <c r="Y34" s="256"/>
      <c r="Z34" s="250">
        <f t="shared" si="0"/>
        <v>0</v>
      </c>
      <c r="AA34" s="254"/>
    </row>
    <row r="35" spans="1:27">
      <c r="A35" s="246">
        <f t="shared" si="13"/>
        <v>45868</v>
      </c>
      <c r="B35" s="247">
        <v>39.21</v>
      </c>
      <c r="C35" s="248">
        <f>_xlfn.XLOOKUP(A35,'Daily KPI'!$A:$A,'Daily KPI'!$AC:$AC,0)</f>
        <v>3.8096774193548386</v>
      </c>
      <c r="D35" s="250">
        <f>_xlfn.XLOOKUP(A35,'Daily KPI'!$A:$A,'Daily KPI'!$AD:$AD,0)*B35/('Modelling New'!$AQ$1)</f>
        <v>171306.96170170087</v>
      </c>
      <c r="E35" s="249">
        <f t="shared" si="1"/>
        <v>1.1468060262912088</v>
      </c>
      <c r="F35" s="249">
        <f t="shared" si="2"/>
        <v>0.18204004261423623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-1.1468060262912088</v>
      </c>
      <c r="S35" s="254"/>
      <c r="T35" s="255"/>
      <c r="U35" s="255"/>
      <c r="V35" s="250">
        <f t="shared" si="20"/>
        <v>0</v>
      </c>
      <c r="W35" s="256"/>
      <c r="X35" s="345">
        <f t="shared" si="21"/>
        <v>1.1468060262912088</v>
      </c>
      <c r="Y35" s="256"/>
      <c r="Z35" s="250">
        <f t="shared" si="0"/>
        <v>0</v>
      </c>
      <c r="AA35" s="254"/>
    </row>
    <row r="36" spans="1:27">
      <c r="A36" s="246">
        <f t="shared" si="13"/>
        <v>45869</v>
      </c>
      <c r="B36" s="247">
        <v>39.21</v>
      </c>
      <c r="C36" s="248">
        <f>_xlfn.XLOOKUP(A36,'Daily KPI'!$A:$A,'Daily KPI'!$AC:$AC,0)</f>
        <v>3.8096774193548386</v>
      </c>
      <c r="D36" s="250">
        <f>_xlfn.XLOOKUP(A36,'Daily KPI'!$A:$A,'Daily KPI'!$AD:$AD,0)*B36/('Modelling New'!$AQ$1)</f>
        <v>171306.96170170087</v>
      </c>
      <c r="E36" s="249">
        <f t="shared" ref="E36" si="22">IFERROR(D36/(B36*C36*1000),0)</f>
        <v>1.1468060262912088</v>
      </c>
      <c r="F36" s="249">
        <f t="shared" ref="F36" si="23">IFERROR(D36/(24*1*B36*1000),0)</f>
        <v>0.18204004261423623</v>
      </c>
      <c r="G36" s="248">
        <f>_xlfn.XLOOKUP(A36,'Daily KPI'!$A:$A,'Daily KPI'!$I:$I,0)</f>
        <v>0</v>
      </c>
      <c r="H36" s="250">
        <f t="shared" ref="H36" si="24">IFERROR(D36*(G36/C36),0)</f>
        <v>0</v>
      </c>
      <c r="I36" s="248">
        <f>_xlfn.XLOOKUP(A36,Input_Raw!A:A,Input_Raw!AS:AS)</f>
        <v>0</v>
      </c>
      <c r="J36" s="251"/>
      <c r="K36" s="250">
        <f t="shared" ref="K36" si="25">I36-J36</f>
        <v>0</v>
      </c>
      <c r="L36" s="250">
        <f t="shared" ref="L36" si="26">Z36</f>
        <v>0</v>
      </c>
      <c r="M36" s="249">
        <f t="shared" ref="M36" si="27">IFERROR(I36/(B36*G36*1000),0)</f>
        <v>0</v>
      </c>
      <c r="N36" s="249">
        <f t="shared" ref="N36" si="28">IFERROR((I36+L36)/(B36*G36)/1000,0)</f>
        <v>0</v>
      </c>
      <c r="O36" s="249">
        <f t="shared" ref="O36" si="29">IFERROR(I36/(24*1*B36)/1000,0)</f>
        <v>0</v>
      </c>
      <c r="P36" s="249">
        <f t="shared" ref="P36" si="30">IFERROR((I36+L36)/(24*1*B36)/1000,0)</f>
        <v>0</v>
      </c>
      <c r="Q36" s="252">
        <f t="shared" ref="Q36" si="31">(I36+L36)-H36</f>
        <v>0</v>
      </c>
      <c r="R36" s="253">
        <f t="shared" ref="R36" si="32">N36-E36</f>
        <v>-1.1468060262912088</v>
      </c>
      <c r="S36" s="254"/>
      <c r="T36" s="255"/>
      <c r="U36" s="255"/>
      <c r="V36" s="250">
        <f t="shared" ref="V36" si="33">(U36-T36)*(24*60)</f>
        <v>0</v>
      </c>
      <c r="W36" s="256"/>
      <c r="X36" s="345">
        <f t="shared" ref="X36" si="34">E36</f>
        <v>1.1468060262912088</v>
      </c>
      <c r="Y36" s="256"/>
      <c r="Z36" s="250">
        <f t="shared" ref="Z36" si="35">(Y36*X36*W36)</f>
        <v>0</v>
      </c>
      <c r="AA36" s="254"/>
    </row>
    <row r="37" spans="1:27" s="270" customFormat="1" ht="15" customHeight="1">
      <c r="A37" s="260" t="s">
        <v>68</v>
      </c>
      <c r="B37" s="261">
        <f>IFERROR(AVERAGEIF(B6:B36,"&lt;&gt;0"),0)</f>
        <v>39.210000000000015</v>
      </c>
      <c r="C37" s="262">
        <f>SUM(C6:C36)</f>
        <v>118.10000000000005</v>
      </c>
      <c r="D37" s="263">
        <f>SUM(D6:D36)</f>
        <v>5310515.8127527256</v>
      </c>
      <c r="E37" s="264">
        <f>IFERROR(AVERAGEIF(E6:E36,"&lt;&gt;0"),0)</f>
        <v>1.1468060262912088</v>
      </c>
      <c r="F37" s="264">
        <f>IFERROR(AVERAGEIF(F6:F36,"&lt;&gt;0"),0)</f>
        <v>0.18204004261423631</v>
      </c>
      <c r="G37" s="262">
        <f>SUM(G6:G36)</f>
        <v>48.163200000000003</v>
      </c>
      <c r="H37" s="265">
        <f>IFERROR(D37*(G37/C37),0)</f>
        <v>2165719.1802944285</v>
      </c>
      <c r="I37" s="263">
        <f>SUM(I6:I36)</f>
        <v>1657000</v>
      </c>
      <c r="J37" s="263">
        <f>SUM(J6:J36)</f>
        <v>0</v>
      </c>
      <c r="K37" s="263">
        <f>SUM(K6:K36)</f>
        <v>1657000</v>
      </c>
      <c r="L37" s="263">
        <f>SUM(L6:L36)</f>
        <v>0</v>
      </c>
      <c r="M37" s="264">
        <f>IFERROR(AVERAGEIF(M6:M36,"&lt;&gt;0"),0)</f>
        <v>0.89786500570362549</v>
      </c>
      <c r="N37" s="264">
        <f>IFERROR(AVERAGEIF(N6:N36,"&lt;&gt;0"),0)</f>
        <v>0.89786500570362549</v>
      </c>
      <c r="O37" s="264">
        <f>IFERROR(AVERAGEIF(O6:O36,"&lt;&gt;0"),0)</f>
        <v>0.11738785457224633</v>
      </c>
      <c r="P37" s="264">
        <f>IFERROR(AVERAGEIF(P6:P36,"&lt;&gt;0"),0)</f>
        <v>0.11738785457224633</v>
      </c>
      <c r="Q37" s="263">
        <f>(I37+L37)-H37</f>
        <v>-508719.18029442849</v>
      </c>
      <c r="R37" s="266">
        <f>N37-E37</f>
        <v>-0.24894102058758327</v>
      </c>
      <c r="S37" s="267"/>
      <c r="T37" s="267"/>
      <c r="U37" s="267"/>
      <c r="V37" s="263">
        <f>SUM(V6:V36)</f>
        <v>0</v>
      </c>
      <c r="W37" s="262"/>
      <c r="X37" s="268"/>
      <c r="Y37" s="269"/>
      <c r="Z37" s="263">
        <f>SUM(Z6:Z36)</f>
        <v>0</v>
      </c>
      <c r="AA37" s="263"/>
    </row>
    <row r="38" spans="1:27">
      <c r="I38" s="271"/>
      <c r="J38" s="271"/>
      <c r="K38" s="271"/>
      <c r="L38" s="271"/>
      <c r="M38" s="271"/>
      <c r="N38" s="271"/>
      <c r="O38" s="271"/>
      <c r="P38" s="271"/>
    </row>
    <row r="39" spans="1:27">
      <c r="C39" s="272"/>
      <c r="E39" s="272"/>
      <c r="F39" s="272"/>
      <c r="Z39" s="271"/>
    </row>
    <row r="41" spans="1:27">
      <c r="I41" s="273"/>
      <c r="J41" s="273"/>
      <c r="K41" s="273"/>
      <c r="L41" s="273"/>
      <c r="M41" s="273"/>
      <c r="N41" s="273"/>
      <c r="O41" s="273"/>
      <c r="P41" s="273"/>
    </row>
  </sheetData>
  <mergeCells count="30">
    <mergeCell ref="R3:R5"/>
    <mergeCell ref="T3:AA3"/>
    <mergeCell ref="T4:U4"/>
    <mergeCell ref="V4:V5"/>
    <mergeCell ref="W4:W5"/>
    <mergeCell ref="X4:X5"/>
    <mergeCell ref="Y4:Y5"/>
    <mergeCell ref="Z4:Z5"/>
    <mergeCell ref="AA4:AA5"/>
    <mergeCell ref="M3:M5"/>
    <mergeCell ref="N3:N5"/>
    <mergeCell ref="O3:O5"/>
    <mergeCell ref="P3:P5"/>
    <mergeCell ref="Q3:Q5"/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</mergeCells>
  <conditionalFormatting sqref="Q6:R36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N4" sqref="N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5" t="s">
        <v>69</v>
      </c>
      <c r="B1" s="76">
        <f>O2Summary!B5</f>
        <v>45853</v>
      </c>
      <c r="C1" s="80">
        <f>O2Summary!B4</f>
        <v>45839</v>
      </c>
    </row>
    <row r="2" spans="1:14" ht="21">
      <c r="A2" s="391" t="s">
        <v>70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</row>
    <row r="3" spans="1:14" ht="31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106</v>
      </c>
      <c r="C4" s="82">
        <f>_xlfn.XLOOKUP($C$1,'Modelling New'!$D:$D,'Modelling New'!$S:$S,0)</f>
        <v>594.2531953903225</v>
      </c>
      <c r="D4" s="83">
        <f>SUMIFS('Daily KPI'!$I:$I,'Daily KPI'!$A:$A,"&gt;="&amp;O2Summary!$B$7,'Daily KPI'!$A:$A,"&lt;="&amp;AnnualKPI!$B$1)</f>
        <v>536.51089823666632</v>
      </c>
      <c r="E4" s="81">
        <f>_xlfn.XLOOKUP($C$1,'Modelling New'!$D:$D,'Modelling New'!$V:$V,0)</f>
        <v>18836.618100169304</v>
      </c>
      <c r="F4" s="84">
        <f>SUMIFS('Daily KPI'!$Y:$Y,'Daily KPI'!$D:$D,"&gt;="&amp;O2Summary!$B$7,'Daily KPI'!$A:$A,"&lt;="&amp;AnnualKPI!$B$1)/1000</f>
        <v>16190</v>
      </c>
      <c r="G4" s="85">
        <f>_xlfn.XLOOKUP($C$1,'Modelling New'!$D:$D,'Modelling New'!$Y:$Y,0)</f>
        <v>0.13618099665204483</v>
      </c>
      <c r="H4" s="86">
        <f>F4/_xlfn.XLOOKUP(C1,'Modelling New'!D:D,'Modelling New'!N:N)/(24*B4)</f>
        <v>0.11704703700378093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1</v>
      </c>
      <c r="M4" s="88">
        <f>_xlfn.XLOOKUP($C$1,'Modelling New'!$D:$D,'Modelling New'!O:O)</f>
        <v>0.82702281611841366</v>
      </c>
      <c r="N4" s="86">
        <f>F4/D4/_xlfn.XLOOKUP($C$1,'Modelling New'!$D:$D,'Modelling New'!$AA:$AA)</f>
        <v>0.78617972835701599</v>
      </c>
    </row>
    <row r="6" spans="1:14">
      <c r="L6" s="25"/>
      <c r="M6" s="25"/>
    </row>
  </sheetData>
  <sheetProtection algorithmName="SHA-512" hashValue="zMpsVKEcTMPMOuY8SYlzm9KJV0qOTvejLpqfPg6YHoPTqxCfFqZbR3sQ4lJG7YJvbRCCpFRpT/gGQdU2Nn3u2Q==" saltValue="/rgGQfcW7/7Ga4kdmq633A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1" sqref="B1"/>
    </sheetView>
  </sheetViews>
  <sheetFormatPr defaultColWidth="8.81640625" defaultRowHeight="29.25" customHeight="1"/>
  <cols>
    <col min="1" max="1" width="18.1796875" style="4" customWidth="1"/>
    <col min="2" max="2" width="11.453125" customWidth="1"/>
    <col min="3" max="3" width="12.1796875" customWidth="1"/>
    <col min="4" max="4" width="12" customWidth="1"/>
    <col min="5" max="5" width="14.81640625" customWidth="1"/>
    <col min="6" max="6" width="14.453125" customWidth="1"/>
    <col min="7" max="12" width="12.1796875" customWidth="1"/>
    <col min="13" max="13" width="11.1796875" customWidth="1"/>
    <col min="14" max="14" width="13.453125" customWidth="1"/>
    <col min="15" max="20" width="11.1796875" customWidth="1"/>
  </cols>
  <sheetData>
    <row r="1" spans="1:15" ht="29.25" customHeight="1">
      <c r="A1" s="143" t="s">
        <v>69</v>
      </c>
      <c r="B1" s="76">
        <f>O2Summary!B5</f>
        <v>45853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91" t="s">
        <v>85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45839</v>
      </c>
      <c r="B4" s="81">
        <f>DAY(B1)</f>
        <v>15</v>
      </c>
      <c r="C4" s="82">
        <f>_xlfn.XLOOKUP($A$4,'Modelling New'!$D:$D,'Modelling New'!$R:$R,0)</f>
        <v>57.145161290322577</v>
      </c>
      <c r="D4" s="83">
        <f>SUMIF('Daily KPI'!$D:$D,$A$4,'Daily KPI'!I:I)</f>
        <v>48.163200000000003</v>
      </c>
      <c r="E4" s="81">
        <f>_xlfn.XLOOKUP($A$4,'Modelling New'!$D:$D,'Modelling New'!$U:$U,0)</f>
        <v>2569.6044255255129</v>
      </c>
      <c r="F4" s="84">
        <f>SUMIFS('Daily KPI'!$AA:$AA,'Daily KPI'!$D:$D,"&gt;="&amp;$A$4,'Daily KPI'!$A:$A,"&lt;="&amp;MonthlyKPI!$B$1)/1000</f>
        <v>1638.4303688744508</v>
      </c>
      <c r="G4" s="85">
        <f>E4/_xlfn.XLOOKUP(A4,'Modelling New'!D:D,'Modelling New'!N:N)/(24*B4)</f>
        <v>0.13127875616073204</v>
      </c>
      <c r="H4" s="86">
        <f>F4/(24*B4)/(_xlfn.XLOOKUP(A4,'Modelling New'!D:D,'Modelling New'!N:N))</f>
        <v>8.3705919380107977E-2</v>
      </c>
      <c r="I4" s="85">
        <f>_xlfn.XLOOKUP($A$4,'Modelling New'!$D:$D,'Modelling New'!$AF:$AF)</f>
        <v>0.995</v>
      </c>
      <c r="J4" s="86">
        <f>AVERAGEIF('Daily KPI'!$D:$D,$A$4,'Daily KPI'!$R:$R)</f>
        <v>1</v>
      </c>
      <c r="K4" s="85">
        <f>_xlfn.XLOOKUP($A$4,'Modelling New'!$D:$D,'Modelling New'!$AE:$AE)</f>
        <v>0.995</v>
      </c>
      <c r="L4" s="86">
        <f>AVERAGEIF('Daily KPI'!$D:$D,$A$4,'Daily KPI'!$O:$O)</f>
        <v>0.96753429526330104</v>
      </c>
      <c r="M4" s="88">
        <f>_xlfn.XLOOKUP($A$4,'Modelling New'!$D:$D,'Modelling New'!$O:$O,0)</f>
        <v>0.82702281611841366</v>
      </c>
      <c r="N4" s="86">
        <f>F4/D4/(_xlfn.XLOOKUP(A4,'Modelling New'!$D:$D,'Modelling New'!$Z:$Z))</f>
        <v>0.86759254744574155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45847</v>
      </c>
      <c r="D6" s="25"/>
      <c r="F6" s="25"/>
    </row>
    <row r="7" spans="1:15" ht="29.25" customHeight="1">
      <c r="A7" s="143" t="s">
        <v>93</v>
      </c>
      <c r="B7" s="76">
        <f>B1</f>
        <v>45853</v>
      </c>
    </row>
    <row r="8" spans="1:15" ht="29.25" customHeight="1">
      <c r="A8" s="391" t="s">
        <v>85</v>
      </c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45839</v>
      </c>
      <c r="B10" s="81">
        <f>(B7-B6)+1</f>
        <v>7</v>
      </c>
      <c r="C10" s="82">
        <f>SUMIFS('Daily KPI'!$AC:$AC,'Daily KPI'!$A:$A,"&gt;="&amp;$B$6,'Daily KPI'!$A:$A,"&lt;="&amp;$B$7)</f>
        <v>26.667741935483868</v>
      </c>
      <c r="D10" s="83">
        <f>SUMIFS('Daily KPI'!$I:$I,'Daily KPI'!$A:$A,"&gt;="&amp;B6,'Daily KPI'!$A:$A,"&lt;="&amp;B7)</f>
        <v>28.737200000000001</v>
      </c>
      <c r="E10" s="81">
        <f>SUMIFS('Daily KPI'!$AD:$AD,'Daily KPI'!$A:$A,"&gt;="&amp;B6,'Daily KPI'!$A:$A,"&lt;="&amp;B7)/1000</f>
        <v>1199.1487319119062</v>
      </c>
      <c r="F10" s="84">
        <f>SUMIFS('Daily KPI'!$AA:$AA,'Daily KPI'!$A:$A,"&gt;="&amp;B6,'Daily KPI'!$A:$A,"&lt;="&amp;B7)/1000</f>
        <v>948.22332600485879</v>
      </c>
      <c r="G10" s="85">
        <f>E10/(24*B10)/_xlfn.XLOOKUP(A10,'Modelling New'!D:D,'Modelling New'!N:N)</f>
        <v>0.13127875616073206</v>
      </c>
      <c r="H10" s="86">
        <f>F10/(24*B10)/(_xlfn.XLOOKUP(A10,'Modelling New'!D:D,'Modelling New'!N:N))</f>
        <v>0.10380828957058437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0.97730053598491051</v>
      </c>
      <c r="M10" s="85">
        <f>E10/C10/AVERAGEIFS('Daily KPI'!$AR:$AR,'Daily KPI'!$A:$A,"&gt;="&amp;B6,'Daily KPI'!$A:$A,"&lt;="&amp;B7)</f>
        <v>0.82702281611841355</v>
      </c>
      <c r="N10" s="86">
        <f>F10/D10/AVERAGEIFS('Daily KPI'!$AR:$AR,'Daily KPI'!$A:$A,"&gt;="&amp;B6,'Daily KPI'!$A:$A,"&lt;="&amp;B7)</f>
        <v>0.606871673226973</v>
      </c>
      <c r="O10" s="86" t="str">
        <f>IFERROR(AVERAGEIFS(#REF!,#REF!,"&gt;="&amp;B6,#REF!,"&lt;="&amp;B7),"")</f>
        <v/>
      </c>
    </row>
  </sheetData>
  <sheetProtection algorithmName="SHA-512" hashValue="EHfzebNv0iRo40pKsYdLbok/6EqDB4p/DidVBWp8Lv11WLs8ZKAA3ZkfDtJskJsFBvgUCfxR0yL5HYyKv4Ro5w==" saltValue="3kMX4015sDuzC6QzuyId6A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2" width="12.453125" bestFit="1" customWidth="1"/>
    <col min="3" max="3" width="13.453125" bestFit="1" customWidth="1"/>
    <col min="4" max="4" width="12.453125" bestFit="1" customWidth="1"/>
    <col min="5" max="5" width="14.453125" bestFit="1" customWidth="1"/>
    <col min="6" max="7" width="12.453125" bestFit="1" customWidth="1"/>
    <col min="8" max="8" width="14.45312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R93" activePane="bottomRight" state="frozen"/>
      <selection pane="topRight" activeCell="E1" sqref="E1"/>
      <selection pane="bottomLeft" activeCell="A2" sqref="A2"/>
      <selection pane="bottomRight" activeCell="Y110" sqref="Y110"/>
    </sheetView>
  </sheetViews>
  <sheetFormatPr defaultColWidth="8.453125" defaultRowHeight="14.5"/>
  <cols>
    <col min="1" max="1" width="9.81640625" style="292" bestFit="1" customWidth="1"/>
    <col min="2" max="5" width="9" style="292" customWidth="1"/>
    <col min="6" max="9" width="10.453125" style="292" customWidth="1"/>
    <col min="10" max="12" width="11.453125" style="292" customWidth="1"/>
    <col min="13" max="13" width="15.1796875" style="292" bestFit="1" customWidth="1"/>
    <col min="14" max="39" width="11.453125" style="292" customWidth="1"/>
    <col min="40" max="40" width="11.453125" style="306" customWidth="1"/>
    <col min="41" max="45" width="11.453125" style="292" customWidth="1"/>
    <col min="46" max="16384" width="8.453125" style="292"/>
  </cols>
  <sheetData>
    <row r="1" spans="1:45" ht="58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12.316666666666668</v>
      </c>
      <c r="G78" s="298">
        <f>IFERROR(_xlfn.XLOOKUP($A78,Input_Raw!$A:$A,Input_Raw!$R:$R),"")</f>
        <v>5.05</v>
      </c>
      <c r="H78" s="298"/>
      <c r="I78" s="298">
        <f>IFERROR(_xlfn.XLOOKUP($A78,Input_Raw!$A:$A,Input_Raw!$Q:$Q),"")</f>
        <v>4.83</v>
      </c>
      <c r="J78" s="298"/>
      <c r="K78" s="298">
        <f>IFERROR(_xlfn.XLOOKUP($A78,Input_Raw!$A:$A,Input_Raw!S:S),"")</f>
        <v>32.369999999999997</v>
      </c>
      <c r="L78" s="298">
        <f>IFERROR(_xlfn.XLOOKUP($A78,Input_Raw!$A:$A,Input_Raw!T:T),"")</f>
        <v>41.61</v>
      </c>
      <c r="M78" s="298">
        <f>IFERROR(_xlfn.XLOOKUP($A78,Input_Raw!$A:$A,Input_Raw!W:W),"")</f>
        <v>1.86</v>
      </c>
      <c r="N78" s="298">
        <f>IFERROR(_xlfn.XLOOKUP($A78,Input_Raw!$A:$A,Input_Raw!X:X),"")</f>
        <v>3.14</v>
      </c>
      <c r="O78" s="299">
        <f>IFERROR(1-(SUMIF(Plant_BD!$B:$B,$A78,Plant_BD!$AL:$AL)/($AA78+SUMIF(Plant_BD!$B:$B,$A78,Plant_BD!$AL:$AL))),"")</f>
        <v>0.99876765497576947</v>
      </c>
      <c r="P78" s="299"/>
      <c r="Q78" s="300"/>
      <c r="R78" s="299">
        <f>IFERROR(1-(SUMIF(Grid_BD!$B:$B,$A78,Grid_BD!$V:$V)/($AA78+SUMIF(Grid_BD!$B:$B,$A78,Grid_BD!$V:$V))),"")</f>
        <v>1</v>
      </c>
      <c r="S78" s="295"/>
      <c r="T78" s="300"/>
      <c r="U78" s="301">
        <f t="shared" si="11"/>
        <v>0.8326954681806944</v>
      </c>
      <c r="V78" s="301" t="str">
        <f>IFERROR(_xlfn.XLOOKUP($A78,Input_Raw!$A:$A,Input_Raw!$AX:$AX),"")</f>
        <v/>
      </c>
      <c r="W78" s="302">
        <f t="shared" si="12"/>
        <v>0.14304972592281734</v>
      </c>
      <c r="X78" s="294">
        <f>IFERROR(_xlfn.XLOOKUP($A78,Input_Raw!$A:$A,Input_Raw!$AA:$AA),"")</f>
        <v>160770</v>
      </c>
      <c r="Y78" s="294">
        <f>IFERROR(_xlfn.XLOOKUP($A78,Input_Raw!$A:$A,Input_Raw!$AS:$AS),"")</f>
        <v>159000</v>
      </c>
      <c r="Z78" s="294"/>
      <c r="AA78" s="294">
        <f>IFERROR(_xlfn.XLOOKUP($A78,Input_Raw!$A:$A,Input_Raw!$AT:$AT),"")</f>
        <v>157699.44835457308</v>
      </c>
      <c r="AB78" s="294">
        <f>IFERROR(_xlfn.XLOOKUP($A78,Input_Raw!$A:$A,Input_Raw!$AU:$AU),"")</f>
        <v>39.21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143621.35138403124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12.483333333333334</v>
      </c>
      <c r="G79" s="298">
        <f>IFERROR(_xlfn.XLOOKUP($A79,Input_Raw!$A:$A,Input_Raw!$R:$R),"")</f>
        <v>6.42</v>
      </c>
      <c r="H79" s="298"/>
      <c r="I79" s="298">
        <f>IFERROR(_xlfn.XLOOKUP($A79,Input_Raw!$A:$A,Input_Raw!$Q:$Q),"")</f>
        <v>6</v>
      </c>
      <c r="J79" s="298"/>
      <c r="K79" s="298">
        <f>IFERROR(_xlfn.XLOOKUP($A79,Input_Raw!$A:$A,Input_Raw!S:S),"")</f>
        <v>34.28</v>
      </c>
      <c r="L79" s="298">
        <f>IFERROR(_xlfn.XLOOKUP($A79,Input_Raw!$A:$A,Input_Raw!T:T),"")</f>
        <v>45.49</v>
      </c>
      <c r="M79" s="298">
        <f>IFERROR(_xlfn.XLOOKUP($A79,Input_Raw!$A:$A,Input_Raw!W:W),"")</f>
        <v>2.42</v>
      </c>
      <c r="N79" s="298">
        <f>IFERROR(_xlfn.XLOOKUP($A79,Input_Raw!$A:$A,Input_Raw!X:X),"")</f>
        <v>7.64</v>
      </c>
      <c r="O79" s="299">
        <f>IFERROR(1-(SUMIF(Plant_BD!$B:$B,$A79,Plant_BD!$AL:$AL)/($AA79+SUMIF(Plant_BD!$B:$B,$A79,Plant_BD!$AL:$AL))),"")</f>
        <v>1</v>
      </c>
      <c r="P79" s="299"/>
      <c r="Q79" s="300"/>
      <c r="R79" s="299">
        <f>IFERROR(1-(SUMIF(Grid_BD!$B:$B,$A79,Grid_BD!$V:$V)/($AA79+SUMIF(Grid_BD!$B:$B,$A79,Grid_BD!$V:$V))),"")</f>
        <v>1</v>
      </c>
      <c r="S79" s="295"/>
      <c r="T79" s="300"/>
      <c r="U79" s="301">
        <f t="shared" si="11"/>
        <v>0.81914264450869489</v>
      </c>
      <c r="V79" s="301" t="str">
        <f>IFERROR(_xlfn.XLOOKUP($A79,Input_Raw!$A:$A,Input_Raw!$AX:$AX),"")</f>
        <v/>
      </c>
      <c r="W79" s="302">
        <f t="shared" si="12"/>
        <v>0.17480928016537908</v>
      </c>
      <c r="X79" s="294">
        <f>IFERROR(_xlfn.XLOOKUP($A79,Input_Raw!$A:$A,Input_Raw!$AA:$AA),"")</f>
        <v>195698.6</v>
      </c>
      <c r="Y79" s="294">
        <f>IFERROR(_xlfn.XLOOKUP($A79,Input_Raw!$A:$A,Input_Raw!$AS:$AS),"")</f>
        <v>194000</v>
      </c>
      <c r="Z79" s="294"/>
      <c r="AA79" s="294">
        <f>IFERROR(_xlfn.XLOOKUP($A79,Input_Raw!$A:$A,Input_Raw!$AT:$AT),"")</f>
        <v>192711.49854711557</v>
      </c>
      <c r="AB79" s="294">
        <f>IFERROR(_xlfn.XLOOKUP($A79,Input_Raw!$A:$A,Input_Raw!$AU:$AU),"")</f>
        <v>39.21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143621.35138403124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12.583333333333334</v>
      </c>
      <c r="G80" s="298">
        <f>IFERROR(_xlfn.XLOOKUP($A80,Input_Raw!$A:$A,Input_Raw!$R:$R),"")</f>
        <v>5.38</v>
      </c>
      <c r="H80" s="298"/>
      <c r="I80" s="298">
        <f>IFERROR(_xlfn.XLOOKUP($A80,Input_Raw!$A:$A,Input_Raw!$Q:$Q),"")</f>
        <v>5.21</v>
      </c>
      <c r="J80" s="298"/>
      <c r="K80" s="298">
        <f>IFERROR(_xlfn.XLOOKUP($A80,Input_Raw!$A:$A,Input_Raw!S:S),"")</f>
        <v>32.479999999999997</v>
      </c>
      <c r="L80" s="298">
        <f>IFERROR(_xlfn.XLOOKUP($A80,Input_Raw!$A:$A,Input_Raw!T:T),"")</f>
        <v>41.41</v>
      </c>
      <c r="M80" s="298">
        <f>IFERROR(_xlfn.XLOOKUP($A80,Input_Raw!$A:$A,Input_Raw!W:W),"")</f>
        <v>3.51</v>
      </c>
      <c r="N80" s="298">
        <f>IFERROR(_xlfn.XLOOKUP($A80,Input_Raw!$A:$A,Input_Raw!X:X),"")</f>
        <v>7.84</v>
      </c>
      <c r="O80" s="299">
        <f>IFERROR(1-(SUMIF(Plant_BD!$B:$B,$A80,Plant_BD!$AL:$AL)/($AA80+SUMIF(Plant_BD!$B:$B,$A80,Plant_BD!$AL:$AL))),"")</f>
        <v>1</v>
      </c>
      <c r="P80" s="299"/>
      <c r="Q80" s="300"/>
      <c r="R80" s="299">
        <f>IFERROR(1-(SUMIF(Grid_BD!$B:$B,$A80,Grid_BD!$V:$V)/($AA80+SUMIF(Grid_BD!$B:$B,$A80,Grid_BD!$V:$V))),"")</f>
        <v>1</v>
      </c>
      <c r="S80" s="295"/>
      <c r="T80" s="300"/>
      <c r="U80" s="301">
        <f t="shared" si="11"/>
        <v>0.79955969735322474</v>
      </c>
      <c r="V80" s="301" t="str">
        <f>IFERROR(_xlfn.XLOOKUP($A80,Input_Raw!$A:$A,Input_Raw!$AX:$AX),"")</f>
        <v/>
      </c>
      <c r="W80" s="302">
        <f t="shared" si="12"/>
        <v>0.14816387112787063</v>
      </c>
      <c r="X80" s="294">
        <f>IFERROR(_xlfn.XLOOKUP($A80,Input_Raw!$A:$A,Input_Raw!$AA:$AA),"")</f>
        <v>166318.39999999999</v>
      </c>
      <c r="Y80" s="294">
        <f>IFERROR(_xlfn.XLOOKUP($A80,Input_Raw!$A:$A,Input_Raw!$AS:$AS),"")</f>
        <v>164000</v>
      </c>
      <c r="Z80" s="294"/>
      <c r="AA80" s="294">
        <f>IFERROR(_xlfn.XLOOKUP($A80,Input_Raw!$A:$A,Input_Raw!$AT:$AT),"")</f>
        <v>163337.33317007587</v>
      </c>
      <c r="AB80" s="294">
        <f>IFERROR(_xlfn.XLOOKUP($A80,Input_Raw!$A:$A,Input_Raw!$AU:$AU),"")</f>
        <v>39.21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143621.35138403124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12.033333333333333</v>
      </c>
      <c r="G81" s="298">
        <f>IFERROR(_xlfn.XLOOKUP($A81,Input_Raw!$A:$A,Input_Raw!$R:$R),"")</f>
        <v>3.72</v>
      </c>
      <c r="H81" s="298"/>
      <c r="I81" s="298">
        <f>IFERROR(_xlfn.XLOOKUP($A81,Input_Raw!$A:$A,Input_Raw!$Q:$Q),"")</f>
        <v>3.63</v>
      </c>
      <c r="J81" s="298"/>
      <c r="K81" s="298">
        <f>IFERROR(_xlfn.XLOOKUP($A81,Input_Raw!$A:$A,Input_Raw!S:S),"")</f>
        <v>29.49</v>
      </c>
      <c r="L81" s="298">
        <f>IFERROR(_xlfn.XLOOKUP($A81,Input_Raw!$A:$A,Input_Raw!T:T),"")</f>
        <v>36.21</v>
      </c>
      <c r="M81" s="298">
        <f>IFERROR(_xlfn.XLOOKUP($A81,Input_Raw!$A:$A,Input_Raw!W:W),"")</f>
        <v>3.05</v>
      </c>
      <c r="N81" s="298">
        <f>IFERROR(_xlfn.XLOOKUP($A81,Input_Raw!$A:$A,Input_Raw!X:X),"")</f>
        <v>7.5</v>
      </c>
      <c r="O81" s="299">
        <f>IFERROR(1-(SUMIF(Plant_BD!$B:$B,$A81,Plant_BD!$AL:$AL)/($AA81+SUMIF(Plant_BD!$B:$B,$A81,Plant_BD!$AL:$AL))),"")</f>
        <v>1</v>
      </c>
      <c r="P81" s="299"/>
      <c r="Q81" s="300"/>
      <c r="R81" s="299">
        <f>IFERROR(1-(SUMIF(Grid_BD!$B:$B,$A81,Grid_BD!$V:$V)/($AA81+SUMIF(Grid_BD!$B:$B,$A81,Grid_BD!$V:$V))),"")</f>
        <v>1</v>
      </c>
      <c r="S81" s="295"/>
      <c r="T81" s="300"/>
      <c r="U81" s="301">
        <f t="shared" si="11"/>
        <v>0.85458478852433761</v>
      </c>
      <c r="V81" s="301" t="str">
        <f>IFERROR(_xlfn.XLOOKUP($A81,Input_Raw!$A:$A,Input_Raw!$AX:$AX),"")</f>
        <v/>
      </c>
      <c r="W81" s="302">
        <f t="shared" si="12"/>
        <v>0.11033555437240461</v>
      </c>
      <c r="X81" s="294">
        <f>IFERROR(_xlfn.XLOOKUP($A81,Input_Raw!$A:$A,Input_Raw!$AA:$AA),"")</f>
        <v>123833.3</v>
      </c>
      <c r="Y81" s="294">
        <f>IFERROR(_xlfn.XLOOKUP($A81,Input_Raw!$A:$A,Input_Raw!$AS:$AS),"")</f>
        <v>123000</v>
      </c>
      <c r="Z81" s="294"/>
      <c r="AA81" s="294">
        <f>IFERROR(_xlfn.XLOOKUP($A81,Input_Raw!$A:$A,Input_Raw!$AT:$AT),"")</f>
        <v>121635.01849568257</v>
      </c>
      <c r="AB81" s="294">
        <f>IFERROR(_xlfn.XLOOKUP($A81,Input_Raw!$A:$A,Input_Raw!$AU:$AU),"")</f>
        <v>39.21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143621.35138403124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12.666666666666668</v>
      </c>
      <c r="G82" s="298">
        <f>IFERROR(_xlfn.XLOOKUP($A82,Input_Raw!$A:$A,Input_Raw!$R:$R),"")</f>
        <v>6.82</v>
      </c>
      <c r="H82" s="298"/>
      <c r="I82" s="298">
        <f>IFERROR(_xlfn.XLOOKUP($A82,Input_Raw!$A:$A,Input_Raw!$Q:$Q),"")</f>
        <v>6.38</v>
      </c>
      <c r="J82" s="298"/>
      <c r="K82" s="298">
        <f>IFERROR(_xlfn.XLOOKUP($A82,Input_Raw!$A:$A,Input_Raw!S:S),"")</f>
        <v>32.42</v>
      </c>
      <c r="L82" s="298">
        <f>IFERROR(_xlfn.XLOOKUP($A82,Input_Raw!$A:$A,Input_Raw!T:T),"")</f>
        <v>42.24</v>
      </c>
      <c r="M82" s="298">
        <f>IFERROR(_xlfn.XLOOKUP($A82,Input_Raw!$A:$A,Input_Raw!W:W),"")</f>
        <v>5.16</v>
      </c>
      <c r="N82" s="298">
        <f>IFERROR(_xlfn.XLOOKUP($A82,Input_Raw!$A:$A,Input_Raw!X:X),"")</f>
        <v>10.17</v>
      </c>
      <c r="O82" s="299">
        <f>IFERROR(1-(SUMIF(Plant_BD!$B:$B,$A82,Plant_BD!$AL:$AL)/($AA82+SUMIF(Plant_BD!$B:$B,$A82,Plant_BD!$AL:$AL))),"")</f>
        <v>1</v>
      </c>
      <c r="P82" s="299"/>
      <c r="Q82" s="300"/>
      <c r="R82" s="299">
        <f>IFERROR(1-(SUMIF(Grid_BD!$B:$B,$A82,Grid_BD!$V:$V)/($AA82+SUMIF(Grid_BD!$B:$B,$A82,Grid_BD!$V:$V))),"")</f>
        <v>1</v>
      </c>
      <c r="S82" s="295"/>
      <c r="T82" s="300"/>
      <c r="U82" s="301">
        <f t="shared" si="11"/>
        <v>0.83114709953419941</v>
      </c>
      <c r="V82" s="301" t="str">
        <f>IFERROR(_xlfn.XLOOKUP($A82,Input_Raw!$A:$A,Input_Raw!$AX:$AX),"")</f>
        <v/>
      </c>
      <c r="W82" s="302">
        <f t="shared" si="12"/>
        <v>0.18860459555887138</v>
      </c>
      <c r="X82" s="294">
        <f>IFERROR(_xlfn.XLOOKUP($A82,Input_Raw!$A:$A,Input_Raw!$AA:$AA),"")</f>
        <v>211561.30000000002</v>
      </c>
      <c r="Y82" s="294">
        <f>IFERROR(_xlfn.XLOOKUP($A82,Input_Raw!$A:$A,Input_Raw!$AS:$AS),"")</f>
        <v>210000</v>
      </c>
      <c r="Z82" s="294"/>
      <c r="AA82" s="294">
        <f>IFERROR(_xlfn.XLOOKUP($A82,Input_Raw!$A:$A,Input_Raw!$AT:$AT),"")</f>
        <v>207919.59219005541</v>
      </c>
      <c r="AB82" s="294">
        <f>IFERROR(_xlfn.XLOOKUP($A82,Input_Raw!$A:$A,Input_Raw!$AU:$AU),"")</f>
        <v>39.21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143621.35138403124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12.833333333333332</v>
      </c>
      <c r="G83" s="298">
        <f>IFERROR(_xlfn.XLOOKUP($A83,Input_Raw!$A:$A,Input_Raw!$R:$R),"")</f>
        <v>4.51</v>
      </c>
      <c r="H83" s="298"/>
      <c r="I83" s="298">
        <f>IFERROR(_xlfn.XLOOKUP($A83,Input_Raw!$A:$A,Input_Raw!$Q:$Q),"")</f>
        <v>4.21</v>
      </c>
      <c r="J83" s="298"/>
      <c r="K83" s="298">
        <f>IFERROR(_xlfn.XLOOKUP($A83,Input_Raw!$A:$A,Input_Raw!S:S),"")</f>
        <v>30.68</v>
      </c>
      <c r="L83" s="298">
        <f>IFERROR(_xlfn.XLOOKUP($A83,Input_Raw!$A:$A,Input_Raw!T:T),"")</f>
        <v>36.659999999999997</v>
      </c>
      <c r="M83" s="298">
        <f>IFERROR(_xlfn.XLOOKUP($A83,Input_Raw!$A:$A,Input_Raw!W:W),"")</f>
        <v>5.0999999999999996</v>
      </c>
      <c r="N83" s="298">
        <f>IFERROR(_xlfn.XLOOKUP($A83,Input_Raw!$A:$A,Input_Raw!X:X),"")</f>
        <v>13.52</v>
      </c>
      <c r="O83" s="299">
        <f>IFERROR(1-(SUMIF(Plant_BD!$B:$B,$A83,Plant_BD!$AL:$AL)/($AA83+SUMIF(Plant_BD!$B:$B,$A83,Plant_BD!$AL:$AL))),"")</f>
        <v>1</v>
      </c>
      <c r="P83" s="299"/>
      <c r="Q83" s="300"/>
      <c r="R83" s="299">
        <f>IFERROR(1-(SUMIF(Grid_BD!$B:$B,$A83,Grid_BD!$V:$V)/($AA83+SUMIF(Grid_BD!$B:$B,$A83,Grid_BD!$V:$V))),"")</f>
        <v>1</v>
      </c>
      <c r="S83" s="295"/>
      <c r="T83" s="300"/>
      <c r="U83" s="301">
        <f t="shared" si="11"/>
        <v>0.85839181921174323</v>
      </c>
      <c r="V83" s="301" t="str">
        <f>IFERROR(_xlfn.XLOOKUP($A83,Input_Raw!$A:$A,Input_Raw!$AX:$AX),"")</f>
        <v/>
      </c>
      <c r="W83" s="302">
        <f t="shared" si="12"/>
        <v>0.12853498880066511</v>
      </c>
      <c r="X83" s="294">
        <f>IFERROR(_xlfn.XLOOKUP($A83,Input_Raw!$A:$A,Input_Raw!$AA:$AA),"")</f>
        <v>144313.79999999999</v>
      </c>
      <c r="Y83" s="294">
        <f>IFERROR(_xlfn.XLOOKUP($A83,Input_Raw!$A:$A,Input_Raw!$AS:$AS),"")</f>
        <v>143000</v>
      </c>
      <c r="Z83" s="294"/>
      <c r="AA83" s="294">
        <f>IFERROR(_xlfn.XLOOKUP($A83,Input_Raw!$A:$A,Input_Raw!$AT:$AT),"")</f>
        <v>141698.25700374122</v>
      </c>
      <c r="AB83" s="294">
        <f>IFERROR(_xlfn.XLOOKUP($A83,Input_Raw!$A:$A,Input_Raw!$AU:$AU),"")</f>
        <v>39.21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143621.35138403124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11</v>
      </c>
      <c r="G84" s="298">
        <f>IFERROR(_xlfn.XLOOKUP($A84,Input_Raw!$A:$A,Input_Raw!$R:$R),"")</f>
        <v>4.03</v>
      </c>
      <c r="H84" s="298"/>
      <c r="I84" s="298">
        <f>IFERROR(_xlfn.XLOOKUP($A84,Input_Raw!$A:$A,Input_Raw!$Q:$Q),"")</f>
        <v>3.91</v>
      </c>
      <c r="J84" s="298"/>
      <c r="K84" s="298">
        <f>IFERROR(_xlfn.XLOOKUP($A84,Input_Raw!$A:$A,Input_Raw!S:S),"")</f>
        <v>29.64</v>
      </c>
      <c r="L84" s="298">
        <f>IFERROR(_xlfn.XLOOKUP($A84,Input_Raw!$A:$A,Input_Raw!T:T),"")</f>
        <v>36.14</v>
      </c>
      <c r="M84" s="298">
        <f>IFERROR(_xlfn.XLOOKUP($A84,Input_Raw!$A:$A,Input_Raw!W:W),"")</f>
        <v>5.14</v>
      </c>
      <c r="N84" s="298">
        <f>IFERROR(_xlfn.XLOOKUP($A84,Input_Raw!$A:$A,Input_Raw!X:X),"")</f>
        <v>14.85</v>
      </c>
      <c r="O84" s="299">
        <f>IFERROR(1-(SUMIF(Plant_BD!$B:$B,$A84,Plant_BD!$AL:$AL)/($AA84+SUMIF(Plant_BD!$B:$B,$A84,Plant_BD!$AL:$AL))),"")</f>
        <v>1</v>
      </c>
      <c r="P84" s="299"/>
      <c r="Q84" s="300"/>
      <c r="R84" s="299">
        <f>IFERROR(1-(SUMIF(Grid_BD!$B:$B,$A84,Grid_BD!$V:$V)/($AA84+SUMIF(Grid_BD!$B:$B,$A84,Grid_BD!$V:$V))),"")</f>
        <v>1</v>
      </c>
      <c r="S84" s="295"/>
      <c r="T84" s="300"/>
      <c r="U84" s="301">
        <f t="shared" si="11"/>
        <v>0.83346620840877605</v>
      </c>
      <c r="V84" s="301" t="str">
        <f>IFERROR(_xlfn.XLOOKUP($A84,Input_Raw!$A:$A,Input_Raw!$AX:$AX),"")</f>
        <v/>
      </c>
      <c r="W84" s="302">
        <f t="shared" si="12"/>
        <v>0.11590934518371453</v>
      </c>
      <c r="X84" s="294">
        <f>IFERROR(_xlfn.XLOOKUP($A84,Input_Raw!$A:$A,Input_Raw!$AA:$AA),"")</f>
        <v>130305.8</v>
      </c>
      <c r="Y84" s="294">
        <f>IFERROR(_xlfn.XLOOKUP($A84,Input_Raw!$A:$A,Input_Raw!$AS:$AS),"")</f>
        <v>128000</v>
      </c>
      <c r="Z84" s="294"/>
      <c r="AA84" s="294">
        <f>IFERROR(_xlfn.XLOOKUP($A84,Input_Raw!$A:$A,Input_Raw!$AT:$AT),"")</f>
        <v>127779.62122397873</v>
      </c>
      <c r="AB84" s="294">
        <f>IFERROR(_xlfn.XLOOKUP($A84,Input_Raw!$A:$A,Input_Raw!$AU:$AU),"")</f>
        <v>39.21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143621.35138403124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12.583333333333334</v>
      </c>
      <c r="G85" s="298">
        <f>IFERROR(_xlfn.XLOOKUP($A85,Input_Raw!$A:$A,Input_Raw!$R:$R),"")</f>
        <v>6.46</v>
      </c>
      <c r="H85" s="298"/>
      <c r="I85" s="298">
        <f>IFERROR(_xlfn.XLOOKUP($A85,Input_Raw!$A:$A,Input_Raw!$Q:$Q),"")</f>
        <v>6.13</v>
      </c>
      <c r="J85" s="298"/>
      <c r="K85" s="298">
        <f>IFERROR(_xlfn.XLOOKUP($A85,Input_Raw!$A:$A,Input_Raw!S:S),"")</f>
        <v>31.83</v>
      </c>
      <c r="L85" s="298">
        <f>IFERROR(_xlfn.XLOOKUP($A85,Input_Raw!$A:$A,Input_Raw!T:T),"")</f>
        <v>39.69</v>
      </c>
      <c r="M85" s="298">
        <f>IFERROR(_xlfn.XLOOKUP($A85,Input_Raw!$A:$A,Input_Raw!W:W),"")</f>
        <v>5.37</v>
      </c>
      <c r="N85" s="298">
        <f>IFERROR(_xlfn.XLOOKUP($A85,Input_Raw!$A:$A,Input_Raw!X:X),"")</f>
        <v>11.97</v>
      </c>
      <c r="O85" s="299">
        <f>IFERROR(1-(SUMIF(Plant_BD!$B:$B,$A85,Plant_BD!$AL:$AL)/($AA85+SUMIF(Plant_BD!$B:$B,$A85,Plant_BD!$AL:$AL))),"")</f>
        <v>1</v>
      </c>
      <c r="P85" s="299"/>
      <c r="Q85" s="300"/>
      <c r="R85" s="299">
        <f>IFERROR(1-(SUMIF(Grid_BD!$B:$B,$A85,Grid_BD!$V:$V)/($AA85+SUMIF(Grid_BD!$B:$B,$A85,Grid_BD!$V:$V))),"")</f>
        <v>1</v>
      </c>
      <c r="S85" s="295"/>
      <c r="T85" s="300"/>
      <c r="U85" s="301">
        <f t="shared" si="11"/>
        <v>0.82835948772746126</v>
      </c>
      <c r="V85" s="301" t="str">
        <f>IFERROR(_xlfn.XLOOKUP($A85,Input_Raw!$A:$A,Input_Raw!$AX:$AX),"")</f>
        <v/>
      </c>
      <c r="W85" s="302">
        <f t="shared" si="12"/>
        <v>0.18060635326199481</v>
      </c>
      <c r="X85" s="294">
        <f>IFERROR(_xlfn.XLOOKUP($A85,Input_Raw!$A:$A,Input_Raw!$AA:$AA),"")</f>
        <v>202592.2</v>
      </c>
      <c r="Y85" s="294">
        <f>IFERROR(_xlfn.XLOOKUP($A85,Input_Raw!$A:$A,Input_Raw!$AS:$AS),"")</f>
        <v>201000</v>
      </c>
      <c r="Z85" s="294"/>
      <c r="AA85" s="294">
        <f>IFERROR(_xlfn.XLOOKUP($A85,Input_Raw!$A:$A,Input_Raw!$AT:$AT),"")</f>
        <v>199102.2498995557</v>
      </c>
      <c r="AB85" s="294">
        <f>IFERROR(_xlfn.XLOOKUP($A85,Input_Raw!$A:$A,Input_Raw!$AU:$AU),"")</f>
        <v>39.21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143621.35138403124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12.483333333333334</v>
      </c>
      <c r="G86" s="298">
        <f>IFERROR(_xlfn.XLOOKUP($A86,Input_Raw!$A:$A,Input_Raw!$R:$R),"")</f>
        <v>5.1100000000000003</v>
      </c>
      <c r="H86" s="298"/>
      <c r="I86" s="298">
        <f>IFERROR(_xlfn.XLOOKUP($A86,Input_Raw!$A:$A,Input_Raw!$Q:$Q),"")</f>
        <v>4.8499999999999996</v>
      </c>
      <c r="J86" s="298"/>
      <c r="K86" s="298">
        <f>IFERROR(_xlfn.XLOOKUP($A86,Input_Raw!$A:$A,Input_Raw!S:S),"")</f>
        <v>30.4</v>
      </c>
      <c r="L86" s="298">
        <f>IFERROR(_xlfn.XLOOKUP($A86,Input_Raw!$A:$A,Input_Raw!T:T),"")</f>
        <v>37.590000000000003</v>
      </c>
      <c r="M86" s="298">
        <f>IFERROR(_xlfn.XLOOKUP($A86,Input_Raw!$A:$A,Input_Raw!W:W),"")</f>
        <v>4.09</v>
      </c>
      <c r="N86" s="298">
        <f>IFERROR(_xlfn.XLOOKUP($A86,Input_Raw!$A:$A,Input_Raw!X:X),"")</f>
        <v>13.91</v>
      </c>
      <c r="O86" s="299">
        <f>IFERROR(1-(SUMIF(Plant_BD!$B:$B,$A86,Plant_BD!$AL:$AL)/($AA86+SUMIF(Plant_BD!$B:$B,$A86,Plant_BD!$AL:$AL))),"")</f>
        <v>1</v>
      </c>
      <c r="P86" s="299"/>
      <c r="Q86" s="300"/>
      <c r="R86" s="299">
        <f>IFERROR(1-(SUMIF(Grid_BD!$B:$B,$A86,Grid_BD!$V:$V)/($AA86+SUMIF(Grid_BD!$B:$B,$A86,Grid_BD!$V:$V))),"")</f>
        <v>1</v>
      </c>
      <c r="S86" s="295"/>
      <c r="T86" s="300"/>
      <c r="U86" s="301">
        <f t="shared" si="11"/>
        <v>0.83672248900843071</v>
      </c>
      <c r="V86" s="301" t="str">
        <f>IFERROR(_xlfn.XLOOKUP($A86,Input_Raw!$A:$A,Input_Raw!$AX:$AX),"")</f>
        <v/>
      </c>
      <c r="W86" s="302">
        <f t="shared" si="12"/>
        <v>0.14433673556208645</v>
      </c>
      <c r="X86" s="294">
        <f>IFERROR(_xlfn.XLOOKUP($A86,Input_Raw!$A:$A,Input_Raw!$AA:$AA),"")</f>
        <v>161985</v>
      </c>
      <c r="Y86" s="294">
        <f>IFERROR(_xlfn.XLOOKUP($A86,Input_Raw!$A:$A,Input_Raw!$AS:$AS),"")</f>
        <v>161000</v>
      </c>
      <c r="Z86" s="294"/>
      <c r="AA86" s="294">
        <f>IFERROR(_xlfn.XLOOKUP($A86,Input_Raw!$A:$A,Input_Raw!$AT:$AT),"")</f>
        <v>159118.26065099973</v>
      </c>
      <c r="AB86" s="294">
        <f>IFERROR(_xlfn.XLOOKUP($A86,Input_Raw!$A:$A,Input_Raw!$AU:$AU),"")</f>
        <v>39.21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143621.35138403124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12.166666666666666</v>
      </c>
      <c r="G87" s="298">
        <f>IFERROR(_xlfn.XLOOKUP($A87,Input_Raw!$A:$A,Input_Raw!$R:$R),"")</f>
        <v>4.5</v>
      </c>
      <c r="H87" s="298"/>
      <c r="I87" s="298">
        <f>IFERROR(_xlfn.XLOOKUP($A87,Input_Raw!$A:$A,Input_Raw!$Q:$Q),"")</f>
        <v>4.4000000000000004</v>
      </c>
      <c r="J87" s="298"/>
      <c r="K87" s="298">
        <f>IFERROR(_xlfn.XLOOKUP($A87,Input_Raw!$A:$A,Input_Raw!S:S),"")</f>
        <v>30.53</v>
      </c>
      <c r="L87" s="298">
        <f>IFERROR(_xlfn.XLOOKUP($A87,Input_Raw!$A:$A,Input_Raw!T:T),"")</f>
        <v>36.64</v>
      </c>
      <c r="M87" s="298">
        <f>IFERROR(_xlfn.XLOOKUP($A87,Input_Raw!$A:$A,Input_Raw!W:W),"")</f>
        <v>4.75</v>
      </c>
      <c r="N87" s="298">
        <f>IFERROR(_xlfn.XLOOKUP($A87,Input_Raw!$A:$A,Input_Raw!X:X),"")</f>
        <v>10.61</v>
      </c>
      <c r="O87" s="299">
        <f>IFERROR(1-(SUMIF(Plant_BD!$B:$B,$A87,Plant_BD!$AL:$AL)/($AA87+SUMIF(Plant_BD!$B:$B,$A87,Plant_BD!$AL:$AL))),"")</f>
        <v>1</v>
      </c>
      <c r="P87" s="299"/>
      <c r="Q87" s="300"/>
      <c r="R87" s="299">
        <f>IFERROR(1-(SUMIF(Grid_BD!$B:$B,$A87,Grid_BD!$V:$V)/($AA87+SUMIF(Grid_BD!$B:$B,$A87,Grid_BD!$V:$V))),"")</f>
        <v>1</v>
      </c>
      <c r="S87" s="295"/>
      <c r="T87" s="300"/>
      <c r="U87" s="301">
        <f t="shared" si="11"/>
        <v>0.85371645394363038</v>
      </c>
      <c r="V87" s="301" t="str">
        <f>IFERROR(_xlfn.XLOOKUP($A87,Input_Raw!$A:$A,Input_Raw!$AX:$AX),"")</f>
        <v/>
      </c>
      <c r="W87" s="302">
        <f t="shared" si="12"/>
        <v>0.13360417403703786</v>
      </c>
      <c r="X87" s="294">
        <f>IFERROR(_xlfn.XLOOKUP($A87,Input_Raw!$A:$A,Input_Raw!$AA:$AA),"")</f>
        <v>149880</v>
      </c>
      <c r="Y87" s="294">
        <f>IFERROR(_xlfn.XLOOKUP($A87,Input_Raw!$A:$A,Input_Raw!$AS:$AS),"")</f>
        <v>148000</v>
      </c>
      <c r="Z87" s="294"/>
      <c r="AA87" s="294">
        <f>IFERROR(_xlfn.XLOOKUP($A87,Input_Raw!$A:$A,Input_Raw!$AT:$AT),"")</f>
        <v>147286.57750017091</v>
      </c>
      <c r="AB87" s="294">
        <f>IFERROR(_xlfn.XLOOKUP($A87,Input_Raw!$A:$A,Input_Raw!$AU:$AU),"")</f>
        <v>39.21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143621.35138403124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12.383333333333333</v>
      </c>
      <c r="G88" s="298">
        <f>IFERROR(_xlfn.XLOOKUP($A88,Input_Raw!$A:$A,Input_Raw!$R:$R),"")</f>
        <v>3</v>
      </c>
      <c r="H88" s="298"/>
      <c r="I88" s="298">
        <f>IFERROR(_xlfn.XLOOKUP($A88,Input_Raw!$A:$A,Input_Raw!$Q:$Q),"")</f>
        <v>2.87</v>
      </c>
      <c r="J88" s="298"/>
      <c r="K88" s="298">
        <f>IFERROR(_xlfn.XLOOKUP($A88,Input_Raw!$A:$A,Input_Raw!S:S),"")</f>
        <v>29.43</v>
      </c>
      <c r="L88" s="298">
        <f>IFERROR(_xlfn.XLOOKUP($A88,Input_Raw!$A:$A,Input_Raw!T:T),"")</f>
        <v>32.99</v>
      </c>
      <c r="M88" s="298">
        <f>IFERROR(_xlfn.XLOOKUP($A88,Input_Raw!$A:$A,Input_Raw!W:W),"")</f>
        <v>4.05</v>
      </c>
      <c r="N88" s="298">
        <f>IFERROR(_xlfn.XLOOKUP($A88,Input_Raw!$A:$A,Input_Raw!X:X),"")</f>
        <v>8.89</v>
      </c>
      <c r="O88" s="299">
        <f>IFERROR(1-(SUMIF(Plant_BD!$B:$B,$A88,Plant_BD!$AL:$AL)/($AA88+SUMIF(Plant_BD!$B:$B,$A88,Plant_BD!$AL:$AL))),"")</f>
        <v>1</v>
      </c>
      <c r="P88" s="299"/>
      <c r="Q88" s="300"/>
      <c r="R88" s="299">
        <f>IFERROR(1-(SUMIF(Grid_BD!$B:$B,$A88,Grid_BD!$V:$V)/($AA88+SUMIF(Grid_BD!$B:$B,$A88,Grid_BD!$V:$V))),"")</f>
        <v>1</v>
      </c>
      <c r="S88" s="295"/>
      <c r="T88" s="300"/>
      <c r="U88" s="301">
        <f t="shared" si="11"/>
        <v>0.90803455001626299</v>
      </c>
      <c r="V88" s="301" t="str">
        <f>IFERROR(_xlfn.XLOOKUP($A88,Input_Raw!$A:$A,Input_Raw!$AX:$AX),"")</f>
        <v/>
      </c>
      <c r="W88" s="302">
        <f t="shared" si="12"/>
        <v>9.2691085536792228E-2</v>
      </c>
      <c r="X88" s="294">
        <f>IFERROR(_xlfn.XLOOKUP($A88,Input_Raw!$A:$A,Input_Raw!$AA:$AA),"")</f>
        <v>103942</v>
      </c>
      <c r="Y88" s="294">
        <f>IFERROR(_xlfn.XLOOKUP($A88,Input_Raw!$A:$A,Input_Raw!$AS:$AS),"")</f>
        <v>103000</v>
      </c>
      <c r="Z88" s="294"/>
      <c r="AA88" s="294">
        <f>IFERROR(_xlfn.XLOOKUP($A88,Input_Raw!$A:$A,Input_Raw!$AT:$AT),"")</f>
        <v>102183.57960661512</v>
      </c>
      <c r="AB88" s="294">
        <f>IFERROR(_xlfn.XLOOKUP($A88,Input_Raw!$A:$A,Input_Raw!$AU:$AU),"")</f>
        <v>39.21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143621.35138403124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12.216666666666665</v>
      </c>
      <c r="G89" s="298">
        <f>IFERROR(_xlfn.XLOOKUP($A89,Input_Raw!$A:$A,Input_Raw!$R:$R),"")</f>
        <v>4.2220000000000004</v>
      </c>
      <c r="H89" s="298"/>
      <c r="I89" s="298">
        <f>IFERROR(_xlfn.XLOOKUP($A89,Input_Raw!$A:$A,Input_Raw!$Q:$Q),"")</f>
        <v>4.1120000000000001</v>
      </c>
      <c r="J89" s="298"/>
      <c r="K89" s="298">
        <f>IFERROR(_xlfn.XLOOKUP($A89,Input_Raw!$A:$A,Input_Raw!S:S),"")</f>
        <v>28.765999999999998</v>
      </c>
      <c r="L89" s="298">
        <f>IFERROR(_xlfn.XLOOKUP($A89,Input_Raw!$A:$A,Input_Raw!T:T),"")</f>
        <v>34.624000000000002</v>
      </c>
      <c r="M89" s="298">
        <f>IFERROR(_xlfn.XLOOKUP($A89,Input_Raw!$A:$A,Input_Raw!W:W),"")</f>
        <v>4.5960000000000001</v>
      </c>
      <c r="N89" s="298">
        <f>IFERROR(_xlfn.XLOOKUP($A89,Input_Raw!$A:$A,Input_Raw!X:X),"")</f>
        <v>11.02</v>
      </c>
      <c r="O89" s="299">
        <f>IFERROR(1-(SUMIF(Plant_BD!$B:$B,$A89,Plant_BD!$AL:$AL)/($AA89+SUMIF(Plant_BD!$B:$B,$A89,Plant_BD!$AL:$AL))),"")</f>
        <v>1</v>
      </c>
      <c r="P89" s="299"/>
      <c r="Q89" s="300"/>
      <c r="R89" s="299">
        <f>IFERROR(1-(SUMIF(Grid_BD!$B:$B,$A89,Grid_BD!$V:$V)/($AA89+SUMIF(Grid_BD!$B:$B,$A89,Grid_BD!$V:$V))),"")</f>
        <v>1</v>
      </c>
      <c r="S89" s="295"/>
      <c r="T89" s="300"/>
      <c r="U89" s="301">
        <f t="shared" si="11"/>
        <v>0.85490165268933194</v>
      </c>
      <c r="V89" s="301" t="str">
        <f>IFERROR(_xlfn.XLOOKUP($A89,Input_Raw!$A:$A,Input_Raw!$AX:$AX),"")</f>
        <v/>
      </c>
      <c r="W89" s="302">
        <f t="shared" si="12"/>
        <v>0.12503251323338238</v>
      </c>
      <c r="X89" s="294">
        <f>IFERROR(_xlfn.XLOOKUP($A89,Input_Raw!$A:$A,Input_Raw!$AA:$AA),"")</f>
        <v>140669.20000000001</v>
      </c>
      <c r="Y89" s="294">
        <f>IFERROR(_xlfn.XLOOKUP($A89,Input_Raw!$A:$A,Input_Raw!$AS:$AS),"")</f>
        <v>140000</v>
      </c>
      <c r="Z89" s="294"/>
      <c r="AA89" s="294">
        <f>IFERROR(_xlfn.XLOOKUP($A89,Input_Raw!$A:$A,Input_Raw!$AT:$AT),"")</f>
        <v>137837.09291361307</v>
      </c>
      <c r="AB89" s="294">
        <f>IFERROR(_xlfn.XLOOKUP($A89,Input_Raw!$A:$A,Input_Raw!$AU:$AU),"")</f>
        <v>39.21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143621.35138403124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11.716666666666667</v>
      </c>
      <c r="G90" s="298">
        <f>IFERROR(_xlfn.XLOOKUP($A90,Input_Raw!$A:$A,Input_Raw!$R:$R),"")</f>
        <v>2.84</v>
      </c>
      <c r="H90" s="298"/>
      <c r="I90" s="298">
        <f>IFERROR(_xlfn.XLOOKUP($A90,Input_Raw!$A:$A,Input_Raw!$Q:$Q),"")</f>
        <v>2.79</v>
      </c>
      <c r="J90" s="298"/>
      <c r="K90" s="298">
        <f>IFERROR(_xlfn.XLOOKUP($A90,Input_Raw!$A:$A,Input_Raw!S:S),"")</f>
        <v>28.997</v>
      </c>
      <c r="L90" s="298">
        <f>IFERROR(_xlfn.XLOOKUP($A90,Input_Raw!$A:$A,Input_Raw!T:T),"")</f>
        <v>33.979999999999997</v>
      </c>
      <c r="M90" s="298">
        <f>IFERROR(_xlfn.XLOOKUP($A90,Input_Raw!$A:$A,Input_Raw!W:W),"")</f>
        <v>2.891</v>
      </c>
      <c r="N90" s="298">
        <f>IFERROR(_xlfn.XLOOKUP($A90,Input_Raw!$A:$A,Input_Raw!X:X),"")</f>
        <v>10.85</v>
      </c>
      <c r="O90" s="299">
        <f>IFERROR(1-(SUMIF(Plant_BD!$B:$B,$A90,Plant_BD!$AL:$AL)/($AA90+SUMIF(Plant_BD!$B:$B,$A90,Plant_BD!$AL:$AL))),"")</f>
        <v>1</v>
      </c>
      <c r="P90" s="299"/>
      <c r="Q90" s="300"/>
      <c r="R90" s="299">
        <f>IFERROR(1-(SUMIF(Grid_BD!$B:$B,$A90,Grid_BD!$V:$V)/($AA90+SUMIF(Grid_BD!$B:$B,$A90,Grid_BD!$V:$V))),"")</f>
        <v>1</v>
      </c>
      <c r="S90" s="295"/>
      <c r="T90" s="300"/>
      <c r="U90" s="301">
        <f t="shared" si="11"/>
        <v>0.96482666606310763</v>
      </c>
      <c r="V90" s="301" t="str">
        <f>IFERROR(_xlfn.XLOOKUP($A90,Input_Raw!$A:$A,Input_Raw!$AX:$AX),"")</f>
        <v/>
      </c>
      <c r="W90" s="302">
        <f t="shared" si="12"/>
        <v>9.5743037053340516E-2</v>
      </c>
      <c r="X90" s="294">
        <f>IFERROR(_xlfn.XLOOKUP($A90,Input_Raw!$A:$A,Input_Raw!$AA:$AA),"")</f>
        <v>106920.5</v>
      </c>
      <c r="Y90" s="294">
        <f>IFERROR(_xlfn.XLOOKUP($A90,Input_Raw!$A:$A,Input_Raw!$AS:$AS),"")</f>
        <v>106000</v>
      </c>
      <c r="Z90" s="294"/>
      <c r="AA90" s="294">
        <f>IFERROR(_xlfn.XLOOKUP($A90,Input_Raw!$A:$A,Input_Raw!$AT:$AT),"")</f>
        <v>105548.08147797312</v>
      </c>
      <c r="AB90" s="294">
        <f>IFERROR(_xlfn.XLOOKUP($A90,Input_Raw!$A:$A,Input_Raw!$AU:$AU),"")</f>
        <v>39.21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143621.35138403124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9.9833333333333325</v>
      </c>
      <c r="G91" s="298">
        <f>IFERROR(_xlfn.XLOOKUP($A91,Input_Raw!$A:$A,Input_Raw!$R:$R),"")</f>
        <v>0.94666352666666631</v>
      </c>
      <c r="H91" s="298"/>
      <c r="I91" s="298">
        <f>IFERROR(_xlfn.XLOOKUP($A91,Input_Raw!$A:$A,Input_Raw!$Q:$Q),"")</f>
        <v>0.94869823666666675</v>
      </c>
      <c r="J91" s="298"/>
      <c r="K91" s="298">
        <f>IFERROR(_xlfn.XLOOKUP($A91,Input_Raw!$A:$A,Input_Raw!S:S),"")</f>
        <v>25.18</v>
      </c>
      <c r="L91" s="298">
        <f>IFERROR(_xlfn.XLOOKUP($A91,Input_Raw!$A:$A,Input_Raw!T:T),"")</f>
        <v>25.71</v>
      </c>
      <c r="M91" s="298">
        <f>IFERROR(_xlfn.XLOOKUP($A91,Input_Raw!$A:$A,Input_Raw!W:W),"")</f>
        <v>2.33</v>
      </c>
      <c r="N91" s="298">
        <f>IFERROR(_xlfn.XLOOKUP($A91,Input_Raw!$A:$A,Input_Raw!X:X),"")</f>
        <v>5.3</v>
      </c>
      <c r="O91" s="299">
        <f>IFERROR(1-(SUMIF(Plant_BD!$B:$B,$A91,Plant_BD!$AL:$AL)/($AA91+SUMIF(Plant_BD!$B:$B,$A91,Plant_BD!$AL:$AL))),"")</f>
        <v>0.81678403994250803</v>
      </c>
      <c r="P91" s="299"/>
      <c r="Q91" s="300"/>
      <c r="R91" s="299">
        <f>IFERROR(1-(SUMIF(Grid_BD!$B:$B,$A91,Grid_BD!$V:$V)/($AA91+SUMIF(Grid_BD!$B:$B,$A91,Grid_BD!$V:$V))),"")</f>
        <v>1</v>
      </c>
      <c r="S91" s="295"/>
      <c r="T91" s="300"/>
      <c r="U91" s="301">
        <f t="shared" si="11"/>
        <v>0.69413204620668301</v>
      </c>
      <c r="V91" s="301" t="str">
        <f>IFERROR(_xlfn.XLOOKUP($A91,Input_Raw!$A:$A,Input_Raw!$AX:$AX),"")</f>
        <v/>
      </c>
      <c r="W91" s="302">
        <f t="shared" si="12"/>
        <v>2.3421995146893294E-2</v>
      </c>
      <c r="X91" s="294">
        <f>IFERROR(_xlfn.XLOOKUP($A91,Input_Raw!$A:$A,Input_Raw!$AA:$AA),"")</f>
        <v>27160</v>
      </c>
      <c r="Y91" s="294">
        <f>IFERROR(_xlfn.XLOOKUP($A91,Input_Raw!$A:$A,Input_Raw!$AS:$AS),"")</f>
        <v>27000</v>
      </c>
      <c r="Z91" s="294"/>
      <c r="AA91" s="294">
        <f>IFERROR(_xlfn.XLOOKUP($A91,Input_Raw!$A:$A,Input_Raw!$AT:$AT),"")</f>
        <v>25820.641669886634</v>
      </c>
      <c r="AB91" s="294">
        <f>IFERROR(_xlfn.XLOOKUP($A91,Input_Raw!$A:$A,Input_Raw!$AU:$AU),"")</f>
        <v>39.21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143621.35138403124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12.633333333333333</v>
      </c>
      <c r="G92" s="298">
        <f>IFERROR(_xlfn.XLOOKUP($A92,Input_Raw!$A:$A,Input_Raw!$R:$R),"")</f>
        <v>4.32</v>
      </c>
      <c r="H92" s="298"/>
      <c r="I92" s="298">
        <f>IFERROR(_xlfn.XLOOKUP($A92,Input_Raw!$A:$A,Input_Raw!$Q:$Q),"")</f>
        <v>4.18</v>
      </c>
      <c r="J92" s="298"/>
      <c r="K92" s="298">
        <f>IFERROR(_xlfn.XLOOKUP($A92,Input_Raw!$A:$A,Input_Raw!S:S),"")</f>
        <v>29.35</v>
      </c>
      <c r="L92" s="298">
        <f>IFERROR(_xlfn.XLOOKUP($A92,Input_Raw!$A:$A,Input_Raw!T:T),"")</f>
        <v>36.57</v>
      </c>
      <c r="M92" s="298">
        <f>IFERROR(_xlfn.XLOOKUP($A92,Input_Raw!$A:$A,Input_Raw!W:W),"")</f>
        <v>3.1970000000000001</v>
      </c>
      <c r="N92" s="298">
        <f>IFERROR(_xlfn.XLOOKUP($A92,Input_Raw!$A:$A,Input_Raw!X:X),"")</f>
        <v>8.59</v>
      </c>
      <c r="O92" s="299">
        <f>IFERROR(1-(SUMIF(Plant_BD!$B:$B,$A92,Plant_BD!$AL:$AL)/($AA92+SUMIF(Plant_BD!$B:$B,$A92,Plant_BD!$AL:$AL))),"")</f>
        <v>1</v>
      </c>
      <c r="P92" s="299"/>
      <c r="Q92" s="300"/>
      <c r="R92" s="299">
        <f>IFERROR(1-(SUMIF(Grid_BD!$B:$B,$A92,Grid_BD!$V:$V)/($AA92+SUMIF(Grid_BD!$B:$B,$A92,Grid_BD!$V:$V))),"")</f>
        <v>1</v>
      </c>
      <c r="S92" s="295"/>
      <c r="T92" s="300"/>
      <c r="U92" s="301">
        <f t="shared" si="11"/>
        <v>0.87954265059325709</v>
      </c>
      <c r="V92" s="301" t="str">
        <f>IFERROR(_xlfn.XLOOKUP($A92,Input_Raw!$A:$A,Input_Raw!$AX:$AX),"")</f>
        <v/>
      </c>
      <c r="W92" s="302">
        <f t="shared" si="12"/>
        <v>0.13076360468283446</v>
      </c>
      <c r="X92" s="294">
        <f>IFERROR(_xlfn.XLOOKUP($A92,Input_Raw!$A:$A,Input_Raw!$AA:$AA),"")</f>
        <v>146718.20000000001</v>
      </c>
      <c r="Y92" s="294">
        <f>IFERROR(_xlfn.XLOOKUP($A92,Input_Raw!$A:$A,Input_Raw!$AS:$AS),"")</f>
        <v>145000</v>
      </c>
      <c r="Z92" s="294"/>
      <c r="AA92" s="294">
        <f>IFERROR(_xlfn.XLOOKUP($A92,Input_Raw!$A:$A,Input_Raw!$AT:$AT),"")</f>
        <v>144155.10543840352</v>
      </c>
      <c r="AB92" s="294">
        <f>IFERROR(_xlfn.XLOOKUP($A92,Input_Raw!$A:$A,Input_Raw!$AU:$AU),"")</f>
        <v>39.21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143621.35138403124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11.983333333333333</v>
      </c>
      <c r="G93" s="298">
        <f>IFERROR(_xlfn.XLOOKUP($A93,Input_Raw!$A:$A,Input_Raw!$R:$R),"")</f>
        <v>4.9455</v>
      </c>
      <c r="H93" s="298"/>
      <c r="I93" s="298">
        <f>IFERROR(_xlfn.XLOOKUP($A93,Input_Raw!$A:$A,Input_Raw!$Q:$Q),"")</f>
        <v>4.7489999999999997</v>
      </c>
      <c r="J93" s="298"/>
      <c r="K93" s="298">
        <f>IFERROR(_xlfn.XLOOKUP($A93,Input_Raw!$A:$A,Input_Raw!S:S),"")</f>
        <v>30.309000000000001</v>
      </c>
      <c r="L93" s="298">
        <f>IFERROR(_xlfn.XLOOKUP($A93,Input_Raw!$A:$A,Input_Raw!T:T),"")</f>
        <v>37.622</v>
      </c>
      <c r="M93" s="298">
        <f>IFERROR(_xlfn.XLOOKUP($A93,Input_Raw!$A:$A,Input_Raw!W:W),"")</f>
        <v>4.7416</v>
      </c>
      <c r="N93" s="298">
        <f>IFERROR(_xlfn.XLOOKUP($A93,Input_Raw!$A:$A,Input_Raw!X:X),"")</f>
        <v>10.52</v>
      </c>
      <c r="O93" s="299">
        <f>IFERROR(1-(SUMIF(Plant_BD!$B:$B,$A93,Plant_BD!$AL:$AL)/($AA93+SUMIF(Plant_BD!$B:$B,$A93,Plant_BD!$AL:$AL))),"")</f>
        <v>0.999356024210731</v>
      </c>
      <c r="P93" s="299"/>
      <c r="Q93" s="300"/>
      <c r="R93" s="299">
        <f>IFERROR(1-(SUMIF(Grid_BD!$B:$B,$A93,Grid_BD!$V:$V)/($AA93+SUMIF(Grid_BD!$B:$B,$A93,Grid_BD!$V:$V))),"")</f>
        <v>1</v>
      </c>
      <c r="S93" s="295"/>
      <c r="T93" s="300"/>
      <c r="U93" s="301">
        <f t="shared" si="11"/>
        <v>0.86520475349331305</v>
      </c>
      <c r="V93" s="301" t="str">
        <f>IFERROR(_xlfn.XLOOKUP($A93,Input_Raw!$A:$A,Input_Raw!$AX:$AX),"")</f>
        <v/>
      </c>
      <c r="W93" s="302">
        <f t="shared" si="12"/>
        <v>0.14614190514224412</v>
      </c>
      <c r="X93" s="294">
        <f>IFERROR(_xlfn.XLOOKUP($A93,Input_Raw!$A:$A,Input_Raw!$AA:$AA),"")</f>
        <v>163808.70000000001</v>
      </c>
      <c r="Y93" s="294">
        <f>IFERROR(_xlfn.XLOOKUP($A93,Input_Raw!$A:$A,Input_Raw!$AS:$AS),"")</f>
        <v>163000</v>
      </c>
      <c r="Z93" s="294"/>
      <c r="AA93" s="294">
        <f>IFERROR(_xlfn.XLOOKUP($A93,Input_Raw!$A:$A,Input_Raw!$AT:$AT),"")</f>
        <v>161108.29764786136</v>
      </c>
      <c r="AB93" s="294">
        <f>IFERROR(_xlfn.XLOOKUP($A93,Input_Raw!$A:$A,Input_Raw!$AU:$AU),"")</f>
        <v>39.21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143621.35138403124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11.416666666666666</v>
      </c>
      <c r="G94" s="298">
        <f>IFERROR(_xlfn.XLOOKUP($A94,Input_Raw!$A:$A,Input_Raw!$R:$R),"")</f>
        <v>1.4059999999999999</v>
      </c>
      <c r="H94" s="298"/>
      <c r="I94" s="298">
        <f>IFERROR(_xlfn.XLOOKUP($A94,Input_Raw!$A:$A,Input_Raw!$Q:$Q),"")</f>
        <v>1.4</v>
      </c>
      <c r="J94" s="298"/>
      <c r="K94" s="298">
        <f>IFERROR(_xlfn.XLOOKUP($A94,Input_Raw!$A:$A,Input_Raw!S:S),"")</f>
        <v>25.088799999999999</v>
      </c>
      <c r="L94" s="298">
        <f>IFERROR(_xlfn.XLOOKUP($A94,Input_Raw!$A:$A,Input_Raw!T:T),"")</f>
        <v>26.024000000000001</v>
      </c>
      <c r="M94" s="298">
        <f>IFERROR(_xlfn.XLOOKUP($A94,Input_Raw!$A:$A,Input_Raw!W:W),"")</f>
        <v>2.8610000000000002</v>
      </c>
      <c r="N94" s="298">
        <f>IFERROR(_xlfn.XLOOKUP($A94,Input_Raw!$A:$A,Input_Raw!X:X),"")</f>
        <v>8.32</v>
      </c>
      <c r="O94" s="299">
        <f>IFERROR(1-(SUMIF(Plant_BD!$B:$B,$A94,Plant_BD!$AL:$AL)/($AA94+SUMIF(Plant_BD!$B:$B,$A94,Plant_BD!$AL:$AL))),"")</f>
        <v>0.5697841044197467</v>
      </c>
      <c r="P94" s="299"/>
      <c r="Q94" s="300"/>
      <c r="R94" s="299">
        <f>IFERROR(1-(SUMIF(Grid_BD!$B:$B,$A94,Grid_BD!$V:$V)/($AA94+SUMIF(Grid_BD!$B:$B,$A94,Grid_BD!$V:$V))),"")</f>
        <v>1</v>
      </c>
      <c r="S94" s="295"/>
      <c r="T94" s="300"/>
      <c r="U94" s="301">
        <f t="shared" si="11"/>
        <v>0.49313423509140586</v>
      </c>
      <c r="V94" s="301" t="str">
        <f>IFERROR(_xlfn.XLOOKUP($A94,Input_Raw!$A:$A,Input_Raw!$AX:$AX),"")</f>
        <v/>
      </c>
      <c r="W94" s="302">
        <f t="shared" si="12"/>
        <v>2.4555392912897774E-2</v>
      </c>
      <c r="X94" s="294">
        <f>IFERROR(_xlfn.XLOOKUP($A94,Input_Raw!$A:$A,Input_Raw!$AA:$AA),"")</f>
        <v>28102.400000000001</v>
      </c>
      <c r="Y94" s="294">
        <f>IFERROR(_xlfn.XLOOKUP($A94,Input_Raw!$A:$A,Input_Raw!$AS:$AS),"")</f>
        <v>28000</v>
      </c>
      <c r="Z94" s="294"/>
      <c r="AA94" s="294">
        <f>IFERROR(_xlfn.XLOOKUP($A94,Input_Raw!$A:$A,Input_Raw!$AT:$AT),"")</f>
        <v>27070.110701107635</v>
      </c>
      <c r="AB94" s="294">
        <f>IFERROR(_xlfn.XLOOKUP($A94,Input_Raw!$A:$A,Input_Raw!$AU:$AU),"")</f>
        <v>39.21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143621.35138403124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11.383333333333335</v>
      </c>
      <c r="G95" s="298">
        <f>IFERROR(_xlfn.XLOOKUP($A95,Input_Raw!$A:$A,Input_Raw!$R:$R),"")</f>
        <v>1.73</v>
      </c>
      <c r="H95" s="298"/>
      <c r="I95" s="298">
        <f>IFERROR(_xlfn.XLOOKUP($A95,Input_Raw!$A:$A,Input_Raw!$Q:$Q),"")</f>
        <v>1.72</v>
      </c>
      <c r="J95" s="298"/>
      <c r="K95" s="298">
        <f>IFERROR(_xlfn.XLOOKUP($A95,Input_Raw!$A:$A,Input_Raw!S:S),"")</f>
        <v>25.98</v>
      </c>
      <c r="L95" s="298">
        <f>IFERROR(_xlfn.XLOOKUP($A95,Input_Raw!$A:$A,Input_Raw!T:T),"")</f>
        <v>28.19</v>
      </c>
      <c r="M95" s="298">
        <f>IFERROR(_xlfn.XLOOKUP($A95,Input_Raw!$A:$A,Input_Raw!W:W),"")</f>
        <v>2.83</v>
      </c>
      <c r="N95" s="298">
        <f>IFERROR(_xlfn.XLOOKUP($A95,Input_Raw!$A:$A,Input_Raw!X:X),"")</f>
        <v>7.2</v>
      </c>
      <c r="O95" s="299">
        <f>IFERROR(1-(SUMIF(Plant_BD!$B:$B,$A95,Plant_BD!$AL:$AL)/($AA95+SUMIF(Plant_BD!$B:$B,$A95,Plant_BD!$AL:$AL))),"")</f>
        <v>1</v>
      </c>
      <c r="P95" s="299"/>
      <c r="Q95" s="300"/>
      <c r="R95" s="299">
        <f>IFERROR(1-(SUMIF(Grid_BD!$B:$B,$A95,Grid_BD!$V:$V)/($AA95+SUMIF(Grid_BD!$B:$B,$A95,Grid_BD!$V:$V))),"")</f>
        <v>1</v>
      </c>
      <c r="S95" s="295"/>
      <c r="T95" s="300"/>
      <c r="U95" s="301">
        <f t="shared" si="11"/>
        <v>0.93589690655886992</v>
      </c>
      <c r="V95" s="301" t="str">
        <f>IFERROR(_xlfn.XLOOKUP($A95,Input_Raw!$A:$A,Input_Raw!$AX:$AX),"")</f>
        <v/>
      </c>
      <c r="W95" s="302">
        <f t="shared" si="12"/>
        <v>5.7254569946406562E-2</v>
      </c>
      <c r="X95" s="294">
        <f>IFERROR(_xlfn.XLOOKUP($A95,Input_Raw!$A:$A,Input_Raw!$AA:$AA),"")</f>
        <v>64726.1</v>
      </c>
      <c r="Y95" s="294">
        <f>IFERROR(_xlfn.XLOOKUP($A95,Input_Raw!$A:$A,Input_Raw!$AS:$AS),"")</f>
        <v>64000</v>
      </c>
      <c r="Z95" s="294"/>
      <c r="AA95" s="294">
        <f>IFERROR(_xlfn.XLOOKUP($A95,Input_Raw!$A:$A,Input_Raw!$AT:$AT),"")</f>
        <v>63118.010454618059</v>
      </c>
      <c r="AB95" s="294">
        <f>IFERROR(_xlfn.XLOOKUP($A95,Input_Raw!$A:$A,Input_Raw!$AU:$AU),"")</f>
        <v>39.21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143621.35138403124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11.799999999999999</v>
      </c>
      <c r="G96" s="298">
        <f>IFERROR(_xlfn.XLOOKUP($A96,Input_Raw!$A:$A,Input_Raw!$R:$R),"")</f>
        <v>1.7490000000000001</v>
      </c>
      <c r="H96" s="298"/>
      <c r="I96" s="298">
        <f>IFERROR(_xlfn.XLOOKUP($A96,Input_Raw!$A:$A,Input_Raw!$Q:$Q),"")</f>
        <v>1.7470000000000001</v>
      </c>
      <c r="J96" s="298"/>
      <c r="K96" s="298">
        <f>IFERROR(_xlfn.XLOOKUP($A96,Input_Raw!$A:$A,Input_Raw!S:S),"")</f>
        <v>26.297000000000001</v>
      </c>
      <c r="L96" s="298">
        <f>IFERROR(_xlfn.XLOOKUP($A96,Input_Raw!$A:$A,Input_Raw!T:T),"")</f>
        <v>28.05</v>
      </c>
      <c r="M96" s="298">
        <f>IFERROR(_xlfn.XLOOKUP($A96,Input_Raw!$A:$A,Input_Raw!W:W),"")</f>
        <v>3.21</v>
      </c>
      <c r="N96" s="298">
        <f>IFERROR(_xlfn.XLOOKUP($A96,Input_Raw!$A:$A,Input_Raw!X:X),"")</f>
        <v>7.29</v>
      </c>
      <c r="O96" s="299">
        <f>IFERROR(1-(SUMIF(Plant_BD!$B:$B,$A96,Plant_BD!$AL:$AL)/($AA96+SUMIF(Plant_BD!$B:$B,$A96,Plant_BD!$AL:$AL))),"")</f>
        <v>0.8335598060236683</v>
      </c>
      <c r="P96" s="299"/>
      <c r="Q96" s="300"/>
      <c r="R96" s="299">
        <f>IFERROR(1-(SUMIF(Grid_BD!$B:$B,$A96,Grid_BD!$V:$V)/($AA96+SUMIF(Grid_BD!$B:$B,$A96,Grid_BD!$V:$V))),"")</f>
        <v>1</v>
      </c>
      <c r="S96" s="295"/>
      <c r="T96" s="300"/>
      <c r="U96" s="301">
        <f t="shared" si="11"/>
        <v>0.76486465990361396</v>
      </c>
      <c r="V96" s="301" t="str">
        <f>IFERROR(_xlfn.XLOOKUP($A96,Input_Raw!$A:$A,Input_Raw!$AX:$AX),"")</f>
        <v/>
      </c>
      <c r="W96" s="302">
        <f t="shared" si="12"/>
        <v>4.0150761179691907E-2</v>
      </c>
      <c r="X96" s="294">
        <f>IFERROR(_xlfn.XLOOKUP($A96,Input_Raw!$A:$A,Input_Raw!$AA:$AA),"")</f>
        <v>53579.8</v>
      </c>
      <c r="Y96" s="294">
        <f>IFERROR(_xlfn.XLOOKUP($A96,Input_Raw!$A:$A,Input_Raw!$AS:$AS),"")</f>
        <v>53000</v>
      </c>
      <c r="Z96" s="294"/>
      <c r="AA96" s="294">
        <f>IFERROR(_xlfn.XLOOKUP($A96,Input_Raw!$A:$A,Input_Raw!$AT:$AT),"")</f>
        <v>52393.129770991771</v>
      </c>
      <c r="AB96" s="294">
        <f>IFERROR(_xlfn.XLOOKUP($A96,Input_Raw!$A:$A,Input_Raw!$AU:$AU),"")</f>
        <v>39.21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123538.5606974953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11.45</v>
      </c>
      <c r="G97" s="298">
        <f>IFERROR(_xlfn.XLOOKUP($A97,Input_Raw!$A:$A,Input_Raw!$R:$R),"")</f>
        <v>2.9550000000000001</v>
      </c>
      <c r="H97" s="298"/>
      <c r="I97" s="298">
        <f>IFERROR(_xlfn.XLOOKUP($A97,Input_Raw!$A:$A,Input_Raw!$Q:$Q),"")</f>
        <v>2.9289999999999998</v>
      </c>
      <c r="J97" s="298"/>
      <c r="K97" s="298">
        <f>IFERROR(_xlfn.XLOOKUP($A97,Input_Raw!$A:$A,Input_Raw!S:S),"")</f>
        <v>28.277999999999999</v>
      </c>
      <c r="L97" s="298">
        <f>IFERROR(_xlfn.XLOOKUP($A97,Input_Raw!$A:$A,Input_Raw!T:T),"")</f>
        <v>33.409999999999997</v>
      </c>
      <c r="M97" s="298">
        <f>IFERROR(_xlfn.XLOOKUP($A97,Input_Raw!$A:$A,Input_Raw!W:W),"")</f>
        <v>4.26</v>
      </c>
      <c r="N97" s="298">
        <f>IFERROR(_xlfn.XLOOKUP($A97,Input_Raw!$A:$A,Input_Raw!X:X),"")</f>
        <v>12.1</v>
      </c>
      <c r="O97" s="299">
        <f>IFERROR(1-(SUMIF(Plant_BD!$B:$B,$A97,Plant_BD!$AL:$AL)/($AA97+SUMIF(Plant_BD!$B:$B,$A97,Plant_BD!$AL:$AL))),"")</f>
        <v>0.94814107114071844</v>
      </c>
      <c r="P97" s="299"/>
      <c r="Q97" s="300"/>
      <c r="R97" s="299">
        <f>IFERROR(1-(SUMIF(Grid_BD!$B:$B,$A97,Grid_BD!$V:$V)/($AA97+SUMIF(Grid_BD!$B:$B,$A97,Grid_BD!$V:$V))),"")</f>
        <v>1</v>
      </c>
      <c r="S97" s="295"/>
      <c r="T97" s="300"/>
      <c r="U97" s="301">
        <f t="shared" si="11"/>
        <v>0.85567214524638513</v>
      </c>
      <c r="V97" s="301" t="str">
        <f>IFERROR(_xlfn.XLOOKUP($A97,Input_Raw!$A:$A,Input_Raw!$AX:$AX),"")</f>
        <v/>
      </c>
      <c r="W97" s="302">
        <f t="shared" si="12"/>
        <v>7.5308335596676712E-2</v>
      </c>
      <c r="X97" s="294">
        <f>IFERROR(_xlfn.XLOOKUP($A97,Input_Raw!$A:$A,Input_Raw!$AA:$AA),"")</f>
        <v>100110.09999999999</v>
      </c>
      <c r="Y97" s="294">
        <f>IFERROR(_xlfn.XLOOKUP($A97,Input_Raw!$A:$A,Input_Raw!$AS:$AS),"")</f>
        <v>100000</v>
      </c>
      <c r="Z97" s="294"/>
      <c r="AA97" s="294">
        <f>IFERROR(_xlfn.XLOOKUP($A97,Input_Raw!$A:$A,Input_Raw!$AT:$AT),"")</f>
        <v>98270.600203459413</v>
      </c>
      <c r="AB97" s="294">
        <f>IFERROR(_xlfn.XLOOKUP($A97,Input_Raw!$A:$A,Input_Raw!$AU:$AU),"")</f>
        <v>39.21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123538.5606974953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12.333333333333336</v>
      </c>
      <c r="G98" s="298">
        <f>IFERROR(_xlfn.XLOOKUP($A98,Input_Raw!$A:$A,Input_Raw!$R:$R),"")</f>
        <v>3.99</v>
      </c>
      <c r="H98" s="298"/>
      <c r="I98" s="298">
        <f>IFERROR(_xlfn.XLOOKUP($A98,Input_Raw!$A:$A,Input_Raw!$Q:$Q),"")</f>
        <v>3.92</v>
      </c>
      <c r="J98" s="298"/>
      <c r="K98" s="298">
        <f>IFERROR(_xlfn.XLOOKUP($A98,Input_Raw!$A:$A,Input_Raw!S:S),"")</f>
        <v>29.07</v>
      </c>
      <c r="L98" s="298">
        <f>IFERROR(_xlfn.XLOOKUP($A98,Input_Raw!$A:$A,Input_Raw!T:T),"")</f>
        <v>35.270000000000003</v>
      </c>
      <c r="M98" s="298">
        <f>IFERROR(_xlfn.XLOOKUP($A98,Input_Raw!$A:$A,Input_Raw!W:W),"")</f>
        <v>3.9</v>
      </c>
      <c r="N98" s="298">
        <f>IFERROR(_xlfn.XLOOKUP($A98,Input_Raw!$A:$A,Input_Raw!X:X),"")</f>
        <v>8.73</v>
      </c>
      <c r="O98" s="299">
        <f>IFERROR(1-(SUMIF(Plant_BD!$B:$B,$A98,Plant_BD!$AL:$AL)/($AA98+SUMIF(Plant_BD!$B:$B,$A98,Plant_BD!$AL:$AL))),"")</f>
        <v>0.99932007485954077</v>
      </c>
      <c r="P98" s="299"/>
      <c r="Q98" s="300"/>
      <c r="R98" s="299">
        <f>IFERROR(1-(SUMIF(Grid_BD!$B:$B,$A98,Grid_BD!$V:$V)/($AA98+SUMIF(Grid_BD!$B:$B,$A98,Grid_BD!$V:$V))),"")</f>
        <v>1</v>
      </c>
      <c r="S98" s="295"/>
      <c r="T98" s="300"/>
      <c r="U98" s="301">
        <f t="shared" si="11"/>
        <v>0.91941305056242739</v>
      </c>
      <c r="V98" s="301" t="str">
        <f>IFERROR(_xlfn.XLOOKUP($A98,Input_Raw!$A:$A,Input_Raw!$AX:$AX),"")</f>
        <v/>
      </c>
      <c r="W98" s="302">
        <f t="shared" si="12"/>
        <v>0.10829614915450637</v>
      </c>
      <c r="X98" s="294">
        <f>IFERROR(_xlfn.XLOOKUP($A98,Input_Raw!$A:$A,Input_Raw!$AA:$AA),"")</f>
        <v>143810.70000000001</v>
      </c>
      <c r="Y98" s="294">
        <f>IFERROR(_xlfn.XLOOKUP($A98,Input_Raw!$A:$A,Input_Raw!$AS:$AS),"")</f>
        <v>142000</v>
      </c>
      <c r="Z98" s="294"/>
      <c r="AA98" s="294">
        <f>IFERROR(_xlfn.XLOOKUP($A98,Input_Raw!$A:$A,Input_Raw!$AT:$AT),"")</f>
        <v>141316.72799320691</v>
      </c>
      <c r="AB98" s="294">
        <f>IFERROR(_xlfn.XLOOKUP($A98,Input_Raw!$A:$A,Input_Raw!$AU:$AU),"")</f>
        <v>39.21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123538.5606974953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11.616666666666667</v>
      </c>
      <c r="G99" s="298">
        <f>IFERROR(_xlfn.XLOOKUP($A99,Input_Raw!$A:$A,Input_Raw!$R:$R),"")</f>
        <v>2.74</v>
      </c>
      <c r="H99" s="298"/>
      <c r="I99" s="298">
        <f>IFERROR(_xlfn.XLOOKUP($A99,Input_Raw!$A:$A,Input_Raw!$Q:$Q),"")</f>
        <v>2.71</v>
      </c>
      <c r="J99" s="298"/>
      <c r="K99" s="298">
        <f>IFERROR(_xlfn.XLOOKUP($A99,Input_Raw!$A:$A,Input_Raw!S:S),"")</f>
        <v>28.22</v>
      </c>
      <c r="L99" s="298">
        <f>IFERROR(_xlfn.XLOOKUP($A99,Input_Raw!$A:$A,Input_Raw!T:T),"")</f>
        <v>32.409999999999997</v>
      </c>
      <c r="M99" s="298">
        <f>IFERROR(_xlfn.XLOOKUP($A99,Input_Raw!$A:$A,Input_Raw!W:W),"")</f>
        <v>3.62</v>
      </c>
      <c r="N99" s="298">
        <f>IFERROR(_xlfn.XLOOKUP($A99,Input_Raw!$A:$A,Input_Raw!X:X),"")</f>
        <v>11.91</v>
      </c>
      <c r="O99" s="299">
        <f>IFERROR(1-(SUMIF(Plant_BD!$B:$B,$A99,Plant_BD!$AL:$AL)/($AA99+SUMIF(Plant_BD!$B:$B,$A99,Plant_BD!$AL:$AL))),"")</f>
        <v>1</v>
      </c>
      <c r="P99" s="299"/>
      <c r="Q99" s="300"/>
      <c r="R99" s="299">
        <f>IFERROR(1-(SUMIF(Grid_BD!$B:$B,$A99,Grid_BD!$V:$V)/($AA99+SUMIF(Grid_BD!$B:$B,$A99,Grid_BD!$V:$V))),"")</f>
        <v>1</v>
      </c>
      <c r="S99" s="295"/>
      <c r="T99" s="300"/>
      <c r="U99" s="301">
        <f t="shared" si="11"/>
        <v>0.9244308286905949</v>
      </c>
      <c r="V99" s="301" t="str">
        <f>IFERROR(_xlfn.XLOOKUP($A99,Input_Raw!$A:$A,Input_Raw!$AX:$AX),"")</f>
        <v/>
      </c>
      <c r="W99" s="302">
        <f t="shared" si="12"/>
        <v>7.5276599818314513E-2</v>
      </c>
      <c r="X99" s="294">
        <f>IFERROR(_xlfn.XLOOKUP($A99,Input_Raw!$A:$A,Input_Raw!$AA:$AA),"")</f>
        <v>100157.1</v>
      </c>
      <c r="Y99" s="294">
        <f>IFERROR(_xlfn.XLOOKUP($A99,Input_Raw!$A:$A,Input_Raw!$AS:$AS),"")</f>
        <v>100000</v>
      </c>
      <c r="Z99" s="294"/>
      <c r="AA99" s="294">
        <f>IFERROR(_xlfn.XLOOKUP($A99,Input_Raw!$A:$A,Input_Raw!$AT:$AT),"")</f>
        <v>98229.187868916793</v>
      </c>
      <c r="AB99" s="294">
        <f>IFERROR(_xlfn.XLOOKUP($A99,Input_Raw!$A:$A,Input_Raw!$AU:$AU),"")</f>
        <v>39.21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123538.5606974953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11.533333333333333</v>
      </c>
      <c r="G100" s="298">
        <f>IFERROR(_xlfn.XLOOKUP($A100,Input_Raw!$A:$A,Input_Raw!$R:$R),"")</f>
        <v>3</v>
      </c>
      <c r="H100" s="298"/>
      <c r="I100" s="298">
        <f>IFERROR(_xlfn.XLOOKUP($A100,Input_Raw!$A:$A,Input_Raw!$Q:$Q),"")</f>
        <v>2.95</v>
      </c>
      <c r="J100" s="298"/>
      <c r="K100" s="298">
        <f>IFERROR(_xlfn.XLOOKUP($A100,Input_Raw!$A:$A,Input_Raw!S:S),"")</f>
        <v>28.56</v>
      </c>
      <c r="L100" s="298">
        <f>IFERROR(_xlfn.XLOOKUP($A100,Input_Raw!$A:$A,Input_Raw!T:T),"")</f>
        <v>33.659999999999997</v>
      </c>
      <c r="M100" s="298">
        <f>IFERROR(_xlfn.XLOOKUP($A100,Input_Raw!$A:$A,Input_Raw!W:W),"")</f>
        <v>3.87</v>
      </c>
      <c r="N100" s="298">
        <f>IFERROR(_xlfn.XLOOKUP($A100,Input_Raw!$A:$A,Input_Raw!X:X),"")</f>
        <v>9.07</v>
      </c>
      <c r="O100" s="299">
        <f>IFERROR(1-(SUMIF(Plant_BD!$B:$B,$A100,Plant_BD!$AL:$AL)/($AA100+SUMIF(Plant_BD!$B:$B,$A100,Plant_BD!$AL:$AL))),"")</f>
        <v>1</v>
      </c>
      <c r="P100" s="299"/>
      <c r="Q100" s="300"/>
      <c r="R100" s="299">
        <f>IFERROR(1-(SUMIF(Grid_BD!$B:$B,$A100,Grid_BD!$V:$V)/($AA100+SUMIF(Grid_BD!$B:$B,$A100,Grid_BD!$V:$V))),"")</f>
        <v>1</v>
      </c>
      <c r="S100" s="295"/>
      <c r="T100" s="300"/>
      <c r="U100" s="301">
        <f t="shared" si="11"/>
        <v>0.91746629993674467</v>
      </c>
      <c r="V100" s="301" t="str">
        <f>IFERROR(_xlfn.XLOOKUP($A100,Input_Raw!$A:$A,Input_Raw!$AX:$AX),"")</f>
        <v/>
      </c>
      <c r="W100" s="302">
        <f t="shared" si="12"/>
        <v>8.1325814179164319E-2</v>
      </c>
      <c r="X100" s="294">
        <f>IFERROR(_xlfn.XLOOKUP($A100,Input_Raw!$A:$A,Input_Raw!$AA:$AA),"")</f>
        <v>107921.5</v>
      </c>
      <c r="Y100" s="294">
        <f>IFERROR(_xlfn.XLOOKUP($A100,Input_Raw!$A:$A,Input_Raw!$AS:$AS),"")</f>
        <v>107000</v>
      </c>
      <c r="Z100" s="294"/>
      <c r="AA100" s="294">
        <f>IFERROR(_xlfn.XLOOKUP($A100,Input_Raw!$A:$A,Input_Raw!$AT:$AT),"")</f>
        <v>106122.8681805333</v>
      </c>
      <c r="AB100" s="294">
        <f>IFERROR(_xlfn.XLOOKUP($A100,Input_Raw!$A:$A,Input_Raw!$AU:$AU),"")</f>
        <v>39.21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123538.5606974953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11.416666666666668</v>
      </c>
      <c r="G101" s="298">
        <f>IFERROR(_xlfn.XLOOKUP($A101,Input_Raw!$A:$A,Input_Raw!$R:$R),"")</f>
        <v>2.09</v>
      </c>
      <c r="H101" s="298"/>
      <c r="I101" s="298">
        <f>IFERROR(_xlfn.XLOOKUP($A101,Input_Raw!$A:$A,Input_Raw!$Q:$Q),"")</f>
        <v>2.06</v>
      </c>
      <c r="J101" s="298"/>
      <c r="K101" s="298">
        <f>IFERROR(_xlfn.XLOOKUP($A101,Input_Raw!$A:$A,Input_Raw!S:S),"")</f>
        <v>26.86</v>
      </c>
      <c r="L101" s="298">
        <f>IFERROR(_xlfn.XLOOKUP($A101,Input_Raw!$A:$A,Input_Raw!T:T),"")</f>
        <v>30</v>
      </c>
      <c r="M101" s="298">
        <f>IFERROR(_xlfn.XLOOKUP($A101,Input_Raw!$A:$A,Input_Raw!W:W),"")</f>
        <v>3.47</v>
      </c>
      <c r="N101" s="298">
        <f>IFERROR(_xlfn.XLOOKUP($A101,Input_Raw!$A:$A,Input_Raw!X:X),"")</f>
        <v>7.6</v>
      </c>
      <c r="O101" s="299">
        <f>IFERROR(1-(SUMIF(Plant_BD!$B:$B,$A101,Plant_BD!$AL:$AL)/($AA101+SUMIF(Plant_BD!$B:$B,$A101,Plant_BD!$AL:$AL))),"")</f>
        <v>0.8915460114134901</v>
      </c>
      <c r="P101" s="299"/>
      <c r="Q101" s="300"/>
      <c r="R101" s="299">
        <f>IFERROR(1-(SUMIF(Grid_BD!$B:$B,$A101,Grid_BD!$V:$V)/($AA101+SUMIF(Grid_BD!$B:$B,$A101,Grid_BD!$V:$V))),"")</f>
        <v>1</v>
      </c>
      <c r="S101" s="295"/>
      <c r="T101" s="300"/>
      <c r="U101" s="301">
        <f t="shared" si="11"/>
        <v>0.92154749520478441</v>
      </c>
      <c r="V101" s="301" t="str">
        <f>IFERROR(_xlfn.XLOOKUP($A101,Input_Raw!$A:$A,Input_Raw!$AX:$AX),"")</f>
        <v/>
      </c>
      <c r="W101" s="302">
        <f t="shared" si="12"/>
        <v>5.7042851392952752E-2</v>
      </c>
      <c r="X101" s="294">
        <f>IFERROR(_xlfn.XLOOKUP($A101,Input_Raw!$A:$A,Input_Raw!$AA:$AA),"")</f>
        <v>76070.5</v>
      </c>
      <c r="Y101" s="294">
        <f>IFERROR(_xlfn.XLOOKUP($A101,Input_Raw!$A:$A,Input_Raw!$AS:$AS),"")</f>
        <v>75000</v>
      </c>
      <c r="Z101" s="294"/>
      <c r="AA101" s="294">
        <f>IFERROR(_xlfn.XLOOKUP($A101,Input_Raw!$A:$A,Input_Raw!$AT:$AT),"")</f>
        <v>74435.787211177972</v>
      </c>
      <c r="AB101" s="294">
        <f>IFERROR(_xlfn.XLOOKUP($A101,Input_Raw!$A:$A,Input_Raw!$AU:$AU),"")</f>
        <v>39.21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123538.5606974953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11.950000000000001</v>
      </c>
      <c r="G102" s="298">
        <f>IFERROR(_xlfn.XLOOKUP($A102,Input_Raw!$A:$A,Input_Raw!$R:$R),"")</f>
        <v>1.39</v>
      </c>
      <c r="H102" s="298"/>
      <c r="I102" s="298">
        <f>IFERROR(_xlfn.XLOOKUP($A102,Input_Raw!$A:$A,Input_Raw!$Q:$Q),"")</f>
        <v>1.39</v>
      </c>
      <c r="J102" s="298"/>
      <c r="K102" s="298">
        <f>IFERROR(_xlfn.XLOOKUP($A102,Input_Raw!$A:$A,Input_Raw!S:S),"")</f>
        <v>25.01</v>
      </c>
      <c r="L102" s="298">
        <f>IFERROR(_xlfn.XLOOKUP($A102,Input_Raw!$A:$A,Input_Raw!T:T),"")</f>
        <v>25.15</v>
      </c>
      <c r="M102" s="298">
        <f>IFERROR(_xlfn.XLOOKUP($A102,Input_Raw!$A:$A,Input_Raw!W:W),"")</f>
        <v>3.9</v>
      </c>
      <c r="N102" s="298">
        <f>IFERROR(_xlfn.XLOOKUP($A102,Input_Raw!$A:$A,Input_Raw!X:X),"")</f>
        <v>8.42</v>
      </c>
      <c r="O102" s="299">
        <f>IFERROR(1-(SUMIF(Plant_BD!$B:$B,$A102,Plant_BD!$AL:$AL)/($AA102+SUMIF(Plant_BD!$B:$B,$A102,Plant_BD!$AL:$AL))),"")</f>
        <v>1</v>
      </c>
      <c r="P102" s="299"/>
      <c r="Q102" s="300"/>
      <c r="R102" s="299">
        <f>IFERROR(1-(SUMIF(Grid_BD!$B:$B,$A102,Grid_BD!$V:$V)/($AA102+SUMIF(Grid_BD!$B:$B,$A102,Grid_BD!$V:$V))),"")</f>
        <v>1</v>
      </c>
      <c r="S102" s="295"/>
      <c r="T102" s="300"/>
      <c r="U102" s="301">
        <f t="shared" si="11"/>
        <v>1.0121229211884484</v>
      </c>
      <c r="V102" s="301" t="str">
        <f>IFERROR(_xlfn.XLOOKUP($A102,Input_Raw!$A:$A,Input_Raw!$AX:$AX),"")</f>
        <v/>
      </c>
      <c r="W102" s="302">
        <f t="shared" si="12"/>
        <v>4.2273123999602036E-2</v>
      </c>
      <c r="X102" s="294">
        <f>IFERROR(_xlfn.XLOOKUP($A102,Input_Raw!$A:$A,Input_Raw!$AA:$AA),"")</f>
        <v>56879.6</v>
      </c>
      <c r="Y102" s="294">
        <f>IFERROR(_xlfn.XLOOKUP($A102,Input_Raw!$A:$A,Input_Raw!$AS:$AS),"")</f>
        <v>57000</v>
      </c>
      <c r="Z102" s="294"/>
      <c r="AA102" s="294">
        <f>IFERROR(_xlfn.XLOOKUP($A102,Input_Raw!$A:$A,Input_Raw!$AT:$AT),"")</f>
        <v>55162.622238320691</v>
      </c>
      <c r="AB102" s="294">
        <f>IFERROR(_xlfn.XLOOKUP($A102,Input_Raw!$A:$A,Input_Raw!$AU:$AU),"")</f>
        <v>39.21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123538.5606974953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11.65</v>
      </c>
      <c r="G103" s="298">
        <f>IFERROR(_xlfn.XLOOKUP($A103,Input_Raw!$A:$A,Input_Raw!$R:$R),"")</f>
        <v>1.7</v>
      </c>
      <c r="H103" s="298"/>
      <c r="I103" s="298">
        <f>IFERROR(_xlfn.XLOOKUP($A103,Input_Raw!$A:$A,Input_Raw!$Q:$Q),"")</f>
        <v>1.72</v>
      </c>
      <c r="J103" s="298"/>
      <c r="K103" s="298">
        <f>IFERROR(_xlfn.XLOOKUP($A103,Input_Raw!$A:$A,Input_Raw!S:S),"")</f>
        <v>25.64</v>
      </c>
      <c r="L103" s="298">
        <f>IFERROR(_xlfn.XLOOKUP($A103,Input_Raw!$A:$A,Input_Raw!T:T),"")</f>
        <v>26.103999999999999</v>
      </c>
      <c r="M103" s="298">
        <f>IFERROR(_xlfn.XLOOKUP($A103,Input_Raw!$A:$A,Input_Raw!W:W),"")</f>
        <v>3.26</v>
      </c>
      <c r="N103" s="298">
        <f>IFERROR(_xlfn.XLOOKUP($A103,Input_Raw!$A:$A,Input_Raw!X:X),"")</f>
        <v>6.65</v>
      </c>
      <c r="O103" s="299">
        <f>IFERROR(1-(SUMIF(Plant_BD!$B:$B,$A103,Plant_BD!$AL:$AL)/($AA103+SUMIF(Plant_BD!$B:$B,$A103,Plant_BD!$AL:$AL))),"")</f>
        <v>0.99934371361772412</v>
      </c>
      <c r="P103" s="299"/>
      <c r="Q103" s="300"/>
      <c r="R103" s="299">
        <f>IFERROR(1-(SUMIF(Grid_BD!$B:$B,$A103,Grid_BD!$V:$V)/($AA103+SUMIF(Grid_BD!$B:$B,$A103,Grid_BD!$V:$V))),"")</f>
        <v>1</v>
      </c>
      <c r="S103" s="295"/>
      <c r="T103" s="300"/>
      <c r="U103" s="301">
        <f t="shared" si="11"/>
        <v>0.95306903499619033</v>
      </c>
      <c r="V103" s="301" t="str">
        <f>IFERROR(_xlfn.XLOOKUP($A103,Input_Raw!$A:$A,Input_Raw!$AX:$AX),"")</f>
        <v/>
      </c>
      <c r="W103" s="302">
        <f t="shared" si="12"/>
        <v>4.9257128386620587E-2</v>
      </c>
      <c r="X103" s="294">
        <f>IFERROR(_xlfn.XLOOKUP($A103,Input_Raw!$A:$A,Input_Raw!$AA:$AA),"")</f>
        <v>66352.100000000006</v>
      </c>
      <c r="Y103" s="294">
        <f>IFERROR(_xlfn.XLOOKUP($A103,Input_Raw!$A:$A,Input_Raw!$AS:$AS),"")</f>
        <v>66000</v>
      </c>
      <c r="Z103" s="294"/>
      <c r="AA103" s="294">
        <f>IFERROR(_xlfn.XLOOKUP($A103,Input_Raw!$A:$A,Input_Raw!$AT:$AT),"")</f>
        <v>64276.119402985074</v>
      </c>
      <c r="AB103" s="294">
        <f>IFERROR(_xlfn.XLOOKUP($A103,Input_Raw!$A:$A,Input_Raw!$AU:$AU),"")</f>
        <v>39.21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123538.5606974953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11.983333333333334</v>
      </c>
      <c r="G104" s="298">
        <f>IFERROR(_xlfn.XLOOKUP($A104,Input_Raw!$A:$A,Input_Raw!$R:$R),"")</f>
        <v>1.4450000000000001</v>
      </c>
      <c r="H104" s="298"/>
      <c r="I104" s="298">
        <f>IFERROR(_xlfn.XLOOKUP($A104,Input_Raw!$A:$A,Input_Raw!$Q:$Q),"")</f>
        <v>1.45</v>
      </c>
      <c r="J104" s="298"/>
      <c r="K104" s="298">
        <f>IFERROR(_xlfn.XLOOKUP($A104,Input_Raw!$A:$A,Input_Raw!S:S),"")</f>
        <v>25.149000000000001</v>
      </c>
      <c r="L104" s="298">
        <f>IFERROR(_xlfn.XLOOKUP($A104,Input_Raw!$A:$A,Input_Raw!T:T),"")</f>
        <v>26.08</v>
      </c>
      <c r="M104" s="298">
        <f>IFERROR(_xlfn.XLOOKUP($A104,Input_Raw!$A:$A,Input_Raw!W:W),"")</f>
        <v>2.99</v>
      </c>
      <c r="N104" s="298">
        <f>IFERROR(_xlfn.XLOOKUP($A104,Input_Raw!$A:$A,Input_Raw!X:X),"")</f>
        <v>5.35</v>
      </c>
      <c r="O104" s="299">
        <f>IFERROR(1-(SUMIF(Plant_BD!$B:$B,$A104,Plant_BD!$AL:$AL)/($AA104+SUMIF(Plant_BD!$B:$B,$A104,Plant_BD!$AL:$AL))),"")</f>
        <v>1</v>
      </c>
      <c r="P104" s="299"/>
      <c r="Q104" s="300"/>
      <c r="R104" s="299">
        <f>IFERROR(1-(SUMIF(Grid_BD!$B:$B,$A104,Grid_BD!$V:$V)/($AA104+SUMIF(Grid_BD!$B:$B,$A104,Grid_BD!$V:$V))),"")</f>
        <v>1</v>
      </c>
      <c r="S104" s="295"/>
      <c r="T104" s="300"/>
      <c r="U104" s="301">
        <f t="shared" si="11"/>
        <v>0.96082973293031515</v>
      </c>
      <c r="V104" s="301" t="str">
        <f>IFERROR(_xlfn.XLOOKUP($A104,Input_Raw!$A:$A,Input_Raw!$AX:$AX),"")</f>
        <v/>
      </c>
      <c r="W104" s="302">
        <f t="shared" si="12"/>
        <v>4.1863035803914914E-2</v>
      </c>
      <c r="X104" s="294">
        <f>IFERROR(_xlfn.XLOOKUP($A104,Input_Raw!$A:$A,Input_Raw!$AA:$AA),"")</f>
        <v>56192</v>
      </c>
      <c r="Y104" s="294">
        <f>IFERROR(_xlfn.XLOOKUP($A104,Input_Raw!$A:$A,Input_Raw!$AS:$AS),"")</f>
        <v>55000</v>
      </c>
      <c r="Z104" s="294"/>
      <c r="AA104" s="294">
        <f>IFERROR(_xlfn.XLOOKUP($A104,Input_Raw!$A:$A,Input_Raw!$AT:$AT),"")</f>
        <v>54627.494050886606</v>
      </c>
      <c r="AB104" s="294">
        <f>IFERROR(_xlfn.XLOOKUP($A104,Input_Raw!$A:$A,Input_Raw!$AU:$AU),"")</f>
        <v>39.21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123538.5606974953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10.599999999999998</v>
      </c>
      <c r="G105" s="298">
        <f>IFERROR(_xlfn.XLOOKUP($A105,Input_Raw!$A:$A,Input_Raw!$R:$R),"")</f>
        <v>1.67</v>
      </c>
      <c r="H105" s="298"/>
      <c r="I105" s="298">
        <f>IFERROR(_xlfn.XLOOKUP($A105,Input_Raw!$A:$A,Input_Raw!$Q:$Q),"")</f>
        <v>1.66</v>
      </c>
      <c r="J105" s="298"/>
      <c r="K105" s="298">
        <f>IFERROR(_xlfn.XLOOKUP($A105,Input_Raw!$A:$A,Input_Raw!S:S),"")</f>
        <v>25.05</v>
      </c>
      <c r="L105" s="298">
        <f>IFERROR(_xlfn.XLOOKUP($A105,Input_Raw!$A:$A,Input_Raw!T:T),"")</f>
        <v>26.89</v>
      </c>
      <c r="M105" s="298">
        <f>IFERROR(_xlfn.XLOOKUP($A105,Input_Raw!$A:$A,Input_Raw!W:W),"")</f>
        <v>2.62</v>
      </c>
      <c r="N105" s="298">
        <f>IFERROR(_xlfn.XLOOKUP($A105,Input_Raw!$A:$A,Input_Raw!X:X),"")</f>
        <v>6.32</v>
      </c>
      <c r="O105" s="299">
        <f>IFERROR(1-(SUMIF(Plant_BD!$B:$B,$A105,Plant_BD!$AL:$AL)/($AA105+SUMIF(Plant_BD!$B:$B,$A105,Plant_BD!$AL:$AL))),"")</f>
        <v>0.91158272608228708</v>
      </c>
      <c r="P105" s="299"/>
      <c r="Q105" s="300"/>
      <c r="R105" s="299">
        <f>IFERROR(1-(SUMIF(Grid_BD!$B:$B,$A105,Grid_BD!$V:$V)/($AA105+SUMIF(Grid_BD!$B:$B,$A105,Grid_BD!$V:$V))),"")</f>
        <v>1</v>
      </c>
      <c r="S105" s="295"/>
      <c r="T105" s="300"/>
      <c r="U105" s="301">
        <f t="shared" si="11"/>
        <v>0.87711386841601136</v>
      </c>
      <c r="V105" s="301" t="str">
        <f>IFERROR(_xlfn.XLOOKUP($A105,Input_Raw!$A:$A,Input_Raw!$AX:$AX),"")</f>
        <v/>
      </c>
      <c r="W105" s="302">
        <f t="shared" si="12"/>
        <v>4.3750230847937707E-2</v>
      </c>
      <c r="X105" s="294">
        <f>IFERROR(_xlfn.XLOOKUP($A105,Input_Raw!$A:$A,Input_Raw!$AA:$AA),"")</f>
        <v>58523.399999999994</v>
      </c>
      <c r="Y105" s="294">
        <f>IFERROR(_xlfn.XLOOKUP($A105,Input_Raw!$A:$A,Input_Raw!$AS:$AS),"")</f>
        <v>59000</v>
      </c>
      <c r="Z105" s="294"/>
      <c r="AA105" s="294">
        <f>IFERROR(_xlfn.XLOOKUP($A105,Input_Raw!$A:$A,Input_Raw!$AT:$AT),"")</f>
        <v>57090.113735782397</v>
      </c>
      <c r="AB105" s="294">
        <f>IFERROR(_xlfn.XLOOKUP($A105,Input_Raw!$A:$A,Input_Raw!$AU:$AU),"")</f>
        <v>39.21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123538.5606974953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12.65</v>
      </c>
      <c r="G106" s="298">
        <f>IFERROR(_xlfn.XLOOKUP($A106,Input_Raw!$A:$A,Input_Raw!$R:$R),"")</f>
        <v>5.8419999999999996</v>
      </c>
      <c r="H106" s="298"/>
      <c r="I106" s="298">
        <f>IFERROR(_xlfn.XLOOKUP($A106,Input_Raw!$A:$A,Input_Raw!$Q:$Q),"")</f>
        <v>5.5789999999999997</v>
      </c>
      <c r="J106" s="298"/>
      <c r="K106" s="298">
        <f>IFERROR(_xlfn.XLOOKUP($A106,Input_Raw!$A:$A,Input_Raw!S:S),"")</f>
        <v>29.898</v>
      </c>
      <c r="L106" s="298">
        <f>IFERROR(_xlfn.XLOOKUP($A106,Input_Raw!$A:$A,Input_Raw!T:T),"")</f>
        <v>37.64</v>
      </c>
      <c r="M106" s="298">
        <f>IFERROR(_xlfn.XLOOKUP($A106,Input_Raw!$A:$A,Input_Raw!W:W),"")</f>
        <v>3.77</v>
      </c>
      <c r="N106" s="298">
        <f>IFERROR(_xlfn.XLOOKUP($A106,Input_Raw!$A:$A,Input_Raw!X:X),"")</f>
        <v>7.67</v>
      </c>
      <c r="O106" s="299">
        <f>IFERROR(1-(SUMIF(Plant_BD!$B:$B,$A106,Plant_BD!$AL:$AL)/($AA106+SUMIF(Plant_BD!$B:$B,$A106,Plant_BD!$AL:$AL))),"")</f>
        <v>1</v>
      </c>
      <c r="P106" s="299"/>
      <c r="Q106" s="300"/>
      <c r="R106" s="299">
        <f>IFERROR(1-(SUMIF(Grid_BD!$B:$B,$A106,Grid_BD!$V:$V)/($AA106+SUMIF(Grid_BD!$B:$B,$A106,Grid_BD!$V:$V))),"")</f>
        <v>1</v>
      </c>
      <c r="S106" s="295"/>
      <c r="T106" s="300"/>
      <c r="U106" s="301">
        <f t="shared" si="11"/>
        <v>0.87047304618815213</v>
      </c>
      <c r="V106" s="301" t="str">
        <f>IFERROR(_xlfn.XLOOKUP($A106,Input_Raw!$A:$A,Input_Raw!$AX:$AX),"")</f>
        <v/>
      </c>
      <c r="W106" s="302">
        <f t="shared" si="12"/>
        <v>0.14592441883259988</v>
      </c>
      <c r="X106" s="294">
        <f>IFERROR(_xlfn.XLOOKUP($A106,Input_Raw!$A:$A,Input_Raw!$AA:$AA),"")</f>
        <v>193454.2</v>
      </c>
      <c r="Y106" s="294">
        <f>IFERROR(_xlfn.XLOOKUP($A106,Input_Raw!$A:$A,Input_Raw!$AS:$AS),"")</f>
        <v>191000</v>
      </c>
      <c r="Z106" s="294"/>
      <c r="AA106" s="294">
        <f>IFERROR(_xlfn.XLOOKUP($A106,Input_Raw!$A:$A,Input_Raw!$AT:$AT),"")</f>
        <v>190418.23337884792</v>
      </c>
      <c r="AB106" s="294">
        <f>IFERROR(_xlfn.XLOOKUP($A106,Input_Raw!$A:$A,Input_Raw!$AU:$AU),"")</f>
        <v>39.21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123538.5606974953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12.616666666666667</v>
      </c>
      <c r="G107" s="298">
        <f>IFERROR(_xlfn.XLOOKUP($A107,Input_Raw!$A:$A,Input_Raw!$R:$R),"")</f>
        <v>6.17</v>
      </c>
      <c r="H107" s="298"/>
      <c r="I107" s="298">
        <f>IFERROR(_xlfn.XLOOKUP($A107,Input_Raw!$A:$A,Input_Raw!$Q:$Q),"")</f>
        <v>5.93</v>
      </c>
      <c r="J107" s="298"/>
      <c r="K107" s="298">
        <f>IFERROR(_xlfn.XLOOKUP($A107,Input_Raw!$A:$A,Input_Raw!S:S),"")</f>
        <v>30.19</v>
      </c>
      <c r="L107" s="298">
        <f>IFERROR(_xlfn.XLOOKUP($A107,Input_Raw!$A:$A,Input_Raw!T:T),"")</f>
        <v>37.99</v>
      </c>
      <c r="M107" s="298">
        <f>IFERROR(_xlfn.XLOOKUP($A107,Input_Raw!$A:$A,Input_Raw!W:W),"")</f>
        <v>4.29</v>
      </c>
      <c r="N107" s="298">
        <f>IFERROR(_xlfn.XLOOKUP($A107,Input_Raw!$A:$A,Input_Raw!X:X),"")</f>
        <v>9.1199999999999992</v>
      </c>
      <c r="O107" s="299">
        <f>IFERROR(1-(SUMIF(Plant_BD!$B:$B,$A107,Plant_BD!$AL:$AL)/($AA107+SUMIF(Plant_BD!$B:$B,$A107,Plant_BD!$AL:$AL))),"")</f>
        <v>0.97751459033549803</v>
      </c>
      <c r="P107" s="299"/>
      <c r="Q107" s="300"/>
      <c r="R107" s="299">
        <f>IFERROR(1-(SUMIF(Grid_BD!$B:$B,$A107,Grid_BD!$V:$V)/($AA107+SUMIF(Grid_BD!$B:$B,$A107,Grid_BD!$V:$V))),"")</f>
        <v>1</v>
      </c>
      <c r="S107" s="295"/>
      <c r="T107" s="300"/>
      <c r="U107" s="301">
        <f t="shared" si="11"/>
        <v>0.80098076747757252</v>
      </c>
      <c r="V107" s="301" t="str">
        <f>IFERROR(_xlfn.XLOOKUP($A107,Input_Raw!$A:$A,Input_Raw!$AX:$AX),"")</f>
        <v/>
      </c>
      <c r="W107" s="302">
        <f t="shared" si="12"/>
        <v>0.14272270382193256</v>
      </c>
      <c r="X107" s="294">
        <f>IFERROR(_xlfn.XLOOKUP($A107,Input_Raw!$A:$A,Input_Raw!$AA:$AA),"")</f>
        <v>190586.40000000002</v>
      </c>
      <c r="Y107" s="294">
        <f>IFERROR(_xlfn.XLOOKUP($A107,Input_Raw!$A:$A,Input_Raw!$AS:$AS),"")</f>
        <v>189000</v>
      </c>
      <c r="Z107" s="294"/>
      <c r="AA107" s="294">
        <f>IFERROR(_xlfn.XLOOKUP($A107,Input_Raw!$A:$A,Input_Raw!$AT:$AT),"")</f>
        <v>186240.28344427803</v>
      </c>
      <c r="AB107" s="294">
        <f>IFERROR(_xlfn.XLOOKUP($A107,Input_Raw!$A:$A,Input_Raw!$AU:$AU),"")</f>
        <v>39.21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123538.5606974953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12.5</v>
      </c>
      <c r="G108" s="298">
        <f>IFERROR(_xlfn.XLOOKUP($A108,Input_Raw!$A:$A,Input_Raw!$R:$R),"")</f>
        <v>4.3949999999999996</v>
      </c>
      <c r="H108" s="298"/>
      <c r="I108" s="298">
        <f>IFERROR(_xlfn.XLOOKUP($A108,Input_Raw!$A:$A,Input_Raw!$Q:$Q),"")</f>
        <v>4.2805</v>
      </c>
      <c r="J108" s="298"/>
      <c r="K108" s="298">
        <f>IFERROR(_xlfn.XLOOKUP($A108,Input_Raw!$A:$A,Input_Raw!S:S),"")</f>
        <v>29.503</v>
      </c>
      <c r="L108" s="298">
        <f>IFERROR(_xlfn.XLOOKUP($A108,Input_Raw!$A:$A,Input_Raw!T:T),"")</f>
        <v>35.71</v>
      </c>
      <c r="M108" s="298">
        <f>IFERROR(_xlfn.XLOOKUP($A108,Input_Raw!$A:$A,Input_Raw!W:W),"")</f>
        <v>4.0599999999999996</v>
      </c>
      <c r="N108" s="298">
        <f>IFERROR(_xlfn.XLOOKUP($A108,Input_Raw!$A:$A,Input_Raw!X:X),"")</f>
        <v>10.17</v>
      </c>
      <c r="O108" s="299">
        <f>IFERROR(1-(SUMIF(Plant_BD!$B:$B,$A108,Plant_BD!$AL:$AL)/($AA108+SUMIF(Plant_BD!$B:$B,$A108,Plant_BD!$AL:$AL))),"")</f>
        <v>1</v>
      </c>
      <c r="P108" s="299"/>
      <c r="Q108" s="300"/>
      <c r="R108" s="299">
        <f>IFERROR(1-(SUMIF(Grid_BD!$B:$B,$A108,Grid_BD!$V:$V)/($AA108+SUMIF(Grid_BD!$B:$B,$A108,Grid_BD!$V:$V))),"")</f>
        <v>1</v>
      </c>
      <c r="S108" s="295"/>
      <c r="T108" s="300"/>
      <c r="U108" s="301">
        <f t="shared" si="11"/>
        <v>0.89234431649744395</v>
      </c>
      <c r="V108" s="301" t="str">
        <f>IFERROR(_xlfn.XLOOKUP($A108,Input_Raw!$A:$A,Input_Raw!$AX:$AX),"")</f>
        <v/>
      </c>
      <c r="W108" s="302">
        <f t="shared" si="12"/>
        <v>0.11477392831057021</v>
      </c>
      <c r="X108" s="294">
        <f>IFERROR(_xlfn.XLOOKUP($A108,Input_Raw!$A:$A,Input_Raw!$AA:$AA),"")</f>
        <v>151397.70000000001</v>
      </c>
      <c r="Y108" s="294">
        <f>IFERROR(_xlfn.XLOOKUP($A108,Input_Raw!$A:$A,Input_Raw!$AS:$AS),"")</f>
        <v>150000</v>
      </c>
      <c r="Z108" s="294"/>
      <c r="AA108" s="294">
        <f>IFERROR(_xlfn.XLOOKUP($A108,Input_Raw!$A:$A,Input_Raw!$AT:$AT),"")</f>
        <v>149769.64679174617</v>
      </c>
      <c r="AB108" s="294">
        <f>IFERROR(_xlfn.XLOOKUP($A108,Input_Raw!$A:$A,Input_Raw!$AU:$AU),"")</f>
        <v>39.21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123538.5606974953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12.666666666666668</v>
      </c>
      <c r="G109" s="298">
        <f>IFERROR(_xlfn.XLOOKUP($A109,Input_Raw!$A:$A,Input_Raw!$R:$R),"")</f>
        <v>5.6662999999999997</v>
      </c>
      <c r="H109" s="298"/>
      <c r="I109" s="298">
        <f>IFERROR(_xlfn.XLOOKUP($A109,Input_Raw!$A:$A,Input_Raw!$Q:$Q),"")</f>
        <v>5.4051</v>
      </c>
      <c r="J109" s="298"/>
      <c r="K109" s="298">
        <f>IFERROR(_xlfn.XLOOKUP($A109,Input_Raw!$A:$A,Input_Raw!S:S),"")</f>
        <v>30.363099999999999</v>
      </c>
      <c r="L109" s="298">
        <f>IFERROR(_xlfn.XLOOKUP($A109,Input_Raw!$A:$A,Input_Raw!T:T),"")</f>
        <v>39.270499999999998</v>
      </c>
      <c r="M109" s="298">
        <f>IFERROR(_xlfn.XLOOKUP($A109,Input_Raw!$A:$A,Input_Raw!W:W),"")</f>
        <v>3.7974999999999999</v>
      </c>
      <c r="N109" s="298">
        <f>IFERROR(_xlfn.XLOOKUP($A109,Input_Raw!$A:$A,Input_Raw!X:X),"")</f>
        <v>8.27</v>
      </c>
      <c r="O109" s="299">
        <f>IFERROR(1-(SUMIF(Plant_BD!$B:$B,$A109,Plant_BD!$AL:$AL)/($AA109+SUMIF(Plant_BD!$B:$B,$A109,Plant_BD!$AL:$AL))),"")</f>
        <v>0.95200643547658881</v>
      </c>
      <c r="P109" s="299"/>
      <c r="Q109" s="300"/>
      <c r="R109" s="299">
        <f>IFERROR(1-(SUMIF(Grid_BD!$B:$B,$A109,Grid_BD!$V:$V)/($AA109+SUMIF(Grid_BD!$B:$B,$A109,Grid_BD!$V:$V))),"")</f>
        <v>1</v>
      </c>
      <c r="S109" s="295"/>
      <c r="T109" s="300"/>
      <c r="U109" s="301">
        <f t="shared" si="11"/>
        <v>0.79430075556184621</v>
      </c>
      <c r="V109" s="301" t="str">
        <f>IFERROR(_xlfn.XLOOKUP($A109,Input_Raw!$A:$A,Input_Raw!$AX:$AX),"")</f>
        <v/>
      </c>
      <c r="W109" s="302">
        <f t="shared" si="12"/>
        <v>0.12900453923605643</v>
      </c>
      <c r="X109" s="294">
        <f>IFERROR(_xlfn.XLOOKUP($A109,Input_Raw!$A:$A,Input_Raw!$AA:$AA),"")</f>
        <v>171254.60000000003</v>
      </c>
      <c r="Y109" s="294">
        <f>IFERROR(_xlfn.XLOOKUP($A109,Input_Raw!$A:$A,Input_Raw!$AS:$AS),"")</f>
        <v>168000</v>
      </c>
      <c r="Z109" s="294"/>
      <c r="AA109" s="294">
        <f>IFERROR(_xlfn.XLOOKUP($A109,Input_Raw!$A:$A,Input_Raw!$AT:$AT),"")</f>
        <v>168339.31329452241</v>
      </c>
      <c r="AB109" s="294">
        <f>IFERROR(_xlfn.XLOOKUP($A109,Input_Raw!$A:$A,Input_Raw!$AU:$AU),"")</f>
        <v>39.21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123538.5606974953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12.733333333333334</v>
      </c>
      <c r="G110" s="298">
        <f>IFERROR(_xlfn.XLOOKUP($A110,Input_Raw!$A:$A,Input_Raw!$R:$R),"")</f>
        <v>4.6680000000000001</v>
      </c>
      <c r="H110" s="298"/>
      <c r="I110" s="298">
        <f>IFERROR(_xlfn.XLOOKUP($A110,Input_Raw!$A:$A,Input_Raw!$Q:$Q),"")</f>
        <v>4.4325999999999999</v>
      </c>
      <c r="J110" s="298"/>
      <c r="K110" s="298">
        <f>IFERROR(_xlfn.XLOOKUP($A110,Input_Raw!$A:$A,Input_Raw!S:S),"")</f>
        <v>29.57</v>
      </c>
      <c r="L110" s="298">
        <f>IFERROR(_xlfn.XLOOKUP($A110,Input_Raw!$A:$A,Input_Raw!T:T),"")</f>
        <v>37.479999999999997</v>
      </c>
      <c r="M110" s="298">
        <f>IFERROR(_xlfn.XLOOKUP($A110,Input_Raw!$A:$A,Input_Raw!W:W),"")</f>
        <v>2.7519999999999998</v>
      </c>
      <c r="N110" s="298">
        <f>IFERROR(_xlfn.XLOOKUP($A110,Input_Raw!$A:$A,Input_Raw!X:X),"")</f>
        <v>8</v>
      </c>
      <c r="O110" s="299">
        <f>IFERROR(1-(SUMIF(Plant_BD!$B:$B,$A110,Plant_BD!$AL:$AL)/($AA110+SUMIF(Plant_BD!$B:$B,$A110,Plant_BD!$AL:$AL))),"")</f>
        <v>1</v>
      </c>
      <c r="P110" s="299"/>
      <c r="Q110" s="300"/>
      <c r="R110" s="299">
        <f>IFERROR(1-(SUMIF(Grid_BD!$B:$B,$A110,Grid_BD!$V:$V)/($AA110+SUMIF(Grid_BD!$B:$B,$A110,Grid_BD!$V:$V))),"")</f>
        <v>1</v>
      </c>
      <c r="S110" s="295"/>
      <c r="T110" s="300"/>
      <c r="U110" s="301">
        <f t="shared" si="11"/>
        <v>0.81551443995030581</v>
      </c>
      <c r="V110" s="301" t="str">
        <f>IFERROR(_xlfn.XLOOKUP($A110,Input_Raw!$A:$A,Input_Raw!$AX:$AX),"")</f>
        <v/>
      </c>
      <c r="W110" s="302">
        <f t="shared" si="12"/>
        <v>0.10861917014107891</v>
      </c>
      <c r="X110" s="294">
        <f>IFERROR(_xlfn.XLOOKUP($A110,Input_Raw!$A:$A,Input_Raw!$AA:$AA),"")</f>
        <v>144369.60000000001</v>
      </c>
      <c r="Y110" s="294">
        <f>IFERROR(_xlfn.XLOOKUP($A110,Input_Raw!$A:$A,Input_Raw!$AS:$AS),"")</f>
        <v>145000</v>
      </c>
      <c r="Z110" s="294"/>
      <c r="AA110" s="294">
        <f>IFERROR(_xlfn.XLOOKUP($A110,Input_Raw!$A:$A,Input_Raw!$AT:$AT),"")</f>
        <v>141738.24130879529</v>
      </c>
      <c r="AB110" s="294">
        <f>IFERROR(_xlfn.XLOOKUP($A110,Input_Raw!$A:$A,Input_Raw!$AU:$AU),"")</f>
        <v>39.21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123538.5606974953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0</v>
      </c>
      <c r="G111" s="298">
        <f>IFERROR(_xlfn.XLOOKUP($A111,Input_Raw!$A:$A,Input_Raw!$R:$R),"")</f>
        <v>0</v>
      </c>
      <c r="H111" s="298"/>
      <c r="I111" s="298">
        <f>IFERROR(_xlfn.XLOOKUP($A111,Input_Raw!$A:$A,Input_Raw!$Q:$Q),"")</f>
        <v>0</v>
      </c>
      <c r="J111" s="298"/>
      <c r="K111" s="298">
        <f>IFERROR(_xlfn.XLOOKUP($A111,Input_Raw!$A:$A,Input_Raw!S:S),"")</f>
        <v>0</v>
      </c>
      <c r="L111" s="298">
        <f>IFERROR(_xlfn.XLOOKUP($A111,Input_Raw!$A:$A,Input_Raw!T:T),"")</f>
        <v>0</v>
      </c>
      <c r="M111" s="298">
        <f>IFERROR(_xlfn.XLOOKUP($A111,Input_Raw!$A:$A,Input_Raw!W:W),"")</f>
        <v>0</v>
      </c>
      <c r="N111" s="298">
        <f>IFERROR(_xlfn.XLOOKUP($A111,Input_Raw!$A:$A,Input_Raw!X:X),"")</f>
        <v>0</v>
      </c>
      <c r="O111" s="299" t="str">
        <f>IFERROR(1-(SUMIF(Plant_BD!$B:$B,$A111,Plant_BD!$AL:$AL)/($AA111+SUMIF(Plant_BD!$B:$B,$A111,Plant_BD!$AL:$AL))),"")</f>
        <v/>
      </c>
      <c r="P111" s="299"/>
      <c r="Q111" s="300"/>
      <c r="R111" s="299" t="str">
        <f>IFERROR(1-(SUMIF(Grid_BD!$B:$B,$A111,Grid_BD!$V:$V)/($AA111+SUMIF(Grid_BD!$B:$B,$A111,Grid_BD!$V:$V))),"")</f>
        <v/>
      </c>
      <c r="S111" s="295"/>
      <c r="T111" s="300"/>
      <c r="U111" s="301" t="str">
        <f t="shared" si="11"/>
        <v/>
      </c>
      <c r="V111" s="301" t="str">
        <f>IFERROR(_xlfn.XLOOKUP($A111,Input_Raw!$A:$A,Input_Raw!$AX:$AX),"")</f>
        <v/>
      </c>
      <c r="W111" s="302">
        <f t="shared" si="12"/>
        <v>0</v>
      </c>
      <c r="X111" s="294">
        <f>IFERROR(_xlfn.XLOOKUP($A111,Input_Raw!$A:$A,Input_Raw!$AA:$AA),"")</f>
        <v>0</v>
      </c>
      <c r="Y111" s="294">
        <f>IFERROR(_xlfn.XLOOKUP($A111,Input_Raw!$A:$A,Input_Raw!$AS:$AS),"")</f>
        <v>0</v>
      </c>
      <c r="Z111" s="294"/>
      <c r="AA111" s="294">
        <f>IFERROR(_xlfn.XLOOKUP($A111,Input_Raw!$A:$A,Input_Raw!$AT:$AT),"")</f>
        <v>0</v>
      </c>
      <c r="AB111" s="294">
        <f>IFERROR(_xlfn.XLOOKUP($A111,Input_Raw!$A:$A,Input_Raw!$AU:$AU),"")</f>
        <v>39.21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123538.5606974953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0</v>
      </c>
      <c r="G112" s="298">
        <f>IFERROR(_xlfn.XLOOKUP($A112,Input_Raw!$A:$A,Input_Raw!$R:$R),"")</f>
        <v>0</v>
      </c>
      <c r="H112" s="298"/>
      <c r="I112" s="298">
        <f>IFERROR(_xlfn.XLOOKUP($A112,Input_Raw!$A:$A,Input_Raw!$Q:$Q),"")</f>
        <v>0</v>
      </c>
      <c r="J112" s="298"/>
      <c r="K112" s="298">
        <f>IFERROR(_xlfn.XLOOKUP($A112,Input_Raw!$A:$A,Input_Raw!S:S),"")</f>
        <v>0</v>
      </c>
      <c r="L112" s="298">
        <f>IFERROR(_xlfn.XLOOKUP($A112,Input_Raw!$A:$A,Input_Raw!T:T),"")</f>
        <v>0</v>
      </c>
      <c r="M112" s="298">
        <f>IFERROR(_xlfn.XLOOKUP($A112,Input_Raw!$A:$A,Input_Raw!W:W),"")</f>
        <v>0</v>
      </c>
      <c r="N112" s="298">
        <f>IFERROR(_xlfn.XLOOKUP($A112,Input_Raw!$A:$A,Input_Raw!X:X),"")</f>
        <v>0</v>
      </c>
      <c r="O112" s="299" t="str">
        <f>IFERROR(1-(SUMIF(Plant_BD!$B:$B,$A112,Plant_BD!$AL:$AL)/($AA112+SUMIF(Plant_BD!$B:$B,$A112,Plant_BD!$AL:$AL))),"")</f>
        <v/>
      </c>
      <c r="P112" s="299"/>
      <c r="Q112" s="300"/>
      <c r="R112" s="299" t="str">
        <f>IFERROR(1-(SUMIF(Grid_BD!$B:$B,$A112,Grid_BD!$V:$V)/($AA112+SUMIF(Grid_BD!$B:$B,$A112,Grid_BD!$V:$V))),"")</f>
        <v/>
      </c>
      <c r="S112" s="295"/>
      <c r="T112" s="300"/>
      <c r="U112" s="301" t="str">
        <f t="shared" si="11"/>
        <v/>
      </c>
      <c r="V112" s="301" t="str">
        <f>IFERROR(_xlfn.XLOOKUP($A112,Input_Raw!$A:$A,Input_Raw!$AX:$AX),"")</f>
        <v/>
      </c>
      <c r="W112" s="302">
        <f t="shared" si="12"/>
        <v>0</v>
      </c>
      <c r="X112" s="294">
        <f>IFERROR(_xlfn.XLOOKUP($A112,Input_Raw!$A:$A,Input_Raw!$AA:$AA),"")</f>
        <v>0</v>
      </c>
      <c r="Y112" s="294">
        <f>IFERROR(_xlfn.XLOOKUP($A112,Input_Raw!$A:$A,Input_Raw!$AS:$AS),"")</f>
        <v>0</v>
      </c>
      <c r="Z112" s="294"/>
      <c r="AA112" s="294">
        <f>IFERROR(_xlfn.XLOOKUP($A112,Input_Raw!$A:$A,Input_Raw!$AT:$AT),"")</f>
        <v>0</v>
      </c>
      <c r="AB112" s="294">
        <f>IFERROR(_xlfn.XLOOKUP($A112,Input_Raw!$A:$A,Input_Raw!$AU:$AU),"")</f>
        <v>39.21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123538.5606974953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39.21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123538.5606974953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39.21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123538.5606974953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39.21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123538.5606974953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39.21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123538.5606974953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39.21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123538.5606974953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39.21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123538.5606974953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39.21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123538.5606974953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39.21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123538.5606974953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39.21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123538.5606974953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39.21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123538.5606974953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39.21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123538.5606974953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39.21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123538.5606974953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39.21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123538.5606974953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39.21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123538.5606974953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oBOAWOaO4lUVzkLK9PzzSqMg8jcFkOCdq/oWv+0zhHmI/Eux7qAFBa02p4v2lkzUL/2YIanRBUTtN6ZiCy/RXQ==" saltValue="9xg5hRvmE5Yl/EoyuyCj5g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1" ySplit="2" topLeftCell="X100" activePane="bottomRight" state="frozen"/>
      <selection pane="topRight" activeCell="B3" sqref="B3"/>
      <selection pane="bottomLeft" activeCell="A5" sqref="A5"/>
      <selection pane="bottomRight" activeCell="AA113" sqref="AA113"/>
    </sheetView>
  </sheetViews>
  <sheetFormatPr defaultColWidth="8.81640625" defaultRowHeight="14.5"/>
  <cols>
    <col min="1" max="1" width="11.453125" style="193" customWidth="1"/>
    <col min="2" max="2" width="11.1796875" style="194" customWidth="1"/>
    <col min="3" max="3" width="12.453125" style="194" customWidth="1"/>
    <col min="4" max="4" width="15.453125" style="194" customWidth="1"/>
    <col min="5" max="5" width="8.81640625" style="194"/>
    <col min="6" max="6" width="13.453125" style="194" bestFit="1" customWidth="1"/>
    <col min="7" max="7" width="11.453125" style="193" customWidth="1"/>
    <col min="8" max="8" width="9.453125" style="194" customWidth="1"/>
    <col min="9" max="9" width="10.1796875" style="194" customWidth="1"/>
    <col min="10" max="13" width="9.453125" style="194" customWidth="1"/>
    <col min="14" max="14" width="10.1796875" style="194" customWidth="1"/>
    <col min="15" max="16" width="10.1796875" style="194" hidden="1" customWidth="1"/>
    <col min="17" max="17" width="10.1796875" style="194" customWidth="1"/>
    <col min="18" max="22" width="8.81640625" style="194" customWidth="1"/>
    <col min="23" max="26" width="11.453125" style="194" customWidth="1"/>
    <col min="27" max="28" width="12.1796875" style="193" customWidth="1"/>
    <col min="29" max="29" width="12" style="193" customWidth="1"/>
    <col min="30" max="30" width="10" style="193" customWidth="1"/>
    <col min="31" max="31" width="11.1796875" style="193" bestFit="1" customWidth="1"/>
    <col min="32" max="32" width="12.453125" style="193" customWidth="1"/>
    <col min="33" max="33" width="9.453125" style="193" customWidth="1"/>
    <col min="34" max="34" width="10.1796875" style="194" customWidth="1"/>
    <col min="35" max="35" width="11.453125" style="194" bestFit="1" customWidth="1"/>
    <col min="36" max="36" width="9.453125" style="194" bestFit="1" customWidth="1"/>
    <col min="37" max="37" width="12.453125" style="194" bestFit="1" customWidth="1"/>
    <col min="38" max="38" width="13.453125" style="194" bestFit="1" customWidth="1"/>
    <col min="39" max="39" width="13.453125" style="194" customWidth="1"/>
    <col min="40" max="40" width="11" style="194" customWidth="1"/>
    <col min="41" max="42" width="14" style="194" bestFit="1" customWidth="1"/>
    <col min="43" max="43" width="11.453125" style="193" customWidth="1"/>
    <col min="44" max="44" width="14.81640625" style="194" bestFit="1" customWidth="1"/>
    <col min="45" max="45" width="17.1796875" style="194" bestFit="1" customWidth="1"/>
    <col min="46" max="46" width="17.1796875" style="193" bestFit="1" customWidth="1"/>
    <col min="47" max="47" width="11.453125" style="193" customWidth="1"/>
    <col min="48" max="16384" width="8.8164062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93" t="s">
        <v>155</v>
      </c>
      <c r="AG3" s="393"/>
      <c r="AH3" s="393"/>
      <c r="AI3" s="393"/>
      <c r="AJ3" s="393"/>
      <c r="AK3" s="393"/>
      <c r="AL3" s="393"/>
      <c r="AM3" s="393"/>
      <c r="AN3" s="393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160</v>
      </c>
      <c r="I4" s="198" t="s">
        <v>161</v>
      </c>
      <c r="J4" s="198" t="s">
        <v>162</v>
      </c>
      <c r="K4" s="198" t="s">
        <v>163</v>
      </c>
      <c r="L4" s="198" t="s">
        <v>164</v>
      </c>
      <c r="M4" s="198" t="s">
        <v>165</v>
      </c>
      <c r="N4" s="198" t="s">
        <v>166</v>
      </c>
      <c r="O4" s="57" t="s">
        <v>167</v>
      </c>
      <c r="P4" s="57" t="s">
        <v>168</v>
      </c>
      <c r="Q4" s="57" t="s">
        <v>169</v>
      </c>
      <c r="R4" s="57" t="s">
        <v>170</v>
      </c>
      <c r="S4" s="57" t="s">
        <v>171</v>
      </c>
      <c r="T4" s="57" t="s">
        <v>172</v>
      </c>
      <c r="U4" s="57" t="s">
        <v>173</v>
      </c>
      <c r="V4" s="57" t="s">
        <v>174</v>
      </c>
      <c r="W4" s="57" t="s">
        <v>175</v>
      </c>
      <c r="X4" s="57" t="s">
        <v>176</v>
      </c>
      <c r="Y4" s="57" t="s">
        <v>35</v>
      </c>
      <c r="Z4" s="57" t="s">
        <v>36</v>
      </c>
      <c r="AA4" s="57" t="s">
        <v>177</v>
      </c>
      <c r="AB4" s="56" t="s">
        <v>178</v>
      </c>
      <c r="AC4" s="56" t="s">
        <v>179</v>
      </c>
      <c r="AD4" s="56" t="s">
        <v>180</v>
      </c>
      <c r="AE4" s="56" t="s">
        <v>181</v>
      </c>
      <c r="AF4" s="56" t="s">
        <v>182</v>
      </c>
      <c r="AG4" s="56" t="s">
        <v>183</v>
      </c>
      <c r="AH4" s="56" t="s">
        <v>184</v>
      </c>
      <c r="AI4" s="56" t="s">
        <v>185</v>
      </c>
      <c r="AJ4" s="56" t="s">
        <v>186</v>
      </c>
      <c r="AK4" s="56" t="s">
        <v>187</v>
      </c>
      <c r="AL4" s="56" t="s">
        <v>188</v>
      </c>
      <c r="AM4" s="56" t="s">
        <v>189</v>
      </c>
      <c r="AN4" s="56" t="s">
        <v>190</v>
      </c>
      <c r="AO4" s="56" t="s">
        <v>191</v>
      </c>
      <c r="AP4" s="56" t="s">
        <v>192</v>
      </c>
      <c r="AQ4" s="56" t="s">
        <v>193</v>
      </c>
      <c r="AR4" s="62" t="s">
        <v>114</v>
      </c>
      <c r="AS4" s="62" t="s">
        <v>194</v>
      </c>
      <c r="AT4" s="62" t="s">
        <v>195</v>
      </c>
      <c r="AU4" s="29" t="s">
        <v>196</v>
      </c>
      <c r="AV4" s="29" t="s">
        <v>197</v>
      </c>
      <c r="AW4" s="29" t="s">
        <v>198</v>
      </c>
      <c r="AX4" s="62" t="s">
        <v>199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43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>
        <v>0.25416666666666665</v>
      </c>
      <c r="G81" s="122">
        <v>0.76736111111111116</v>
      </c>
      <c r="H81" s="138">
        <v>19028</v>
      </c>
      <c r="I81" s="138">
        <v>18954</v>
      </c>
      <c r="J81" s="138">
        <v>26707.4</v>
      </c>
      <c r="K81" s="138">
        <v>26933.9</v>
      </c>
      <c r="L81" s="138">
        <v>27189.7</v>
      </c>
      <c r="M81" s="138">
        <v>20850.2</v>
      </c>
      <c r="N81" s="138">
        <v>21106.799999999999</v>
      </c>
      <c r="O81" s="167"/>
      <c r="P81" s="167"/>
      <c r="Q81" s="58">
        <v>4.83</v>
      </c>
      <c r="R81" s="58">
        <v>5.05</v>
      </c>
      <c r="S81" s="58">
        <v>32.369999999999997</v>
      </c>
      <c r="T81" s="58">
        <v>41.61</v>
      </c>
      <c r="U81" s="58">
        <v>62.81</v>
      </c>
      <c r="V81" s="58">
        <v>0</v>
      </c>
      <c r="W81" s="58">
        <v>1.86</v>
      </c>
      <c r="X81" s="58">
        <v>3.14</v>
      </c>
      <c r="Y81" s="60">
        <f>SUM(RD[[#This Row],[IS1Inv1]:[IS3Inv1]])</f>
        <v>118813</v>
      </c>
      <c r="Z81" s="60">
        <f>SUM(RD[[#This Row],[IS4Inv1]:[IS4Inv2]])</f>
        <v>41957</v>
      </c>
      <c r="AA81" s="60">
        <f>SUM(RD[[#This Row],[O2RE7]:[O2RE27]])</f>
        <v>160770</v>
      </c>
      <c r="AB81" s="153"/>
      <c r="AC81" s="153">
        <v>18186</v>
      </c>
      <c r="AD81" s="153"/>
      <c r="AE81" s="153">
        <v>11758.4</v>
      </c>
      <c r="AF81" s="153">
        <v>17862.624</v>
      </c>
      <c r="AG81" s="153">
        <v>0.04</v>
      </c>
      <c r="AH81" s="153">
        <v>4.08</v>
      </c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159000</v>
      </c>
      <c r="AK81" s="154">
        <f>IF((RD[[#This Row],[220kV_TL_TVM_Ex]]-AE80)*1600&lt;=0,0,(RD[[#This Row],[220kV_TL_TVM_Ex]]-AE80)*1600)</f>
        <v>157919.99999999825</v>
      </c>
      <c r="AL81" s="154">
        <f>IF((RD[[#This Row],[220kV_C&amp;R_PQM_Ex]]-AF80)*1000&lt;=0,"",(RD[[#This Row],[220kV_C&amp;R_PQM_Ex]]-AF80)*1000)</f>
        <v>158066.9999999991</v>
      </c>
      <c r="AM81" s="154">
        <f>IF((RD[[#This Row],[33kV_Aux1_Im]]-AH80)*1000&lt;0,"",(RD[[#This Row],[33kV_Aux1_Im]]-AH80)*1000)</f>
        <v>209.99999999999997</v>
      </c>
      <c r="AN81" s="154">
        <f>IF((RD[[#This Row],[33kV_Aux1_Im]]-AH80)*1000&lt;0,"",(RD[[#This Row],[33kV_Aux1_Im]]-AH80)*1000)</f>
        <v>209.99999999999997</v>
      </c>
      <c r="AO81" s="61">
        <f>RD[[#This Row],[33kV_OG1_Energy (KWh)]]</f>
        <v>159000</v>
      </c>
      <c r="AP81" s="61">
        <f>IFERROR(RD[[#This Row],[220kV_TL_TVM Energy (KWh)]]-RD[[#This Row],[220kV_C&amp;R_PQM_Imp (KWh)2]],"")</f>
        <v>157709.99999999825</v>
      </c>
      <c r="AQ81" s="63">
        <f>IFERROR(RD[[#This Row],[33 kV Total Export (KWH)]]/RD[[#This Row],[220 KV Net Export (KWh)]]-1,"")</f>
        <v>8.1795700970246354E-3</v>
      </c>
      <c r="AR81" s="64">
        <f>IFERROR((RD[[#This Row],[Sunset Time (POA&lt;20 W/m2)]]-RD[[#This Row],[Sunrise Time (POA&gt;20 W/m2)]])*24,0)</f>
        <v>12.316666666666668</v>
      </c>
      <c r="AS81" s="65">
        <f>RD[[#This Row],[33kV_OG1_Energy (KWh)]]</f>
        <v>159000</v>
      </c>
      <c r="AT81" s="65">
        <f>IFERROR(RD[[#This Row],[ Export (33 kV)]]*(1-RD[[#This Row],[33 kV Line Loss (%)]]),RD[[#This Row],[ Export (33 kV)]])</f>
        <v>157699.44835457308</v>
      </c>
      <c r="AU81" s="277">
        <v>39.21</v>
      </c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>
        <v>0.24722222222222223</v>
      </c>
      <c r="G82" s="122">
        <v>0.76736111111111116</v>
      </c>
      <c r="H82" s="138">
        <v>23598.799999999999</v>
      </c>
      <c r="I82" s="138">
        <v>23323.8</v>
      </c>
      <c r="J82" s="138">
        <v>32170</v>
      </c>
      <c r="K82" s="138">
        <v>32231</v>
      </c>
      <c r="L82" s="138">
        <v>32053.599999999999</v>
      </c>
      <c r="M82" s="138">
        <v>26365.1</v>
      </c>
      <c r="N82" s="138">
        <v>25956.3</v>
      </c>
      <c r="O82" s="167"/>
      <c r="P82" s="167"/>
      <c r="Q82" s="58">
        <v>6</v>
      </c>
      <c r="R82" s="58">
        <v>6.42</v>
      </c>
      <c r="S82" s="58">
        <v>34.28</v>
      </c>
      <c r="T82" s="58">
        <v>45.49</v>
      </c>
      <c r="U82" s="58">
        <v>56.84</v>
      </c>
      <c r="V82" s="58">
        <v>0</v>
      </c>
      <c r="W82" s="58">
        <v>2.42</v>
      </c>
      <c r="X82" s="58">
        <v>7.64</v>
      </c>
      <c r="Y82" s="60">
        <f>SUM(RD[[#This Row],[IS1Inv1]:[IS3Inv1]])</f>
        <v>143377.20000000001</v>
      </c>
      <c r="Z82" s="60">
        <f>SUM(RD[[#This Row],[IS4Inv1]:[IS4Inv2]])</f>
        <v>52321.399999999994</v>
      </c>
      <c r="AA82" s="60">
        <f>SUM(RD[[#This Row],[O2RE7]:[O2RE27]])</f>
        <v>195698.6</v>
      </c>
      <c r="AB82" s="153"/>
      <c r="AC82" s="153">
        <v>18380</v>
      </c>
      <c r="AD82" s="153"/>
      <c r="AE82" s="153">
        <v>11879</v>
      </c>
      <c r="AF82" s="153">
        <v>18054.798999999999</v>
      </c>
      <c r="AG82" s="153">
        <v>0.04</v>
      </c>
      <c r="AH82" s="153">
        <v>4.32</v>
      </c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194000</v>
      </c>
      <c r="AK82" s="154">
        <f>IF((RD[[#This Row],[220kV_TL_TVM_Ex]]-AE81)*1600&lt;=0,0,(RD[[#This Row],[220kV_TL_TVM_Ex]]-AE81)*1600)</f>
        <v>192960.00000000058</v>
      </c>
      <c r="AL82" s="154">
        <f>IF((RD[[#This Row],[220kV_C&amp;R_PQM_Ex]]-AF81)*1000&lt;=0,"",(RD[[#This Row],[220kV_C&amp;R_PQM_Ex]]-AF81)*1000)</f>
        <v>192174.99999999927</v>
      </c>
      <c r="AM82" s="154">
        <f>IF((RD[[#This Row],[33kV_Aux1_Im]]-AH81)*1000&lt;0,"",(RD[[#This Row],[33kV_Aux1_Im]]-AH81)*1000)</f>
        <v>240.00000000000023</v>
      </c>
      <c r="AN82" s="154">
        <f>IF((RD[[#This Row],[33kV_Aux1_Im]]-AH81)*1000&lt;0,"",(RD[[#This Row],[33kV_Aux1_Im]]-AH81)*1000)</f>
        <v>240.00000000000023</v>
      </c>
      <c r="AO82" s="61">
        <f>RD[[#This Row],[33kV_OG1_Energy (KWh)]]</f>
        <v>194000</v>
      </c>
      <c r="AP82" s="61">
        <f>IFERROR(RD[[#This Row],[220kV_TL_TVM Energy (KWh)]]-RD[[#This Row],[220kV_C&amp;R_PQM_Imp (KWh)2]],"")</f>
        <v>192720.00000000058</v>
      </c>
      <c r="AQ82" s="63">
        <f>IFERROR(RD[[#This Row],[33 kV Total Export (KWH)]]/RD[[#This Row],[220 KV Net Export (KWh)]]-1,"")</f>
        <v>6.6417600664145926E-3</v>
      </c>
      <c r="AR82" s="64">
        <f>IFERROR((RD[[#This Row],[Sunset Time (POA&lt;20 W/m2)]]-RD[[#This Row],[Sunrise Time (POA&gt;20 W/m2)]])*24,0)</f>
        <v>12.483333333333334</v>
      </c>
      <c r="AS82" s="65">
        <f>RD[[#This Row],[33kV_OG1_Energy (KWh)]]</f>
        <v>194000</v>
      </c>
      <c r="AT82" s="65">
        <f>IFERROR(RD[[#This Row],[ Export (33 kV)]]*(1-RD[[#This Row],[33 kV Line Loss (%)]]),RD[[#This Row],[ Export (33 kV)]])</f>
        <v>192711.49854711557</v>
      </c>
      <c r="AU82" s="277">
        <v>39.21</v>
      </c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>
        <v>0.25138888888888888</v>
      </c>
      <c r="G83" s="122">
        <v>0.77569444444444446</v>
      </c>
      <c r="H83" s="138">
        <v>19229.7</v>
      </c>
      <c r="I83" s="138">
        <v>19593.7</v>
      </c>
      <c r="J83" s="138">
        <v>26631.200000000001</v>
      </c>
      <c r="K83" s="138">
        <v>27268.9</v>
      </c>
      <c r="L83" s="138">
        <v>28666.9</v>
      </c>
      <c r="M83" s="138">
        <v>22497.4</v>
      </c>
      <c r="N83" s="138">
        <v>22430.6</v>
      </c>
      <c r="O83" s="167"/>
      <c r="P83" s="167"/>
      <c r="Q83" s="58">
        <v>5.21</v>
      </c>
      <c r="R83" s="58">
        <v>5.38</v>
      </c>
      <c r="S83" s="58">
        <v>32.479999999999997</v>
      </c>
      <c r="T83" s="58">
        <v>41.41</v>
      </c>
      <c r="U83" s="58">
        <v>60.31</v>
      </c>
      <c r="V83" s="58">
        <v>0</v>
      </c>
      <c r="W83" s="58">
        <v>3.51</v>
      </c>
      <c r="X83" s="58">
        <v>7.84</v>
      </c>
      <c r="Y83" s="60">
        <f>SUM(RD[[#This Row],[IS1Inv1]:[IS3Inv1]])</f>
        <v>121390.39999999999</v>
      </c>
      <c r="Z83" s="60">
        <f>SUM(RD[[#This Row],[IS4Inv1]:[IS4Inv2]])</f>
        <v>44928</v>
      </c>
      <c r="AA83" s="60">
        <f>SUM(RD[[#This Row],[O2RE7]:[O2RE27]])</f>
        <v>166318.39999999999</v>
      </c>
      <c r="AB83" s="153"/>
      <c r="AC83" s="153">
        <v>18544</v>
      </c>
      <c r="AD83" s="153"/>
      <c r="AE83" s="153">
        <v>11981.2</v>
      </c>
      <c r="AF83" s="153">
        <v>18218.125</v>
      </c>
      <c r="AG83" s="153">
        <v>0.04</v>
      </c>
      <c r="AH83" s="153">
        <v>4.5</v>
      </c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164000</v>
      </c>
      <c r="AK83" s="154">
        <f>IF((RD[[#This Row],[220kV_TL_TVM_Ex]]-AE82)*1600&lt;=0,0,(RD[[#This Row],[220kV_TL_TVM_Ex]]-AE82)*1600)</f>
        <v>163520.00000000116</v>
      </c>
      <c r="AL83" s="154">
        <f>IF((RD[[#This Row],[220kV_C&amp;R_PQM_Ex]]-AF82)*1000&lt;=0,"",(RD[[#This Row],[220kV_C&amp;R_PQM_Ex]]-AF82)*1000)</f>
        <v>163326.00000000093</v>
      </c>
      <c r="AM83" s="154">
        <f>IF((RD[[#This Row],[33kV_Aux1_Im]]-AH82)*1000&lt;0,"",(RD[[#This Row],[33kV_Aux1_Im]]-AH82)*1000)</f>
        <v>179.99999999999972</v>
      </c>
      <c r="AN83" s="154">
        <f>IF((RD[[#This Row],[33kV_Aux1_Im]]-AH82)*1000&lt;0,"",(RD[[#This Row],[33kV_Aux1_Im]]-AH82)*1000)</f>
        <v>179.99999999999972</v>
      </c>
      <c r="AO83" s="61">
        <f>RD[[#This Row],[33kV_OG1_Energy (KWh)]]</f>
        <v>164000</v>
      </c>
      <c r="AP83" s="61">
        <f>IFERROR(RD[[#This Row],[220kV_TL_TVM Energy (KWh)]]-RD[[#This Row],[220kV_C&amp;R_PQM_Imp (KWh)2]],"")</f>
        <v>163340.00000000116</v>
      </c>
      <c r="AQ83" s="63">
        <f>IFERROR(RD[[#This Row],[33 kV Total Export (KWH)]]/RD[[#This Row],[220 KV Net Export (KWh)]]-1,"")</f>
        <v>4.0406514019764028E-3</v>
      </c>
      <c r="AR83" s="64">
        <f>IFERROR((RD[[#This Row],[Sunset Time (POA&lt;20 W/m2)]]-RD[[#This Row],[Sunrise Time (POA&gt;20 W/m2)]])*24,0)</f>
        <v>12.583333333333334</v>
      </c>
      <c r="AS83" s="65">
        <f>RD[[#This Row],[33kV_OG1_Energy (KWh)]]</f>
        <v>164000</v>
      </c>
      <c r="AT83" s="65">
        <f>IFERROR(RD[[#This Row],[ Export (33 kV)]]*(1-RD[[#This Row],[33 kV Line Loss (%)]]),RD[[#This Row],[ Export (33 kV)]])</f>
        <v>163337.33317007587</v>
      </c>
      <c r="AU83" s="277">
        <v>39.21</v>
      </c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>
        <v>0.27708333333333335</v>
      </c>
      <c r="G84" s="122">
        <v>0.77847222222222223</v>
      </c>
      <c r="H84" s="138">
        <v>14634.9</v>
      </c>
      <c r="I84" s="138">
        <v>14782.9</v>
      </c>
      <c r="J84" s="138">
        <v>20383.2</v>
      </c>
      <c r="K84" s="138">
        <v>20664</v>
      </c>
      <c r="L84" s="138">
        <v>20721.3</v>
      </c>
      <c r="M84" s="138">
        <v>16417.5</v>
      </c>
      <c r="N84" s="138">
        <v>16229.5</v>
      </c>
      <c r="O84" s="167"/>
      <c r="P84" s="167"/>
      <c r="Q84" s="58">
        <v>3.63</v>
      </c>
      <c r="R84" s="58">
        <v>3.72</v>
      </c>
      <c r="S84" s="58">
        <v>29.49</v>
      </c>
      <c r="T84" s="58">
        <v>36.21</v>
      </c>
      <c r="U84" s="58">
        <v>71.459999999999994</v>
      </c>
      <c r="V84" s="58">
        <v>0</v>
      </c>
      <c r="W84" s="58">
        <v>3.05</v>
      </c>
      <c r="X84" s="58">
        <v>7.5</v>
      </c>
      <c r="Y84" s="60">
        <f>SUM(RD[[#This Row],[IS1Inv1]:[IS3Inv1]])</f>
        <v>91186.3</v>
      </c>
      <c r="Z84" s="60">
        <f>SUM(RD[[#This Row],[IS4Inv1]:[IS4Inv2]])</f>
        <v>32647</v>
      </c>
      <c r="AA84" s="60">
        <f>SUM(RD[[#This Row],[O2RE7]:[O2RE27]])</f>
        <v>123833.3</v>
      </c>
      <c r="AB84" s="153"/>
      <c r="AC84" s="153">
        <v>18667</v>
      </c>
      <c r="AD84" s="153"/>
      <c r="AE84" s="153">
        <v>12057.4</v>
      </c>
      <c r="AF84" s="153">
        <v>18339.580000000002</v>
      </c>
      <c r="AG84" s="153">
        <v>0.04</v>
      </c>
      <c r="AH84" s="153">
        <v>4.7699999999999996</v>
      </c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123000</v>
      </c>
      <c r="AK84" s="154">
        <f>IF((RD[[#This Row],[220kV_TL_TVM_Ex]]-AE83)*1600&lt;=0,0,(RD[[#This Row],[220kV_TL_TVM_Ex]]-AE83)*1600)</f>
        <v>121919.99999999825</v>
      </c>
      <c r="AL84" s="154">
        <f>IF((RD[[#This Row],[220kV_C&amp;R_PQM_Ex]]-AF83)*1000&lt;=0,"",(RD[[#This Row],[220kV_C&amp;R_PQM_Ex]]-AF83)*1000)</f>
        <v>121455.00000000175</v>
      </c>
      <c r="AM84" s="154">
        <f>IF((RD[[#This Row],[33kV_Aux1_Im]]-AH83)*1000&lt;0,"",(RD[[#This Row],[33kV_Aux1_Im]]-AH83)*1000)</f>
        <v>269.99999999999955</v>
      </c>
      <c r="AN84" s="154">
        <f>IF((RD[[#This Row],[33kV_Aux1_Im]]-AH83)*1000&lt;0,"",(RD[[#This Row],[33kV_Aux1_Im]]-AH83)*1000)</f>
        <v>269.99999999999955</v>
      </c>
      <c r="AO84" s="61">
        <f>RD[[#This Row],[33kV_OG1_Energy (KWh)]]</f>
        <v>123000</v>
      </c>
      <c r="AP84" s="61">
        <f>IFERROR(RD[[#This Row],[220kV_TL_TVM Energy (KWh)]]-RD[[#This Row],[220kV_C&amp;R_PQM_Imp (KWh)2]],"")</f>
        <v>121649.99999999825</v>
      </c>
      <c r="AQ84" s="63">
        <f>IFERROR(RD[[#This Row],[33 kV Total Export (KWH)]]/RD[[#This Row],[220 KV Net Export (KWh)]]-1,"")</f>
        <v>1.109741060420677E-2</v>
      </c>
      <c r="AR84" s="64">
        <f>IFERROR((RD[[#This Row],[Sunset Time (POA&lt;20 W/m2)]]-RD[[#This Row],[Sunrise Time (POA&gt;20 W/m2)]])*24,0)</f>
        <v>12.033333333333333</v>
      </c>
      <c r="AS84" s="65">
        <f>RD[[#This Row],[33kV_OG1_Energy (KWh)]]</f>
        <v>123000</v>
      </c>
      <c r="AT84" s="65">
        <f>IFERROR(RD[[#This Row],[ Export (33 kV)]]*(1-RD[[#This Row],[33 kV Line Loss (%)]]),RD[[#This Row],[ Export (33 kV)]])</f>
        <v>121635.01849568257</v>
      </c>
      <c r="AU84" s="277">
        <v>39.21</v>
      </c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>
        <v>0.25208333333333333</v>
      </c>
      <c r="G85" s="122">
        <v>0.77986111111111112</v>
      </c>
      <c r="H85" s="138">
        <v>25045</v>
      </c>
      <c r="I85" s="138">
        <v>25278.2</v>
      </c>
      <c r="J85" s="138">
        <v>34231.5</v>
      </c>
      <c r="K85" s="138">
        <v>34571.9</v>
      </c>
      <c r="L85" s="138">
        <v>35182.1</v>
      </c>
      <c r="M85" s="138">
        <v>28771</v>
      </c>
      <c r="N85" s="138">
        <v>28481.599999999999</v>
      </c>
      <c r="O85" s="167"/>
      <c r="P85" s="167"/>
      <c r="Q85" s="58">
        <v>6.38</v>
      </c>
      <c r="R85" s="58">
        <v>6.82</v>
      </c>
      <c r="S85" s="58">
        <v>32.42</v>
      </c>
      <c r="T85" s="58">
        <v>42.24</v>
      </c>
      <c r="U85" s="58">
        <v>56.75</v>
      </c>
      <c r="V85" s="58">
        <v>0</v>
      </c>
      <c r="W85" s="58">
        <v>5.16</v>
      </c>
      <c r="X85" s="58">
        <v>10.17</v>
      </c>
      <c r="Y85" s="60">
        <f>SUM(RD[[#This Row],[IS1Inv1]:[IS3Inv1]])</f>
        <v>154308.70000000001</v>
      </c>
      <c r="Z85" s="60">
        <f>SUM(RD[[#This Row],[IS4Inv1]:[IS4Inv2]])</f>
        <v>57252.6</v>
      </c>
      <c r="AA85" s="60">
        <f>SUM(RD[[#This Row],[O2RE7]:[O2RE27]])</f>
        <v>211561.30000000002</v>
      </c>
      <c r="AB85" s="153"/>
      <c r="AC85" s="153">
        <v>18877</v>
      </c>
      <c r="AD85" s="153"/>
      <c r="AE85" s="153">
        <v>12187.5</v>
      </c>
      <c r="AF85" s="153">
        <v>18547.516</v>
      </c>
      <c r="AG85" s="153">
        <v>0.04</v>
      </c>
      <c r="AH85" s="153">
        <v>4.99</v>
      </c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210000</v>
      </c>
      <c r="AK85" s="154">
        <f>IF((RD[[#This Row],[220kV_TL_TVM_Ex]]-AE84)*1600&lt;=0,0,(RD[[#This Row],[220kV_TL_TVM_Ex]]-AE84)*1600)</f>
        <v>208160.00000000058</v>
      </c>
      <c r="AL85" s="154">
        <f>IF((RD[[#This Row],[220kV_C&amp;R_PQM_Ex]]-AF84)*1000&lt;=0,"",(RD[[#This Row],[220kV_C&amp;R_PQM_Ex]]-AF84)*1000)</f>
        <v>207935.99999999788</v>
      </c>
      <c r="AM85" s="154">
        <f>IF((RD[[#This Row],[33kV_Aux1_Im]]-AH84)*1000&lt;0,"",(RD[[#This Row],[33kV_Aux1_Im]]-AH84)*1000)</f>
        <v>220.00000000000063</v>
      </c>
      <c r="AN85" s="154">
        <f>IF((RD[[#This Row],[33kV_Aux1_Im]]-AH84)*1000&lt;0,"",(RD[[#This Row],[33kV_Aux1_Im]]-AH84)*1000)</f>
        <v>220.00000000000063</v>
      </c>
      <c r="AO85" s="61">
        <f>RD[[#This Row],[33kV_OG1_Energy (KWh)]]</f>
        <v>210000</v>
      </c>
      <c r="AP85" s="61">
        <f>IFERROR(RD[[#This Row],[220kV_TL_TVM Energy (KWh)]]-RD[[#This Row],[220kV_C&amp;R_PQM_Imp (KWh)2]],"")</f>
        <v>207940.00000000058</v>
      </c>
      <c r="AQ85" s="63">
        <f>IFERROR(RD[[#This Row],[33 kV Total Export (KWH)]]/RD[[#This Row],[220 KV Net Export (KWh)]]-1,"")</f>
        <v>9.9067038568789734E-3</v>
      </c>
      <c r="AR85" s="64">
        <f>IFERROR((RD[[#This Row],[Sunset Time (POA&lt;20 W/m2)]]-RD[[#This Row],[Sunrise Time (POA&gt;20 W/m2)]])*24,0)</f>
        <v>12.666666666666668</v>
      </c>
      <c r="AS85" s="65">
        <f>RD[[#This Row],[33kV_OG1_Energy (KWh)]]</f>
        <v>210000</v>
      </c>
      <c r="AT85" s="65">
        <f>IFERROR(RD[[#This Row],[ Export (33 kV)]]*(1-RD[[#This Row],[33 kV Line Loss (%)]]),RD[[#This Row],[ Export (33 kV)]])</f>
        <v>207919.59219005541</v>
      </c>
      <c r="AU85" s="277">
        <v>39.21</v>
      </c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>
        <v>0.24722222222222223</v>
      </c>
      <c r="G86" s="122">
        <v>0.78194444444444444</v>
      </c>
      <c r="H86" s="138">
        <v>17037.5</v>
      </c>
      <c r="I86" s="138">
        <v>17066.599999999999</v>
      </c>
      <c r="J86" s="138">
        <v>23835</v>
      </c>
      <c r="K86" s="138">
        <v>24100.7</v>
      </c>
      <c r="L86" s="138">
        <v>24426.7</v>
      </c>
      <c r="M86" s="138">
        <v>18929.3</v>
      </c>
      <c r="N86" s="138">
        <v>18918</v>
      </c>
      <c r="O86" s="167"/>
      <c r="P86" s="167"/>
      <c r="Q86" s="58">
        <v>4.21</v>
      </c>
      <c r="R86" s="58">
        <v>4.51</v>
      </c>
      <c r="S86" s="58">
        <v>30.68</v>
      </c>
      <c r="T86" s="58">
        <v>36.659999999999997</v>
      </c>
      <c r="U86" s="58">
        <v>63.43</v>
      </c>
      <c r="V86" s="58">
        <v>0</v>
      </c>
      <c r="W86" s="58">
        <v>5.0999999999999996</v>
      </c>
      <c r="X86" s="58">
        <v>13.52</v>
      </c>
      <c r="Y86" s="60">
        <f>SUM(RD[[#This Row],[IS1Inv1]:[IS3Inv1]])</f>
        <v>106466.5</v>
      </c>
      <c r="Z86" s="60">
        <f>SUM(RD[[#This Row],[IS4Inv1]:[IS4Inv2]])</f>
        <v>37847.300000000003</v>
      </c>
      <c r="AA86" s="60">
        <f>SUM(RD[[#This Row],[O2RE7]:[O2RE27]])</f>
        <v>144313.79999999999</v>
      </c>
      <c r="AB86" s="153"/>
      <c r="AC86" s="153">
        <v>19020</v>
      </c>
      <c r="AD86" s="153"/>
      <c r="AE86" s="153">
        <v>12276.2</v>
      </c>
      <c r="AF86" s="153">
        <v>18688.984</v>
      </c>
      <c r="AG86" s="153">
        <v>0.04</v>
      </c>
      <c r="AH86" s="153">
        <v>5.2</v>
      </c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143000</v>
      </c>
      <c r="AK86" s="154">
        <f>IF((RD[[#This Row],[220kV_TL_TVM_Ex]]-AE85)*1600&lt;=0,0,(RD[[#This Row],[220kV_TL_TVM_Ex]]-AE85)*1600)</f>
        <v>141920.00000000116</v>
      </c>
      <c r="AL86" s="154">
        <f>IF((RD[[#This Row],[220kV_C&amp;R_PQM_Ex]]-AF85)*1000&lt;=0,"",(RD[[#This Row],[220kV_C&amp;R_PQM_Ex]]-AF85)*1000)</f>
        <v>141468.00000000076</v>
      </c>
      <c r="AM86" s="154">
        <f>IF((RD[[#This Row],[33kV_Aux1_Im]]-AH85)*1000&lt;0,"",(RD[[#This Row],[33kV_Aux1_Im]]-AH85)*1000)</f>
        <v>209.99999999999997</v>
      </c>
      <c r="AN86" s="154">
        <f>IF((RD[[#This Row],[33kV_Aux1_Im]]-AH85)*1000&lt;0,"",(RD[[#This Row],[33kV_Aux1_Im]]-AH85)*1000)</f>
        <v>209.99999999999997</v>
      </c>
      <c r="AO86" s="61">
        <f>RD[[#This Row],[33kV_OG1_Energy (KWh)]]</f>
        <v>143000</v>
      </c>
      <c r="AP86" s="61">
        <f>IFERROR(RD[[#This Row],[220kV_TL_TVM Energy (KWh)]]-RD[[#This Row],[220kV_C&amp;R_PQM_Imp (KWh)2]],"")</f>
        <v>141710.00000000116</v>
      </c>
      <c r="AQ86" s="63">
        <f>IFERROR(RD[[#This Row],[33 kV Total Export (KWH)]]/RD[[#This Row],[220 KV Net Export (KWh)]]-1,"")</f>
        <v>9.1030978759354397E-3</v>
      </c>
      <c r="AR86" s="64">
        <f>IFERROR((RD[[#This Row],[Sunset Time (POA&lt;20 W/m2)]]-RD[[#This Row],[Sunrise Time (POA&gt;20 W/m2)]])*24,0)</f>
        <v>12.833333333333332</v>
      </c>
      <c r="AS86" s="65">
        <f>RD[[#This Row],[33kV_OG1_Energy (KWh)]]</f>
        <v>143000</v>
      </c>
      <c r="AT86" s="65">
        <f>IFERROR(RD[[#This Row],[ Export (33 kV)]]*(1-RD[[#This Row],[33 kV Line Loss (%)]]),RD[[#This Row],[ Export (33 kV)]])</f>
        <v>141698.25700374122</v>
      </c>
      <c r="AU86" s="277">
        <v>39.21</v>
      </c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>
        <v>0.25555555555555554</v>
      </c>
      <c r="G87" s="122">
        <v>0.71388888888888891</v>
      </c>
      <c r="H87" s="138">
        <v>15468.9</v>
      </c>
      <c r="I87" s="138">
        <v>15540.7</v>
      </c>
      <c r="J87" s="138">
        <v>21246.799999999999</v>
      </c>
      <c r="K87" s="138">
        <v>21419.7</v>
      </c>
      <c r="L87" s="138">
        <v>21764.400000000001</v>
      </c>
      <c r="M87" s="138">
        <v>17475.400000000001</v>
      </c>
      <c r="N87" s="138">
        <v>17389.900000000001</v>
      </c>
      <c r="O87" s="167"/>
      <c r="P87" s="167"/>
      <c r="Q87" s="58">
        <v>3.91</v>
      </c>
      <c r="R87" s="58">
        <v>4.03</v>
      </c>
      <c r="S87" s="58">
        <v>29.64</v>
      </c>
      <c r="T87" s="58">
        <v>36.14</v>
      </c>
      <c r="U87" s="58">
        <v>70.959999999999994</v>
      </c>
      <c r="V87" s="58">
        <v>0</v>
      </c>
      <c r="W87" s="58">
        <v>5.14</v>
      </c>
      <c r="X87" s="58">
        <v>14.85</v>
      </c>
      <c r="Y87" s="60">
        <f>SUM(RD[[#This Row],[IS1Inv1]:[IS3Inv1]])</f>
        <v>95440.5</v>
      </c>
      <c r="Z87" s="60">
        <f>SUM(RD[[#This Row],[IS4Inv1]:[IS4Inv2]])</f>
        <v>34865.300000000003</v>
      </c>
      <c r="AA87" s="60">
        <f>SUM(RD[[#This Row],[O2RE7]:[O2RE27]])</f>
        <v>130305.8</v>
      </c>
      <c r="AB87" s="153"/>
      <c r="AC87" s="153">
        <v>19148</v>
      </c>
      <c r="AD87" s="153"/>
      <c r="AE87" s="153">
        <v>12356.2</v>
      </c>
      <c r="AF87" s="153">
        <v>18816.381000000001</v>
      </c>
      <c r="AG87" s="153">
        <v>0.04</v>
      </c>
      <c r="AH87" s="153">
        <v>5.42</v>
      </c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128000</v>
      </c>
      <c r="AK87" s="154">
        <f>IF((RD[[#This Row],[220kV_TL_TVM_Ex]]-AE86)*1600&lt;=0,0,(RD[[#This Row],[220kV_TL_TVM_Ex]]-AE86)*1600)</f>
        <v>128000</v>
      </c>
      <c r="AL87" s="154">
        <f>IF((RD[[#This Row],[220kV_C&amp;R_PQM_Ex]]-AF86)*1000&lt;=0,"",(RD[[#This Row],[220kV_C&amp;R_PQM_Ex]]-AF86)*1000)</f>
        <v>127397.00000000084</v>
      </c>
      <c r="AM87" s="154">
        <f>IF((RD[[#This Row],[33kV_Aux1_Im]]-AH86)*1000&lt;0,"",(RD[[#This Row],[33kV_Aux1_Im]]-AH86)*1000)</f>
        <v>219.99999999999974</v>
      </c>
      <c r="AN87" s="154">
        <f>IF((RD[[#This Row],[33kV_Aux1_Im]]-AH86)*1000&lt;0,"",(RD[[#This Row],[33kV_Aux1_Im]]-AH86)*1000)</f>
        <v>219.99999999999974</v>
      </c>
      <c r="AO87" s="61">
        <f>RD[[#This Row],[33kV_OG1_Energy (KWh)]]</f>
        <v>128000</v>
      </c>
      <c r="AP87" s="61">
        <f>IFERROR(RD[[#This Row],[220kV_TL_TVM Energy (KWh)]]-RD[[#This Row],[220kV_C&amp;R_PQM_Imp (KWh)2]],"")</f>
        <v>127780</v>
      </c>
      <c r="AQ87" s="63">
        <f>IFERROR(RD[[#This Row],[33 kV Total Export (KWH)]]/RD[[#This Row],[220 KV Net Export (KWh)]]-1,"")</f>
        <v>1.7217091876662316E-3</v>
      </c>
      <c r="AR87" s="64">
        <f>IFERROR((RD[[#This Row],[Sunset Time (POA&lt;20 W/m2)]]-RD[[#This Row],[Sunrise Time (POA&gt;20 W/m2)]])*24,0)</f>
        <v>11</v>
      </c>
      <c r="AS87" s="65">
        <f>RD[[#This Row],[33kV_OG1_Energy (KWh)]]</f>
        <v>128000</v>
      </c>
      <c r="AT87" s="65">
        <f>IFERROR(RD[[#This Row],[ Export (33 kV)]]*(1-RD[[#This Row],[33 kV Line Loss (%)]]),RD[[#This Row],[ Export (33 kV)]])</f>
        <v>127779.62122397873</v>
      </c>
      <c r="AU87" s="277">
        <v>39.21</v>
      </c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>
        <v>0.25416666666666665</v>
      </c>
      <c r="G88" s="122">
        <v>0.77847222222222223</v>
      </c>
      <c r="H88" s="138">
        <v>23879</v>
      </c>
      <c r="I88" s="138">
        <v>24010.5</v>
      </c>
      <c r="J88" s="138">
        <v>33031.599999999999</v>
      </c>
      <c r="K88" s="138">
        <v>33187.699999999997</v>
      </c>
      <c r="L88" s="138">
        <v>33862.800000000003</v>
      </c>
      <c r="M88" s="138">
        <v>27356.3</v>
      </c>
      <c r="N88" s="138">
        <v>27264.3</v>
      </c>
      <c r="O88" s="167"/>
      <c r="P88" s="167"/>
      <c r="Q88" s="58">
        <v>6.13</v>
      </c>
      <c r="R88" s="58">
        <v>6.46</v>
      </c>
      <c r="S88" s="58">
        <v>31.83</v>
      </c>
      <c r="T88" s="58">
        <v>39.69</v>
      </c>
      <c r="U88" s="58">
        <v>58.45</v>
      </c>
      <c r="V88" s="58">
        <v>0</v>
      </c>
      <c r="W88" s="58">
        <v>5.37</v>
      </c>
      <c r="X88" s="58">
        <v>11.97</v>
      </c>
      <c r="Y88" s="60">
        <f>SUM(RD[[#This Row],[IS1Inv1]:[IS3Inv1]])</f>
        <v>147971.6</v>
      </c>
      <c r="Z88" s="60">
        <f>SUM(RD[[#This Row],[IS4Inv1]:[IS4Inv2]])</f>
        <v>54620.6</v>
      </c>
      <c r="AA88" s="60">
        <f>SUM(RD[[#This Row],[O2RE7]:[O2RE27]])</f>
        <v>202592.2</v>
      </c>
      <c r="AB88" s="153"/>
      <c r="AC88" s="153">
        <v>19349</v>
      </c>
      <c r="AD88" s="153"/>
      <c r="AE88" s="153">
        <v>12480.8</v>
      </c>
      <c r="AF88" s="153">
        <v>19015.37</v>
      </c>
      <c r="AG88" s="153">
        <v>0.04</v>
      </c>
      <c r="AH88" s="153">
        <v>5.66</v>
      </c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201000</v>
      </c>
      <c r="AK88" s="154">
        <f>IF((RD[[#This Row],[220kV_TL_TVM_Ex]]-AE87)*1600&lt;=0,0,(RD[[#This Row],[220kV_TL_TVM_Ex]]-AE87)*1600)</f>
        <v>199359.99999999767</v>
      </c>
      <c r="AL88" s="154">
        <f>IF((RD[[#This Row],[220kV_C&amp;R_PQM_Ex]]-AF87)*1000&lt;=0,"",(RD[[#This Row],[220kV_C&amp;R_PQM_Ex]]-AF87)*1000)</f>
        <v>198988.99999999776</v>
      </c>
      <c r="AM88" s="154">
        <f>IF((RD[[#This Row],[33kV_Aux1_Im]]-AH87)*1000&lt;0,"",(RD[[#This Row],[33kV_Aux1_Im]]-AH87)*1000)</f>
        <v>240.00000000000023</v>
      </c>
      <c r="AN88" s="154">
        <f>IF((RD[[#This Row],[33kV_Aux1_Im]]-AH87)*1000&lt;0,"",(RD[[#This Row],[33kV_Aux1_Im]]-AH87)*1000)</f>
        <v>240.00000000000023</v>
      </c>
      <c r="AO88" s="61">
        <f>RD[[#This Row],[33kV_OG1_Energy (KWh)]]</f>
        <v>201000</v>
      </c>
      <c r="AP88" s="61">
        <f>IFERROR(RD[[#This Row],[220kV_TL_TVM Energy (KWh)]]-RD[[#This Row],[220kV_C&amp;R_PQM_Imp (KWh)2]],"")</f>
        <v>199119.99999999767</v>
      </c>
      <c r="AQ88" s="63">
        <f>IFERROR(RD[[#This Row],[33 kV Total Export (KWH)]]/RD[[#This Row],[220 KV Net Export (KWh)]]-1,"")</f>
        <v>9.4415427882801328E-3</v>
      </c>
      <c r="AR88" s="64">
        <f>IFERROR((RD[[#This Row],[Sunset Time (POA&lt;20 W/m2)]]-RD[[#This Row],[Sunrise Time (POA&gt;20 W/m2)]])*24,0)</f>
        <v>12.583333333333334</v>
      </c>
      <c r="AS88" s="65">
        <f>RD[[#This Row],[33kV_OG1_Energy (KWh)]]</f>
        <v>201000</v>
      </c>
      <c r="AT88" s="65">
        <f>IFERROR(RD[[#This Row],[ Export (33 kV)]]*(1-RD[[#This Row],[33 kV Line Loss (%)]]),RD[[#This Row],[ Export (33 kV)]])</f>
        <v>199102.2498995557</v>
      </c>
      <c r="AU88" s="277">
        <v>39.21</v>
      </c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>
        <v>0.24930555555555556</v>
      </c>
      <c r="G89" s="122">
        <v>0.76944444444444449</v>
      </c>
      <c r="H89" s="138">
        <v>19159</v>
      </c>
      <c r="I89" s="138">
        <v>19282</v>
      </c>
      <c r="J89" s="138">
        <v>26286</v>
      </c>
      <c r="K89" s="138">
        <v>26529</v>
      </c>
      <c r="L89" s="138">
        <v>26988</v>
      </c>
      <c r="M89" s="138">
        <v>21917</v>
      </c>
      <c r="N89" s="138">
        <v>21824</v>
      </c>
      <c r="O89" s="167"/>
      <c r="P89" s="167"/>
      <c r="Q89" s="58">
        <v>4.8499999999999996</v>
      </c>
      <c r="R89" s="58">
        <v>5.1100000000000003</v>
      </c>
      <c r="S89" s="58">
        <v>30.4</v>
      </c>
      <c r="T89" s="58">
        <v>37.590000000000003</v>
      </c>
      <c r="U89" s="58">
        <v>66.709999999999994</v>
      </c>
      <c r="V89" s="58">
        <v>0</v>
      </c>
      <c r="W89" s="58">
        <v>4.09</v>
      </c>
      <c r="X89" s="58">
        <v>13.91</v>
      </c>
      <c r="Y89" s="60">
        <f>SUM(RD[[#This Row],[IS1Inv1]:[IS3Inv1]])</f>
        <v>118244</v>
      </c>
      <c r="Z89" s="60">
        <f>SUM(RD[[#This Row],[IS4Inv1]:[IS4Inv2]])</f>
        <v>43741</v>
      </c>
      <c r="AA89" s="60">
        <f>SUM(RD[[#This Row],[O2RE7]:[O2RE27]])</f>
        <v>161985</v>
      </c>
      <c r="AB89" s="153"/>
      <c r="AC89" s="153">
        <v>19510</v>
      </c>
      <c r="AD89" s="153"/>
      <c r="AE89" s="153">
        <v>12580.4</v>
      </c>
      <c r="AF89" s="153">
        <v>19174.532999999999</v>
      </c>
      <c r="AG89" s="153">
        <v>0.04</v>
      </c>
      <c r="AH89" s="153">
        <v>5.88</v>
      </c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161000</v>
      </c>
      <c r="AK89" s="154">
        <f>IF((RD[[#This Row],[220kV_TL_TVM_Ex]]-AE88)*1600&lt;=0,0,(RD[[#This Row],[220kV_TL_TVM_Ex]]-AE88)*1600)</f>
        <v>159360.00000000058</v>
      </c>
      <c r="AL89" s="154">
        <f>IF((RD[[#This Row],[220kV_C&amp;R_PQM_Ex]]-AF88)*1000&lt;=0,"",(RD[[#This Row],[220kV_C&amp;R_PQM_Ex]]-AF88)*1000)</f>
        <v>159163.00000000047</v>
      </c>
      <c r="AM89" s="154">
        <f>IF((RD[[#This Row],[33kV_Aux1_Im]]-AH88)*1000&lt;0,"",(RD[[#This Row],[33kV_Aux1_Im]]-AH88)*1000)</f>
        <v>219.99999999999974</v>
      </c>
      <c r="AN89" s="154">
        <f>IF((RD[[#This Row],[33kV_Aux1_Im]]-AH88)*1000&lt;0,"",(RD[[#This Row],[33kV_Aux1_Im]]-AH88)*1000)</f>
        <v>219.99999999999974</v>
      </c>
      <c r="AO89" s="61">
        <f>RD[[#This Row],[33kV_OG1_Energy (KWh)]]</f>
        <v>161000</v>
      </c>
      <c r="AP89" s="61">
        <f>IFERROR(RD[[#This Row],[220kV_TL_TVM Energy (KWh)]]-RD[[#This Row],[220kV_C&amp;R_PQM_Imp (KWh)2]],"")</f>
        <v>159140.00000000058</v>
      </c>
      <c r="AQ89" s="63">
        <f>IFERROR(RD[[#This Row],[33 kV Total Export (KWH)]]/RD[[#This Row],[220 KV Net Export (KWh)]]-1,"")</f>
        <v>1.1687822043479956E-2</v>
      </c>
      <c r="AR89" s="64">
        <f>IFERROR((RD[[#This Row],[Sunset Time (POA&lt;20 W/m2)]]-RD[[#This Row],[Sunrise Time (POA&gt;20 W/m2)]])*24,0)</f>
        <v>12.483333333333334</v>
      </c>
      <c r="AS89" s="65">
        <f>RD[[#This Row],[33kV_OG1_Energy (KWh)]]</f>
        <v>161000</v>
      </c>
      <c r="AT89" s="65">
        <f>IFERROR(RD[[#This Row],[ Export (33 kV)]]*(1-RD[[#This Row],[33 kV Line Loss (%)]]),RD[[#This Row],[ Export (33 kV)]])</f>
        <v>159118.26065099973</v>
      </c>
      <c r="AU89" s="277">
        <v>39.21</v>
      </c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>
        <v>0.25763888888888886</v>
      </c>
      <c r="G90" s="122">
        <v>0.76458333333333328</v>
      </c>
      <c r="H90" s="138">
        <v>17917.7</v>
      </c>
      <c r="I90" s="138">
        <v>17887.8</v>
      </c>
      <c r="J90" s="138">
        <v>24523.599999999999</v>
      </c>
      <c r="K90" s="138">
        <v>24714.6</v>
      </c>
      <c r="L90" s="138">
        <v>24821.599999999999</v>
      </c>
      <c r="M90" s="138">
        <v>20075.599999999999</v>
      </c>
      <c r="N90" s="138">
        <v>19939.099999999999</v>
      </c>
      <c r="O90" s="167"/>
      <c r="P90" s="167"/>
      <c r="Q90" s="58">
        <v>4.4000000000000004</v>
      </c>
      <c r="R90" s="58">
        <v>4.5</v>
      </c>
      <c r="S90" s="58">
        <v>30.53</v>
      </c>
      <c r="T90" s="58">
        <v>36.64</v>
      </c>
      <c r="U90" s="58">
        <v>62.02</v>
      </c>
      <c r="V90" s="58">
        <v>0</v>
      </c>
      <c r="W90" s="58">
        <v>4.75</v>
      </c>
      <c r="X90" s="58">
        <v>10.61</v>
      </c>
      <c r="Y90" s="60">
        <f>SUM(RD[[#This Row],[IS1Inv1]:[IS3Inv1]])</f>
        <v>109865.29999999999</v>
      </c>
      <c r="Z90" s="60">
        <f>SUM(RD[[#This Row],[IS4Inv1]:[IS4Inv2]])</f>
        <v>40014.699999999997</v>
      </c>
      <c r="AA90" s="60">
        <f>SUM(RD[[#This Row],[O2RE7]:[O2RE27]])</f>
        <v>149880</v>
      </c>
      <c r="AB90" s="153"/>
      <c r="AC90" s="153">
        <v>19658</v>
      </c>
      <c r="AD90" s="153"/>
      <c r="AE90" s="153">
        <v>12672.6</v>
      </c>
      <c r="AF90" s="153">
        <v>19321.593000000001</v>
      </c>
      <c r="AG90" s="153">
        <v>0.04</v>
      </c>
      <c r="AH90" s="153">
        <v>6.11</v>
      </c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148000</v>
      </c>
      <c r="AK90" s="154">
        <f>IF((RD[[#This Row],[220kV_TL_TVM_Ex]]-AE89)*1600&lt;=0,0,(RD[[#This Row],[220kV_TL_TVM_Ex]]-AE89)*1600)</f>
        <v>147520.00000000116</v>
      </c>
      <c r="AL90" s="154">
        <f>IF((RD[[#This Row],[220kV_C&amp;R_PQM_Ex]]-AF89)*1000&lt;=0,"",(RD[[#This Row],[220kV_C&amp;R_PQM_Ex]]-AF89)*1000)</f>
        <v>147060.00000000131</v>
      </c>
      <c r="AM90" s="154">
        <f>IF((RD[[#This Row],[33kV_Aux1_Im]]-AH89)*1000&lt;0,"",(RD[[#This Row],[33kV_Aux1_Im]]-AH89)*1000)</f>
        <v>230.00000000000043</v>
      </c>
      <c r="AN90" s="154">
        <f>IF((RD[[#This Row],[33kV_Aux1_Im]]-AH89)*1000&lt;0,"",(RD[[#This Row],[33kV_Aux1_Im]]-AH89)*1000)</f>
        <v>230.00000000000043</v>
      </c>
      <c r="AO90" s="61">
        <f>RD[[#This Row],[33kV_OG1_Energy (KWh)]]</f>
        <v>148000</v>
      </c>
      <c r="AP90" s="61">
        <f>IFERROR(RD[[#This Row],[220kV_TL_TVM Energy (KWh)]]-RD[[#This Row],[220kV_C&amp;R_PQM_Imp (KWh)2]],"")</f>
        <v>147290.00000000116</v>
      </c>
      <c r="AQ90" s="63">
        <f>IFERROR(RD[[#This Row],[33 kV Total Export (KWH)]]/RD[[#This Row],[220 KV Net Export (KWh)]]-1,"")</f>
        <v>4.8204222961425458E-3</v>
      </c>
      <c r="AR90" s="64">
        <f>IFERROR((RD[[#This Row],[Sunset Time (POA&lt;20 W/m2)]]-RD[[#This Row],[Sunrise Time (POA&gt;20 W/m2)]])*24,0)</f>
        <v>12.166666666666666</v>
      </c>
      <c r="AS90" s="65">
        <f>RD[[#This Row],[33kV_OG1_Energy (KWh)]]</f>
        <v>148000</v>
      </c>
      <c r="AT90" s="65">
        <f>IFERROR(RD[[#This Row],[ Export (33 kV)]]*(1-RD[[#This Row],[33 kV Line Loss (%)]]),RD[[#This Row],[ Export (33 kV)]])</f>
        <v>147286.57750017091</v>
      </c>
      <c r="AU90" s="277">
        <v>39.21</v>
      </c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>
        <v>0.24930555555555556</v>
      </c>
      <c r="G91" s="122">
        <v>0.76527777777777772</v>
      </c>
      <c r="H91" s="138">
        <v>12293.2</v>
      </c>
      <c r="I91" s="138">
        <v>12416.1</v>
      </c>
      <c r="J91" s="138">
        <v>17123.099999999999</v>
      </c>
      <c r="K91" s="138">
        <v>17366.900000000001</v>
      </c>
      <c r="L91" s="138">
        <v>17384.099999999999</v>
      </c>
      <c r="M91" s="138">
        <v>13692</v>
      </c>
      <c r="N91" s="138">
        <v>13666.6</v>
      </c>
      <c r="O91" s="167"/>
      <c r="P91" s="167"/>
      <c r="Q91" s="58">
        <v>2.87</v>
      </c>
      <c r="R91" s="58">
        <v>3</v>
      </c>
      <c r="S91" s="58">
        <v>29.43</v>
      </c>
      <c r="T91" s="58">
        <v>32.99</v>
      </c>
      <c r="U91" s="58">
        <v>66.760000000000005</v>
      </c>
      <c r="V91" s="58">
        <v>0</v>
      </c>
      <c r="W91" s="58">
        <v>4.05</v>
      </c>
      <c r="X91" s="58">
        <v>8.89</v>
      </c>
      <c r="Y91" s="60">
        <f>SUM(RD[[#This Row],[IS1Inv1]:[IS3Inv1]])</f>
        <v>76583.399999999994</v>
      </c>
      <c r="Z91" s="60">
        <f>SUM(RD[[#This Row],[IS4Inv1]:[IS4Inv2]])</f>
        <v>27358.6</v>
      </c>
      <c r="AA91" s="60">
        <f>SUM(RD[[#This Row],[O2RE7]:[O2RE27]])</f>
        <v>103942</v>
      </c>
      <c r="AB91" s="153"/>
      <c r="AC91" s="153">
        <v>19761</v>
      </c>
      <c r="AD91" s="153"/>
      <c r="AE91" s="153">
        <v>12736.6</v>
      </c>
      <c r="AF91" s="153">
        <v>19423.826000000001</v>
      </c>
      <c r="AG91" s="153">
        <v>0.04</v>
      </c>
      <c r="AH91" s="153">
        <v>6.32</v>
      </c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103000</v>
      </c>
      <c r="AK91" s="154">
        <f>IF((RD[[#This Row],[220kV_TL_TVM_Ex]]-AE90)*1600&lt;=0,0,(RD[[#This Row],[220kV_TL_TVM_Ex]]-AE90)*1600)</f>
        <v>102400</v>
      </c>
      <c r="AL91" s="154">
        <f>IF((RD[[#This Row],[220kV_C&amp;R_PQM_Ex]]-AF90)*1000&lt;=0,"",(RD[[#This Row],[220kV_C&amp;R_PQM_Ex]]-AF90)*1000)</f>
        <v>102233.00000000017</v>
      </c>
      <c r="AM91" s="154">
        <f>IF((RD[[#This Row],[33kV_Aux1_Im]]-AH90)*1000&lt;0,"",(RD[[#This Row],[33kV_Aux1_Im]]-AH90)*1000)</f>
        <v>209.99999999999997</v>
      </c>
      <c r="AN91" s="154">
        <f>IF((RD[[#This Row],[33kV_Aux1_Im]]-AH90)*1000&lt;0,"",(RD[[#This Row],[33kV_Aux1_Im]]-AH90)*1000)</f>
        <v>209.99999999999997</v>
      </c>
      <c r="AO91" s="61">
        <f>RD[[#This Row],[33kV_OG1_Energy (KWh)]]</f>
        <v>103000</v>
      </c>
      <c r="AP91" s="61">
        <f>IFERROR(RD[[#This Row],[220kV_TL_TVM Energy (KWh)]]-RD[[#This Row],[220kV_C&amp;R_PQM_Imp (KWh)2]],"")</f>
        <v>102190</v>
      </c>
      <c r="AQ91" s="63">
        <f>IFERROR(RD[[#This Row],[33 kV Total Export (KWH)]]/RD[[#This Row],[220 KV Net Export (KWh)]]-1,"")</f>
        <v>7.9264115862609508E-3</v>
      </c>
      <c r="AR91" s="64">
        <f>IFERROR((RD[[#This Row],[Sunset Time (POA&lt;20 W/m2)]]-RD[[#This Row],[Sunrise Time (POA&gt;20 W/m2)]])*24,0)</f>
        <v>12.383333333333333</v>
      </c>
      <c r="AS91" s="65">
        <f>RD[[#This Row],[33kV_OG1_Energy (KWh)]]</f>
        <v>103000</v>
      </c>
      <c r="AT91" s="65">
        <f>IFERROR(RD[[#This Row],[ Export (33 kV)]]*(1-RD[[#This Row],[33 kV Line Loss (%)]]),RD[[#This Row],[ Export (33 kV)]])</f>
        <v>102183.57960661512</v>
      </c>
      <c r="AU91" s="277">
        <v>39.21</v>
      </c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>
        <v>0.25277777777777777</v>
      </c>
      <c r="G92" s="122">
        <v>0.76180555555555551</v>
      </c>
      <c r="H92" s="138">
        <v>16758.599999999999</v>
      </c>
      <c r="I92" s="138">
        <v>16851.5</v>
      </c>
      <c r="J92" s="138">
        <v>23034.3</v>
      </c>
      <c r="K92" s="138">
        <v>23248.9</v>
      </c>
      <c r="L92" s="138">
        <v>23351.599999999999</v>
      </c>
      <c r="M92" s="138">
        <v>18798.3</v>
      </c>
      <c r="N92" s="138">
        <v>18626</v>
      </c>
      <c r="O92" s="167"/>
      <c r="P92" s="167"/>
      <c r="Q92" s="58">
        <v>4.1120000000000001</v>
      </c>
      <c r="R92" s="58">
        <v>4.2220000000000004</v>
      </c>
      <c r="S92" s="58">
        <v>28.765999999999998</v>
      </c>
      <c r="T92" s="58">
        <v>34.624000000000002</v>
      </c>
      <c r="U92" s="58">
        <v>72.555999999999997</v>
      </c>
      <c r="V92" s="58">
        <v>0</v>
      </c>
      <c r="W92" s="58">
        <v>4.5960000000000001</v>
      </c>
      <c r="X92" s="58">
        <v>11.02</v>
      </c>
      <c r="Y92" s="60">
        <f>SUM(RD[[#This Row],[IS1Inv1]:[IS3Inv1]])</f>
        <v>103244.9</v>
      </c>
      <c r="Z92" s="60">
        <f>SUM(RD[[#This Row],[IS4Inv1]:[IS4Inv2]])</f>
        <v>37424.300000000003</v>
      </c>
      <c r="AA92" s="60">
        <f>SUM(RD[[#This Row],[O2RE7]:[O2RE27]])</f>
        <v>140669.20000000001</v>
      </c>
      <c r="AB92" s="153"/>
      <c r="AC92" s="153">
        <v>19901</v>
      </c>
      <c r="AD92" s="153"/>
      <c r="AE92" s="153">
        <v>12822.9</v>
      </c>
      <c r="AF92" s="153">
        <v>19561.877</v>
      </c>
      <c r="AG92" s="153">
        <v>0.04</v>
      </c>
      <c r="AH92" s="153">
        <v>6.53</v>
      </c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140000</v>
      </c>
      <c r="AK92" s="154">
        <f>IF((RD[[#This Row],[220kV_TL_TVM_Ex]]-AE91)*1600&lt;=0,0,(RD[[#This Row],[220kV_TL_TVM_Ex]]-AE91)*1600)</f>
        <v>138079.99999999884</v>
      </c>
      <c r="AL92" s="154">
        <f>IF((RD[[#This Row],[220kV_C&amp;R_PQM_Ex]]-AF91)*1000&lt;=0,"",(RD[[#This Row],[220kV_C&amp;R_PQM_Ex]]-AF91)*1000)</f>
        <v>138050.99999999948</v>
      </c>
      <c r="AM92" s="154">
        <f>IF((RD[[#This Row],[33kV_Aux1_Im]]-AH91)*1000&lt;0,"",(RD[[#This Row],[33kV_Aux1_Im]]-AH91)*1000)</f>
        <v>209.99999999999997</v>
      </c>
      <c r="AN92" s="154">
        <f>IF((RD[[#This Row],[33kV_Aux1_Im]]-AH91)*1000&lt;0,"",(RD[[#This Row],[33kV_Aux1_Im]]-AH91)*1000)</f>
        <v>209.99999999999997</v>
      </c>
      <c r="AO92" s="61">
        <f>RD[[#This Row],[33kV_OG1_Energy (KWh)]]</f>
        <v>140000</v>
      </c>
      <c r="AP92" s="61">
        <f>IFERROR(RD[[#This Row],[220kV_TL_TVM Energy (KWh)]]-RD[[#This Row],[220kV_C&amp;R_PQM_Imp (KWh)2]],"")</f>
        <v>137869.99999999884</v>
      </c>
      <c r="AQ92" s="63">
        <f>IFERROR(RD[[#This Row],[33 kV Total Export (KWH)]]/RD[[#This Row],[220 KV Net Export (KWh)]]-1,"")</f>
        <v>1.5449336331335273E-2</v>
      </c>
      <c r="AR92" s="64">
        <f>IFERROR((RD[[#This Row],[Sunset Time (POA&lt;20 W/m2)]]-RD[[#This Row],[Sunrise Time (POA&gt;20 W/m2)]])*24,0)</f>
        <v>12.216666666666665</v>
      </c>
      <c r="AS92" s="65">
        <f>RD[[#This Row],[33kV_OG1_Energy (KWh)]]</f>
        <v>140000</v>
      </c>
      <c r="AT92" s="65">
        <f>IFERROR(RD[[#This Row],[ Export (33 kV)]]*(1-RD[[#This Row],[33 kV Line Loss (%)]]),RD[[#This Row],[ Export (33 kV)]])</f>
        <v>137837.09291361307</v>
      </c>
      <c r="AU92" s="277">
        <v>39.21</v>
      </c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>
        <v>0.27291666666666664</v>
      </c>
      <c r="G93" s="122">
        <v>0.76111111111111107</v>
      </c>
      <c r="H93" s="138">
        <v>12609.5</v>
      </c>
      <c r="I93" s="138">
        <v>12737.7</v>
      </c>
      <c r="J93" s="138">
        <v>17665.900000000001</v>
      </c>
      <c r="K93" s="138">
        <v>17933.3</v>
      </c>
      <c r="L93" s="138">
        <v>17945.599999999999</v>
      </c>
      <c r="M93" s="138">
        <v>14040</v>
      </c>
      <c r="N93" s="138">
        <v>13988.5</v>
      </c>
      <c r="O93" s="167"/>
      <c r="P93" s="167"/>
      <c r="Q93" s="58">
        <v>2.79</v>
      </c>
      <c r="R93" s="58">
        <v>2.84</v>
      </c>
      <c r="S93" s="58">
        <v>28.997</v>
      </c>
      <c r="T93" s="58">
        <v>33.979999999999997</v>
      </c>
      <c r="U93" s="58">
        <v>71.709999999999994</v>
      </c>
      <c r="V93" s="58">
        <v>0</v>
      </c>
      <c r="W93" s="58">
        <v>2.891</v>
      </c>
      <c r="X93" s="58">
        <v>10.85</v>
      </c>
      <c r="Y93" s="60">
        <f>SUM(RD[[#This Row],[IS1Inv1]:[IS3Inv1]])</f>
        <v>78892</v>
      </c>
      <c r="Z93" s="60">
        <f>SUM(RD[[#This Row],[IS4Inv1]:[IS4Inv2]])</f>
        <v>28028.5</v>
      </c>
      <c r="AA93" s="60">
        <f>SUM(RD[[#This Row],[O2RE7]:[O2RE27]])</f>
        <v>106920.5</v>
      </c>
      <c r="AB93" s="153"/>
      <c r="AC93" s="153">
        <v>20007</v>
      </c>
      <c r="AD93" s="153"/>
      <c r="AE93" s="153">
        <v>12889</v>
      </c>
      <c r="AF93" s="153">
        <v>19666.453000000001</v>
      </c>
      <c r="AG93" s="153">
        <v>0.04</v>
      </c>
      <c r="AH93" s="153">
        <v>6.74</v>
      </c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106000</v>
      </c>
      <c r="AK93" s="154">
        <f>IF((RD[[#This Row],[220kV_TL_TVM_Ex]]-AE92)*1600&lt;=0,0,(RD[[#This Row],[220kV_TL_TVM_Ex]]-AE92)*1600)</f>
        <v>105760.00000000058</v>
      </c>
      <c r="AL93" s="154">
        <f>IF((RD[[#This Row],[220kV_C&amp;R_PQM_Ex]]-AF92)*1000&lt;=0,"",(RD[[#This Row],[220kV_C&amp;R_PQM_Ex]]-AF92)*1000)</f>
        <v>104576.00000000093</v>
      </c>
      <c r="AM93" s="154">
        <f>IF((RD[[#This Row],[33kV_Aux1_Im]]-AH92)*1000&lt;0,"",(RD[[#This Row],[33kV_Aux1_Im]]-AH92)*1000)</f>
        <v>209.99999999999997</v>
      </c>
      <c r="AN93" s="154">
        <f>IF((RD[[#This Row],[33kV_Aux1_Im]]-AH92)*1000&lt;0,"",(RD[[#This Row],[33kV_Aux1_Im]]-AH92)*1000)</f>
        <v>209.99999999999997</v>
      </c>
      <c r="AO93" s="61">
        <f>RD[[#This Row],[33kV_OG1_Energy (KWh)]]</f>
        <v>106000</v>
      </c>
      <c r="AP93" s="61">
        <f>IFERROR(RD[[#This Row],[220kV_TL_TVM Energy (KWh)]]-RD[[#This Row],[220kV_C&amp;R_PQM_Imp (KWh)2]],"")</f>
        <v>105550.00000000058</v>
      </c>
      <c r="AQ93" s="63">
        <f>IFERROR(RD[[#This Row],[33 kV Total Export (KWH)]]/RD[[#This Row],[220 KV Net Export (KWh)]]-1,"")</f>
        <v>4.2633822832724988E-3</v>
      </c>
      <c r="AR93" s="64">
        <f>IFERROR((RD[[#This Row],[Sunset Time (POA&lt;20 W/m2)]]-RD[[#This Row],[Sunrise Time (POA&gt;20 W/m2)]])*24,0)</f>
        <v>11.716666666666667</v>
      </c>
      <c r="AS93" s="65">
        <f>RD[[#This Row],[33kV_OG1_Energy (KWh)]]</f>
        <v>106000</v>
      </c>
      <c r="AT93" s="65">
        <f>IFERROR(RD[[#This Row],[ Export (33 kV)]]*(1-RD[[#This Row],[33 kV Line Loss (%)]]),RD[[#This Row],[ Export (33 kV)]])</f>
        <v>105548.08147797312</v>
      </c>
      <c r="AU93" s="277">
        <v>39.21</v>
      </c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>
        <v>0.34722222222222221</v>
      </c>
      <c r="G94" s="122">
        <v>0.7631944444444444</v>
      </c>
      <c r="H94" s="138">
        <v>3855</v>
      </c>
      <c r="I94" s="138">
        <v>3926.5</v>
      </c>
      <c r="J94" s="138">
        <v>5377.9</v>
      </c>
      <c r="K94" s="138">
        <v>5498.8</v>
      </c>
      <c r="L94" s="138">
        <v>1681.2</v>
      </c>
      <c r="M94" s="138">
        <v>2462.6</v>
      </c>
      <c r="N94" s="138">
        <v>4358</v>
      </c>
      <c r="O94" s="167"/>
      <c r="P94" s="167"/>
      <c r="Q94" s="58">
        <v>0.94869823666666675</v>
      </c>
      <c r="R94" s="58">
        <v>0.94666352666666631</v>
      </c>
      <c r="S94" s="58">
        <v>25.18</v>
      </c>
      <c r="T94" s="58">
        <v>25.71</v>
      </c>
      <c r="U94" s="58">
        <v>95.6</v>
      </c>
      <c r="V94" s="58">
        <v>0</v>
      </c>
      <c r="W94" s="58">
        <v>2.33</v>
      </c>
      <c r="X94" s="58">
        <v>5.3</v>
      </c>
      <c r="Y94" s="60">
        <f>SUM(RD[[#This Row],[IS1Inv1]:[IS3Inv1]])</f>
        <v>20339.400000000001</v>
      </c>
      <c r="Z94" s="60">
        <f>SUM(RD[[#This Row],[IS4Inv1]:[IS4Inv2]])</f>
        <v>6820.6</v>
      </c>
      <c r="AA94" s="60">
        <f>SUM(RD[[#This Row],[O2RE7]:[O2RE27]])</f>
        <v>27160</v>
      </c>
      <c r="AB94" s="153"/>
      <c r="AC94" s="153">
        <v>20034</v>
      </c>
      <c r="AD94" s="153"/>
      <c r="AE94" s="153">
        <v>12905.3</v>
      </c>
      <c r="AF94" s="153">
        <v>19692.218400000002</v>
      </c>
      <c r="AG94" s="153">
        <v>0.04</v>
      </c>
      <c r="AH94" s="153">
        <v>6.95</v>
      </c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27000</v>
      </c>
      <c r="AK94" s="154">
        <f>IF((RD[[#This Row],[220kV_TL_TVM_Ex]]-AE93)*1600&lt;=0,0,(RD[[#This Row],[220kV_TL_TVM_Ex]]-AE93)*1600)</f>
        <v>26079.999999998836</v>
      </c>
      <c r="AL94" s="154">
        <f>IF((RD[[#This Row],[220kV_C&amp;R_PQM_Ex]]-AF93)*1000&lt;=0,"",(RD[[#This Row],[220kV_C&amp;R_PQM_Ex]]-AF93)*1000)</f>
        <v>25765.400000000227</v>
      </c>
      <c r="AM94" s="154">
        <f>IF((RD[[#This Row],[33kV_Aux1_Im]]-AH93)*1000&lt;0,"",(RD[[#This Row],[33kV_Aux1_Im]]-AH93)*1000)</f>
        <v>209.99999999999997</v>
      </c>
      <c r="AN94" s="154">
        <f>IF((RD[[#This Row],[33kV_Aux1_Im]]-AH93)*1000&lt;0,"",(RD[[#This Row],[33kV_Aux1_Im]]-AH93)*1000)</f>
        <v>209.99999999999997</v>
      </c>
      <c r="AO94" s="61">
        <f>RD[[#This Row],[33kV_OG1_Energy (KWh)]]</f>
        <v>27000</v>
      </c>
      <c r="AP94" s="61">
        <f>IFERROR(RD[[#This Row],[220kV_TL_TVM Energy (KWh)]]-RD[[#This Row],[220kV_C&amp;R_PQM_Imp (KWh)2]],"")</f>
        <v>25869.999999998836</v>
      </c>
      <c r="AQ94" s="63">
        <f>IFERROR(RD[[#This Row],[33 kV Total Export (KWH)]]/RD[[#This Row],[220 KV Net Export (KWh)]]-1,"")</f>
        <v>4.3679938152346942E-2</v>
      </c>
      <c r="AR94" s="64">
        <f>IFERROR((RD[[#This Row],[Sunset Time (POA&lt;20 W/m2)]]-RD[[#This Row],[Sunrise Time (POA&gt;20 W/m2)]])*24,0)</f>
        <v>9.9833333333333325</v>
      </c>
      <c r="AS94" s="65">
        <f>RD[[#This Row],[33kV_OG1_Energy (KWh)]]</f>
        <v>27000</v>
      </c>
      <c r="AT94" s="65">
        <f>IFERROR(RD[[#This Row],[ Export (33 kV)]]*(1-RD[[#This Row],[33 kV Line Loss (%)]]),RD[[#This Row],[ Export (33 kV)]])</f>
        <v>25820.641669886634</v>
      </c>
      <c r="AU94" s="277">
        <v>39.21</v>
      </c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>
        <v>0.25208333333333333</v>
      </c>
      <c r="G95" s="122">
        <v>0.77847222222222223</v>
      </c>
      <c r="H95" s="138">
        <v>17531</v>
      </c>
      <c r="I95" s="138">
        <v>17670</v>
      </c>
      <c r="J95" s="138">
        <v>24042</v>
      </c>
      <c r="K95" s="138">
        <v>24689.200000000001</v>
      </c>
      <c r="L95" s="138">
        <v>24103.4</v>
      </c>
      <c r="M95" s="138">
        <v>19357</v>
      </c>
      <c r="N95" s="138">
        <v>19325.599999999999</v>
      </c>
      <c r="O95" s="167"/>
      <c r="P95" s="167"/>
      <c r="Q95" s="58">
        <v>4.18</v>
      </c>
      <c r="R95" s="58">
        <v>4.32</v>
      </c>
      <c r="S95" s="58">
        <v>29.35</v>
      </c>
      <c r="T95" s="58">
        <v>36.57</v>
      </c>
      <c r="U95" s="58">
        <v>73.125</v>
      </c>
      <c r="V95" s="58">
        <v>0</v>
      </c>
      <c r="W95" s="58">
        <v>3.1970000000000001</v>
      </c>
      <c r="X95" s="58">
        <v>8.59</v>
      </c>
      <c r="Y95" s="60">
        <f>SUM(RD[[#This Row],[IS1Inv1]:[IS3Inv1]])</f>
        <v>108035.6</v>
      </c>
      <c r="Z95" s="60">
        <f>SUM(RD[[#This Row],[IS4Inv1]:[IS4Inv2]])</f>
        <v>38682.6</v>
      </c>
      <c r="AA95" s="60">
        <f>SUM(RD[[#This Row],[O2RE7]:[O2RE27]])</f>
        <v>146718.20000000001</v>
      </c>
      <c r="AB95" s="153"/>
      <c r="AC95" s="153">
        <v>20179</v>
      </c>
      <c r="AD95" s="153"/>
      <c r="AE95" s="153">
        <v>12995.6</v>
      </c>
      <c r="AF95" s="153">
        <v>19836.411</v>
      </c>
      <c r="AG95" s="153">
        <v>0.04</v>
      </c>
      <c r="AH95" s="153">
        <v>7.27</v>
      </c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145000</v>
      </c>
      <c r="AK95" s="154">
        <f>IF((RD[[#This Row],[220kV_TL_TVM_Ex]]-AE94)*1600&lt;=0,0,(RD[[#This Row],[220kV_TL_TVM_Ex]]-AE94)*1600)</f>
        <v>144480.00000000175</v>
      </c>
      <c r="AL95" s="154">
        <f>IF((RD[[#This Row],[220kV_C&amp;R_PQM_Ex]]-AF94)*1000&lt;=0,"",(RD[[#This Row],[220kV_C&amp;R_PQM_Ex]]-AF94)*1000)</f>
        <v>144192.59999999849</v>
      </c>
      <c r="AM95" s="154">
        <f>IF((RD[[#This Row],[33kV_Aux1_Im]]-AH94)*1000&lt;0,"",(RD[[#This Row],[33kV_Aux1_Im]]-AH94)*1000)</f>
        <v>319.99999999999937</v>
      </c>
      <c r="AN95" s="154">
        <f>IF((RD[[#This Row],[33kV_Aux1_Im]]-AH94)*1000&lt;0,"",(RD[[#This Row],[33kV_Aux1_Im]]-AH94)*1000)</f>
        <v>319.99999999999937</v>
      </c>
      <c r="AO95" s="61">
        <f>RD[[#This Row],[33kV_OG1_Energy (KWh)]]</f>
        <v>145000</v>
      </c>
      <c r="AP95" s="61">
        <f>IFERROR(RD[[#This Row],[220kV_TL_TVM Energy (KWh)]]-RD[[#This Row],[220kV_C&amp;R_PQM_Imp (KWh)2]],"")</f>
        <v>144160.00000000175</v>
      </c>
      <c r="AQ95" s="63">
        <f>IFERROR(RD[[#This Row],[33 kV Total Export (KWH)]]/RD[[#This Row],[220 KV Net Export (KWh)]]-1,"")</f>
        <v>5.8268590454928493E-3</v>
      </c>
      <c r="AR95" s="64">
        <f>IFERROR((RD[[#This Row],[Sunset Time (POA&lt;20 W/m2)]]-RD[[#This Row],[Sunrise Time (POA&gt;20 W/m2)]])*24,0)</f>
        <v>12.633333333333333</v>
      </c>
      <c r="AS95" s="65">
        <f>RD[[#This Row],[33kV_OG1_Energy (KWh)]]</f>
        <v>145000</v>
      </c>
      <c r="AT95" s="65">
        <f>IFERROR(RD[[#This Row],[ Export (33 kV)]]*(1-RD[[#This Row],[33 kV Line Loss (%)]]),RD[[#This Row],[ Export (33 kV)]])</f>
        <v>144155.10543840352</v>
      </c>
      <c r="AU95" s="277">
        <v>39.21</v>
      </c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>
        <v>0.26458333333333334</v>
      </c>
      <c r="G96" s="122">
        <v>0.76388888888888884</v>
      </c>
      <c r="H96" s="138">
        <v>19422</v>
      </c>
      <c r="I96" s="138">
        <v>19525</v>
      </c>
      <c r="J96" s="138">
        <v>26673.200000000001</v>
      </c>
      <c r="K96" s="138">
        <v>27035</v>
      </c>
      <c r="L96" s="138">
        <v>27278.9</v>
      </c>
      <c r="M96" s="138">
        <v>21988.6</v>
      </c>
      <c r="N96" s="138">
        <v>21886</v>
      </c>
      <c r="O96" s="167"/>
      <c r="P96" s="167"/>
      <c r="Q96" s="58">
        <v>4.7489999999999997</v>
      </c>
      <c r="R96" s="58">
        <v>4.9455</v>
      </c>
      <c r="S96" s="58">
        <v>30.309000000000001</v>
      </c>
      <c r="T96" s="58">
        <v>37.622</v>
      </c>
      <c r="U96" s="58">
        <v>61.89</v>
      </c>
      <c r="V96" s="58">
        <v>0</v>
      </c>
      <c r="W96" s="58">
        <v>4.7416</v>
      </c>
      <c r="X96" s="58">
        <v>10.52</v>
      </c>
      <c r="Y96" s="60">
        <f>SUM(RD[[#This Row],[IS1Inv1]:[IS3Inv1]])</f>
        <v>119934.1</v>
      </c>
      <c r="Z96" s="60">
        <f>SUM(RD[[#This Row],[IS4Inv1]:[IS4Inv2]])</f>
        <v>43874.6</v>
      </c>
      <c r="AA96" s="60">
        <f>SUM(RD[[#This Row],[O2RE7]:[O2RE27]])</f>
        <v>163808.70000000001</v>
      </c>
      <c r="AB96" s="153"/>
      <c r="AC96" s="153">
        <v>20342</v>
      </c>
      <c r="AD96" s="153"/>
      <c r="AE96" s="153">
        <v>13096.5</v>
      </c>
      <c r="AF96" s="153">
        <v>19997.464</v>
      </c>
      <c r="AG96" s="153">
        <v>0.04</v>
      </c>
      <c r="AH96" s="153">
        <v>7.58</v>
      </c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163000</v>
      </c>
      <c r="AK96" s="154">
        <f>IF((RD[[#This Row],[220kV_TL_TVM_Ex]]-AE95)*1600&lt;=0,0,(RD[[#This Row],[220kV_TL_TVM_Ex]]-AE95)*1600)</f>
        <v>161439.99999999942</v>
      </c>
      <c r="AL96" s="154">
        <f>IF((RD[[#This Row],[220kV_C&amp;R_PQM_Ex]]-AF95)*1000&lt;=0,"",(RD[[#This Row],[220kV_C&amp;R_PQM_Ex]]-AF95)*1000)</f>
        <v>161052.99999999988</v>
      </c>
      <c r="AM96" s="154">
        <f>IF((RD[[#This Row],[33kV_Aux1_Im]]-AH95)*1000&lt;0,"",(RD[[#This Row],[33kV_Aux1_Im]]-AH95)*1000)</f>
        <v>310.00000000000051</v>
      </c>
      <c r="AN96" s="154">
        <f>IF((RD[[#This Row],[33kV_Aux1_Im]]-AH95)*1000&lt;0,"",(RD[[#This Row],[33kV_Aux1_Im]]-AH95)*1000)</f>
        <v>310.00000000000051</v>
      </c>
      <c r="AO96" s="61">
        <f>RD[[#This Row],[33kV_OG1_Energy (KWh)]]</f>
        <v>163000</v>
      </c>
      <c r="AP96" s="61">
        <f>IFERROR(RD[[#This Row],[220kV_TL_TVM Energy (KWh)]]-RD[[#This Row],[220kV_C&amp;R_PQM_Imp (KWh)2]],"")</f>
        <v>161129.99999999942</v>
      </c>
      <c r="AQ96" s="63">
        <f>IFERROR(RD[[#This Row],[33 kV Total Export (KWH)]]/RD[[#This Row],[220 KV Net Export (KWh)]]-1,"")</f>
        <v>1.1605535902690978E-2</v>
      </c>
      <c r="AR96" s="64">
        <f>IFERROR((RD[[#This Row],[Sunset Time (POA&lt;20 W/m2)]]-RD[[#This Row],[Sunrise Time (POA&gt;20 W/m2)]])*24,0)</f>
        <v>11.983333333333333</v>
      </c>
      <c r="AS96" s="65">
        <f>RD[[#This Row],[33kV_OG1_Energy (KWh)]]</f>
        <v>163000</v>
      </c>
      <c r="AT96" s="65">
        <f>IFERROR(RD[[#This Row],[ Export (33 kV)]]*(1-RD[[#This Row],[33 kV Line Loss (%)]]),RD[[#This Row],[ Export (33 kV)]])</f>
        <v>161108.29764786136</v>
      </c>
      <c r="AU96" s="277">
        <v>39.21</v>
      </c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>
        <v>0.27500000000000002</v>
      </c>
      <c r="G97" s="122">
        <v>0.75069444444444444</v>
      </c>
      <c r="H97" s="138">
        <v>3396.8</v>
      </c>
      <c r="I97" s="138">
        <v>3416.4</v>
      </c>
      <c r="J97" s="138">
        <v>4476.3999999999996</v>
      </c>
      <c r="K97" s="138">
        <v>4517</v>
      </c>
      <c r="L97" s="138">
        <v>4592.8</v>
      </c>
      <c r="M97" s="138">
        <v>3911.8</v>
      </c>
      <c r="N97" s="138">
        <v>3791.2</v>
      </c>
      <c r="O97" s="167"/>
      <c r="P97" s="167"/>
      <c r="Q97" s="58">
        <v>1.4</v>
      </c>
      <c r="R97" s="58">
        <v>1.4059999999999999</v>
      </c>
      <c r="S97" s="58">
        <v>25.088799999999999</v>
      </c>
      <c r="T97" s="58">
        <v>26.024000000000001</v>
      </c>
      <c r="U97" s="58">
        <v>89.577699999999993</v>
      </c>
      <c r="V97" s="58">
        <v>0</v>
      </c>
      <c r="W97" s="58">
        <v>2.8610000000000002</v>
      </c>
      <c r="X97" s="58">
        <v>8.32</v>
      </c>
      <c r="Y97" s="60">
        <f>SUM(RD[[#This Row],[IS1Inv1]:[IS3Inv1]])</f>
        <v>20399.400000000001</v>
      </c>
      <c r="Z97" s="60">
        <f>SUM(RD[[#This Row],[IS4Inv1]:[IS4Inv2]])</f>
        <v>7703</v>
      </c>
      <c r="AA97" s="60">
        <f>SUM(RD[[#This Row],[O2RE7]:[O2RE27]])</f>
        <v>28102.400000000001</v>
      </c>
      <c r="AB97" s="153"/>
      <c r="AC97" s="153">
        <v>20370</v>
      </c>
      <c r="AD97" s="153"/>
      <c r="AE97" s="153">
        <v>13113.6</v>
      </c>
      <c r="AF97" s="153">
        <v>20023.987249999998</v>
      </c>
      <c r="AG97" s="153">
        <v>0.04</v>
      </c>
      <c r="AH97" s="153">
        <v>7.84</v>
      </c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28000</v>
      </c>
      <c r="AK97" s="154">
        <f>IF((RD[[#This Row],[220kV_TL_TVM_Ex]]-AE96)*1600&lt;=0,0,(RD[[#This Row],[220kV_TL_TVM_Ex]]-AE96)*1600)</f>
        <v>27360.000000000582</v>
      </c>
      <c r="AL97" s="154">
        <f>IF((RD[[#This Row],[220kV_C&amp;R_PQM_Ex]]-AF96)*1000&lt;=0,"",(RD[[#This Row],[220kV_C&amp;R_PQM_Ex]]-AF96)*1000)</f>
        <v>26523.24999999837</v>
      </c>
      <c r="AM97" s="154">
        <f>IF((RD[[#This Row],[33kV_Aux1_Im]]-AH96)*1000&lt;0,"",(RD[[#This Row],[33kV_Aux1_Im]]-AH96)*1000)</f>
        <v>259.99999999999977</v>
      </c>
      <c r="AN97" s="154">
        <f>IF((RD[[#This Row],[33kV_Aux1_Im]]-AH96)*1000&lt;0,"",(RD[[#This Row],[33kV_Aux1_Im]]-AH96)*1000)</f>
        <v>259.99999999999977</v>
      </c>
      <c r="AO97" s="61">
        <f>RD[[#This Row],[33kV_OG1_Energy (KWh)]]</f>
        <v>28000</v>
      </c>
      <c r="AP97" s="61">
        <f>IFERROR(RD[[#This Row],[220kV_TL_TVM Energy (KWh)]]-RD[[#This Row],[220kV_C&amp;R_PQM_Imp (KWh)2]],"")</f>
        <v>27100.000000000582</v>
      </c>
      <c r="AQ97" s="63">
        <f>IFERROR(RD[[#This Row],[33 kV Total Export (KWH)]]/RD[[#This Row],[220 KV Net Export (KWh)]]-1,"")</f>
        <v>3.3210332103298823E-2</v>
      </c>
      <c r="AR97" s="64">
        <f>IFERROR((RD[[#This Row],[Sunset Time (POA&lt;20 W/m2)]]-RD[[#This Row],[Sunrise Time (POA&gt;20 W/m2)]])*24,0)</f>
        <v>11.416666666666666</v>
      </c>
      <c r="AS97" s="65">
        <f>RD[[#This Row],[33kV_OG1_Energy (KWh)]]</f>
        <v>28000</v>
      </c>
      <c r="AT97" s="65">
        <f>IFERROR(RD[[#This Row],[ Export (33 kV)]]*(1-RD[[#This Row],[33 kV Line Loss (%)]]),RD[[#This Row],[ Export (33 kV)]])</f>
        <v>27070.110701107635</v>
      </c>
      <c r="AU97" s="277">
        <v>39.21</v>
      </c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>
        <v>0.26111111111111113</v>
      </c>
      <c r="G98" s="122">
        <v>0.73541666666666672</v>
      </c>
      <c r="H98" s="138">
        <v>7663.5</v>
      </c>
      <c r="I98" s="138">
        <v>7720.4</v>
      </c>
      <c r="J98" s="138">
        <v>10722.5</v>
      </c>
      <c r="K98" s="138">
        <v>10861</v>
      </c>
      <c r="L98" s="138">
        <v>10851.6</v>
      </c>
      <c r="M98" s="138">
        <v>8506.1</v>
      </c>
      <c r="N98" s="138">
        <v>8401</v>
      </c>
      <c r="O98" s="167"/>
      <c r="P98" s="167"/>
      <c r="Q98" s="58">
        <v>1.72</v>
      </c>
      <c r="R98" s="58">
        <v>1.73</v>
      </c>
      <c r="S98" s="58">
        <v>25.98</v>
      </c>
      <c r="T98" s="58">
        <v>28.19</v>
      </c>
      <c r="U98" s="58">
        <v>85.42</v>
      </c>
      <c r="V98" s="58">
        <v>0</v>
      </c>
      <c r="W98" s="58">
        <v>2.83</v>
      </c>
      <c r="X98" s="58">
        <v>7.2</v>
      </c>
      <c r="Y98" s="60">
        <f>SUM(RD[[#This Row],[IS1Inv1]:[IS3Inv1]])</f>
        <v>47819</v>
      </c>
      <c r="Z98" s="60">
        <f>SUM(RD[[#This Row],[IS4Inv1]:[IS4Inv2]])</f>
        <v>16907.099999999999</v>
      </c>
      <c r="AA98" s="60">
        <f>SUM(RD[[#This Row],[O2RE7]:[O2RE27]])</f>
        <v>64726.1</v>
      </c>
      <c r="AB98" s="153"/>
      <c r="AC98" s="153">
        <v>20434</v>
      </c>
      <c r="AD98" s="153"/>
      <c r="AE98" s="153">
        <v>13153.2</v>
      </c>
      <c r="AF98" s="153">
        <v>20087.141</v>
      </c>
      <c r="AG98" s="153">
        <v>0.04</v>
      </c>
      <c r="AH98" s="153">
        <v>8.07</v>
      </c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64000</v>
      </c>
      <c r="AK98" s="154">
        <f>IF((RD[[#This Row],[220kV_TL_TVM_Ex]]-AE97)*1600&lt;=0,0,(RD[[#This Row],[220kV_TL_TVM_Ex]]-AE97)*1600)</f>
        <v>63360.000000000582</v>
      </c>
      <c r="AL98" s="154">
        <f>IF((RD[[#This Row],[220kV_C&amp;R_PQM_Ex]]-AF97)*1000&lt;=0,"",(RD[[#This Row],[220kV_C&amp;R_PQM_Ex]]-AF97)*1000)</f>
        <v>63153.75000000131</v>
      </c>
      <c r="AM98" s="154">
        <f>IF((RD[[#This Row],[33kV_Aux1_Im]]-AH97)*1000&lt;0,"",(RD[[#This Row],[33kV_Aux1_Im]]-AH97)*1000)</f>
        <v>230.00000000000043</v>
      </c>
      <c r="AN98" s="154">
        <f>IF((RD[[#This Row],[33kV_Aux1_Im]]-AH97)*1000&lt;0,"",(RD[[#This Row],[33kV_Aux1_Im]]-AH97)*1000)</f>
        <v>230.00000000000043</v>
      </c>
      <c r="AO98" s="61">
        <f>RD[[#This Row],[33kV_OG1_Energy (KWh)]]</f>
        <v>64000</v>
      </c>
      <c r="AP98" s="61">
        <f>IFERROR(RD[[#This Row],[220kV_TL_TVM Energy (KWh)]]-RD[[#This Row],[220kV_C&amp;R_PQM_Imp (KWh)2]],"")</f>
        <v>63130.000000000582</v>
      </c>
      <c r="AQ98" s="63">
        <f>IFERROR(RD[[#This Row],[33 kV Total Export (KWH)]]/RD[[#This Row],[220 KV Net Export (KWh)]]-1,"")</f>
        <v>1.3781086646592833E-2</v>
      </c>
      <c r="AR98" s="64">
        <f>IFERROR((RD[[#This Row],[Sunset Time (POA&lt;20 W/m2)]]-RD[[#This Row],[Sunrise Time (POA&gt;20 W/m2)]])*24,0)</f>
        <v>11.383333333333335</v>
      </c>
      <c r="AS98" s="65">
        <f>RD[[#This Row],[33kV_OG1_Energy (KWh)]]</f>
        <v>64000</v>
      </c>
      <c r="AT98" s="65">
        <f>IFERROR(RD[[#This Row],[ Export (33 kV)]]*(1-RD[[#This Row],[33 kV Line Loss (%)]]),RD[[#This Row],[ Export (33 kV)]])</f>
        <v>63118.010454618059</v>
      </c>
      <c r="AU98" s="277">
        <v>39.21</v>
      </c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>
        <v>0.2638888888888889</v>
      </c>
      <c r="G99" s="122">
        <v>0.75555555555555554</v>
      </c>
      <c r="H99" s="138">
        <v>6341.3</v>
      </c>
      <c r="I99" s="138">
        <v>6426.7</v>
      </c>
      <c r="J99" s="138">
        <v>8817</v>
      </c>
      <c r="K99" s="138">
        <v>8960</v>
      </c>
      <c r="L99" s="138">
        <v>9133</v>
      </c>
      <c r="M99" s="138">
        <v>7275</v>
      </c>
      <c r="N99" s="138">
        <v>6626.8</v>
      </c>
      <c r="O99" s="167"/>
      <c r="P99" s="167"/>
      <c r="Q99" s="58">
        <v>1.7470000000000001</v>
      </c>
      <c r="R99" s="58">
        <v>1.7490000000000001</v>
      </c>
      <c r="S99" s="58">
        <v>26.297000000000001</v>
      </c>
      <c r="T99" s="58">
        <v>28.05</v>
      </c>
      <c r="U99" s="58">
        <v>86.71</v>
      </c>
      <c r="V99" s="58">
        <v>0</v>
      </c>
      <c r="W99" s="58">
        <v>3.21</v>
      </c>
      <c r="X99" s="58">
        <v>7.29</v>
      </c>
      <c r="Y99" s="60">
        <f>SUM(RD[[#This Row],[IS1Inv1]:[IS3Inv1]])</f>
        <v>39678</v>
      </c>
      <c r="Z99" s="60">
        <f>SUM(RD[[#This Row],[IS4Inv1]:[IS4Inv2]])</f>
        <v>13901.8</v>
      </c>
      <c r="AA99" s="60">
        <f>SUM(RD[[#This Row],[O2RE7]:[O2RE27]])</f>
        <v>53579.8</v>
      </c>
      <c r="AB99" s="153"/>
      <c r="AC99" s="153">
        <v>20487</v>
      </c>
      <c r="AD99" s="153"/>
      <c r="AE99" s="153">
        <v>13186.1</v>
      </c>
      <c r="AF99" s="153">
        <v>20139.067999999999</v>
      </c>
      <c r="AG99" s="153">
        <v>0.04</v>
      </c>
      <c r="AH99" s="153">
        <v>8.31</v>
      </c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53000</v>
      </c>
      <c r="AK99" s="154">
        <f>IF((RD[[#This Row],[220kV_TL_TVM_Ex]]-AE98)*1600&lt;=0,0,(RD[[#This Row],[220kV_TL_TVM_Ex]]-AE98)*1600)</f>
        <v>52639.999999999418</v>
      </c>
      <c r="AL99" s="154">
        <f>IF((RD[[#This Row],[220kV_C&amp;R_PQM_Ex]]-AF98)*1000&lt;=0,"",(RD[[#This Row],[220kV_C&amp;R_PQM_Ex]]-AF98)*1000)</f>
        <v>51926.99999999968</v>
      </c>
      <c r="AM99" s="154">
        <f>IF((RD[[#This Row],[33kV_Aux1_Im]]-AH98)*1000&lt;0,"",(RD[[#This Row],[33kV_Aux1_Im]]-AH98)*1000)</f>
        <v>240.00000000000023</v>
      </c>
      <c r="AN99" s="154">
        <f>IF((RD[[#This Row],[33kV_Aux1_Im]]-AH98)*1000&lt;0,"",(RD[[#This Row],[33kV_Aux1_Im]]-AH98)*1000)</f>
        <v>240.00000000000023</v>
      </c>
      <c r="AO99" s="61">
        <f>RD[[#This Row],[33kV_OG1_Energy (KWh)]]</f>
        <v>53000</v>
      </c>
      <c r="AP99" s="61">
        <f>IFERROR(RD[[#This Row],[220kV_TL_TVM Energy (KWh)]]-RD[[#This Row],[220kV_C&amp;R_PQM_Imp (KWh)2]],"")</f>
        <v>52399.999999999418</v>
      </c>
      <c r="AQ99" s="63">
        <f>IFERROR(RD[[#This Row],[33 kV Total Export (KWH)]]/RD[[#This Row],[220 KV Net Export (KWh)]]-1,"")</f>
        <v>1.145038167940049E-2</v>
      </c>
      <c r="AR99" s="64">
        <f>IFERROR((RD[[#This Row],[Sunset Time (POA&lt;20 W/m2)]]-RD[[#This Row],[Sunrise Time (POA&gt;20 W/m2)]])*24,0)</f>
        <v>11.799999999999999</v>
      </c>
      <c r="AS99" s="65">
        <f>RD[[#This Row],[33kV_OG1_Energy (KWh)]]</f>
        <v>53000</v>
      </c>
      <c r="AT99" s="65">
        <f>IFERROR(RD[[#This Row],[ Export (33 kV)]]*(1-RD[[#This Row],[33 kV Line Loss (%)]]),RD[[#This Row],[ Export (33 kV)]])</f>
        <v>52393.129770991771</v>
      </c>
      <c r="AU99" s="277">
        <v>39.21</v>
      </c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>
        <v>0.25486111111111109</v>
      </c>
      <c r="G100" s="122">
        <v>0.7319444444444444</v>
      </c>
      <c r="H100" s="138">
        <v>12041.9</v>
      </c>
      <c r="I100" s="138">
        <v>12107.4</v>
      </c>
      <c r="J100" s="138">
        <v>16149.3</v>
      </c>
      <c r="K100" s="138">
        <v>16346.6</v>
      </c>
      <c r="L100" s="138">
        <v>16918.2</v>
      </c>
      <c r="M100" s="138">
        <v>13360.7</v>
      </c>
      <c r="N100" s="138">
        <v>13186</v>
      </c>
      <c r="O100" s="167"/>
      <c r="P100" s="167"/>
      <c r="Q100" s="58">
        <v>2.9289999999999998</v>
      </c>
      <c r="R100" s="58">
        <v>2.9550000000000001</v>
      </c>
      <c r="S100" s="58">
        <v>28.277999999999999</v>
      </c>
      <c r="T100" s="58">
        <v>33.409999999999997</v>
      </c>
      <c r="U100" s="58">
        <v>76.626999999999995</v>
      </c>
      <c r="V100" s="58">
        <v>0</v>
      </c>
      <c r="W100" s="58">
        <v>4.26</v>
      </c>
      <c r="X100" s="58">
        <v>12.1</v>
      </c>
      <c r="Y100" s="60">
        <f>SUM(RD[[#This Row],[IS1Inv1]:[IS3Inv1]])</f>
        <v>73563.399999999994</v>
      </c>
      <c r="Z100" s="60">
        <f>SUM(RD[[#This Row],[IS4Inv1]:[IS4Inv2]])</f>
        <v>26546.7</v>
      </c>
      <c r="AA100" s="60">
        <f>SUM(RD[[#This Row],[O2RE7]:[O2RE27]])</f>
        <v>100110.09999999999</v>
      </c>
      <c r="AB100" s="153"/>
      <c r="AC100" s="153">
        <v>20587</v>
      </c>
      <c r="AD100" s="153"/>
      <c r="AE100" s="153">
        <v>13247.7</v>
      </c>
      <c r="AF100" s="153">
        <v>20236.63</v>
      </c>
      <c r="AG100" s="153">
        <v>0.04</v>
      </c>
      <c r="AH100" s="153">
        <v>8.57</v>
      </c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100000</v>
      </c>
      <c r="AK100" s="154">
        <f>IF((RD[[#This Row],[220kV_TL_TVM_Ex]]-AE99)*1600&lt;=0,0,(RD[[#This Row],[220kV_TL_TVM_Ex]]-AE99)*1600)</f>
        <v>98560.000000000582</v>
      </c>
      <c r="AL100" s="154">
        <f>IF((RD[[#This Row],[220kV_C&amp;R_PQM_Ex]]-AF99)*1000&lt;=0,"",(RD[[#This Row],[220kV_C&amp;R_PQM_Ex]]-AF99)*1000)</f>
        <v>97562.000000001717</v>
      </c>
      <c r="AM100" s="154">
        <f>IF((RD[[#This Row],[33kV_Aux1_Im]]-AH99)*1000&lt;0,"",(RD[[#This Row],[33kV_Aux1_Im]]-AH99)*1000)</f>
        <v>259.99999999999977</v>
      </c>
      <c r="AN100" s="154">
        <f>IF((RD[[#This Row],[33kV_Aux1_Im]]-AH99)*1000&lt;0,"",(RD[[#This Row],[33kV_Aux1_Im]]-AH99)*1000)</f>
        <v>259.99999999999977</v>
      </c>
      <c r="AO100" s="61">
        <f>RD[[#This Row],[33kV_OG1_Energy (KWh)]]</f>
        <v>100000</v>
      </c>
      <c r="AP100" s="61">
        <f>IFERROR(RD[[#This Row],[220kV_TL_TVM Energy (KWh)]]-RD[[#This Row],[220kV_C&amp;R_PQM_Imp (KWh)2]],"")</f>
        <v>98300.000000000582</v>
      </c>
      <c r="AQ100" s="63">
        <f>IFERROR(RD[[#This Row],[33 kV Total Export (KWH)]]/RD[[#This Row],[220 KV Net Export (KWh)]]-1,"")</f>
        <v>1.7293997965405872E-2</v>
      </c>
      <c r="AR100" s="64">
        <f>IFERROR((RD[[#This Row],[Sunset Time (POA&lt;20 W/m2)]]-RD[[#This Row],[Sunrise Time (POA&gt;20 W/m2)]])*24,0)</f>
        <v>11.45</v>
      </c>
      <c r="AS100" s="65">
        <f>RD[[#This Row],[33kV_OG1_Energy (KWh)]]</f>
        <v>100000</v>
      </c>
      <c r="AT100" s="65">
        <f>IFERROR(RD[[#This Row],[ Export (33 kV)]]*(1-RD[[#This Row],[33 kV Line Loss (%)]]),RD[[#This Row],[ Export (33 kV)]])</f>
        <v>98270.600203459413</v>
      </c>
      <c r="AU100" s="277">
        <v>39.21</v>
      </c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>
        <v>0.25763888888888886</v>
      </c>
      <c r="G101" s="122">
        <v>0.77152777777777781</v>
      </c>
      <c r="H101" s="138">
        <v>17183.599999999999</v>
      </c>
      <c r="I101" s="138">
        <v>17231.7</v>
      </c>
      <c r="J101" s="138">
        <v>23732.6</v>
      </c>
      <c r="K101" s="138">
        <v>23943.1</v>
      </c>
      <c r="L101" s="138">
        <v>23990.2</v>
      </c>
      <c r="M101" s="138">
        <v>19032</v>
      </c>
      <c r="N101" s="138">
        <v>18697.5</v>
      </c>
      <c r="O101" s="167"/>
      <c r="P101" s="167"/>
      <c r="Q101" s="58">
        <v>3.92</v>
      </c>
      <c r="R101" s="58">
        <v>3.99</v>
      </c>
      <c r="S101" s="58">
        <v>29.07</v>
      </c>
      <c r="T101" s="58">
        <v>35.270000000000003</v>
      </c>
      <c r="U101" s="58">
        <v>72.930000000000007</v>
      </c>
      <c r="V101" s="58">
        <v>0</v>
      </c>
      <c r="W101" s="58">
        <v>3.9</v>
      </c>
      <c r="X101" s="58">
        <v>8.73</v>
      </c>
      <c r="Y101" s="60">
        <f>SUM(RD[[#This Row],[IS1Inv1]:[IS3Inv1]])</f>
        <v>106081.2</v>
      </c>
      <c r="Z101" s="60">
        <f>SUM(RD[[#This Row],[IS4Inv1]:[IS4Inv2]])</f>
        <v>37729.5</v>
      </c>
      <c r="AA101" s="60">
        <f>SUM(RD[[#This Row],[O2RE7]:[O2RE27]])</f>
        <v>143810.70000000001</v>
      </c>
      <c r="AB101" s="153"/>
      <c r="AC101" s="153">
        <v>20729</v>
      </c>
      <c r="AD101" s="153"/>
      <c r="AE101" s="153">
        <v>13336.2</v>
      </c>
      <c r="AF101" s="153">
        <v>20378.059000000001</v>
      </c>
      <c r="AG101" s="153">
        <v>0.04</v>
      </c>
      <c r="AH101" s="153">
        <v>8.85</v>
      </c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142000</v>
      </c>
      <c r="AK101" s="154">
        <f>IF((RD[[#This Row],[220kV_TL_TVM_Ex]]-AE100)*1600&lt;=0,0,(RD[[#This Row],[220kV_TL_TVM_Ex]]-AE100)*1600)</f>
        <v>141600</v>
      </c>
      <c r="AL101" s="154">
        <f>IF((RD[[#This Row],[220kV_C&amp;R_PQM_Ex]]-AF100)*1000&lt;=0,"",(RD[[#This Row],[220kV_C&amp;R_PQM_Ex]]-AF100)*1000)</f>
        <v>141429.00000000009</v>
      </c>
      <c r="AM101" s="154">
        <f>IF((RD[[#This Row],[33kV_Aux1_Im]]-AH100)*1000&lt;0,"",(RD[[#This Row],[33kV_Aux1_Im]]-AH100)*1000)</f>
        <v>279.99999999999937</v>
      </c>
      <c r="AN101" s="154">
        <f>IF((RD[[#This Row],[33kV_Aux1_Im]]-AH100)*1000&lt;0,"",(RD[[#This Row],[33kV_Aux1_Im]]-AH100)*1000)</f>
        <v>279.99999999999937</v>
      </c>
      <c r="AO101" s="61">
        <f>RD[[#This Row],[33kV_OG1_Energy (KWh)]]</f>
        <v>142000</v>
      </c>
      <c r="AP101" s="61">
        <f>IFERROR(RD[[#This Row],[220kV_TL_TVM Energy (KWh)]]-RD[[#This Row],[220kV_C&amp;R_PQM_Imp (KWh)2]],"")</f>
        <v>141320</v>
      </c>
      <c r="AQ101" s="63">
        <f>IFERROR(RD[[#This Row],[33 kV Total Export (KWH)]]/RD[[#This Row],[220 KV Net Export (KWh)]]-1,"")</f>
        <v>4.8117746957259122E-3</v>
      </c>
      <c r="AR101" s="64">
        <f>IFERROR((RD[[#This Row],[Sunset Time (POA&lt;20 W/m2)]]-RD[[#This Row],[Sunrise Time (POA&gt;20 W/m2)]])*24,0)</f>
        <v>12.333333333333336</v>
      </c>
      <c r="AS101" s="65">
        <f>RD[[#This Row],[33kV_OG1_Energy (KWh)]]</f>
        <v>142000</v>
      </c>
      <c r="AT101" s="65">
        <f>IFERROR(RD[[#This Row],[ Export (33 kV)]]*(1-RD[[#This Row],[33 kV Line Loss (%)]]),RD[[#This Row],[ Export (33 kV)]])</f>
        <v>141316.72799320691</v>
      </c>
      <c r="AU101" s="277">
        <v>39.21</v>
      </c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>
        <v>0.26250000000000001</v>
      </c>
      <c r="G102" s="122">
        <v>0.74652777777777779</v>
      </c>
      <c r="H102" s="138">
        <v>11838</v>
      </c>
      <c r="I102" s="138">
        <v>11956.5</v>
      </c>
      <c r="J102" s="138">
        <v>16551.2</v>
      </c>
      <c r="K102" s="138">
        <v>16790.400000000001</v>
      </c>
      <c r="L102" s="138">
        <v>16926.900000000001</v>
      </c>
      <c r="M102" s="138">
        <v>13121.7</v>
      </c>
      <c r="N102" s="138">
        <v>12972.4</v>
      </c>
      <c r="O102" s="167"/>
      <c r="P102" s="167"/>
      <c r="Q102" s="58">
        <v>2.71</v>
      </c>
      <c r="R102" s="58">
        <v>2.74</v>
      </c>
      <c r="S102" s="58">
        <v>28.22</v>
      </c>
      <c r="T102" s="58">
        <v>32.409999999999997</v>
      </c>
      <c r="U102" s="58">
        <v>76</v>
      </c>
      <c r="V102" s="58">
        <v>0</v>
      </c>
      <c r="W102" s="58">
        <v>3.62</v>
      </c>
      <c r="X102" s="58">
        <v>11.91</v>
      </c>
      <c r="Y102" s="60">
        <f>SUM(RD[[#This Row],[IS1Inv1]:[IS3Inv1]])</f>
        <v>74063</v>
      </c>
      <c r="Z102" s="60">
        <f>SUM(RD[[#This Row],[IS4Inv1]:[IS4Inv2]])</f>
        <v>26094.1</v>
      </c>
      <c r="AA102" s="60">
        <f>SUM(RD[[#This Row],[O2RE7]:[O2RE27]])</f>
        <v>100157.1</v>
      </c>
      <c r="AB102" s="153"/>
      <c r="AC102" s="153">
        <v>20829</v>
      </c>
      <c r="AD102" s="153"/>
      <c r="AE102" s="153">
        <v>13397.8</v>
      </c>
      <c r="AF102" s="153">
        <v>20476.162</v>
      </c>
      <c r="AG102" s="153">
        <v>0.04</v>
      </c>
      <c r="AH102" s="153">
        <v>9.15</v>
      </c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100000</v>
      </c>
      <c r="AK102" s="154">
        <f>IF((RD[[#This Row],[220kV_TL_TVM_Ex]]-AE101)*1600&lt;=0,0,(RD[[#This Row],[220kV_TL_TVM_Ex]]-AE101)*1600)</f>
        <v>98559.999999997672</v>
      </c>
      <c r="AL102" s="154">
        <f>IF((RD[[#This Row],[220kV_C&amp;R_PQM_Ex]]-AF101)*1000&lt;=0,"",(RD[[#This Row],[220kV_C&amp;R_PQM_Ex]]-AF101)*1000)</f>
        <v>98102.999999999156</v>
      </c>
      <c r="AM102" s="154">
        <f>IF((RD[[#This Row],[33kV_Aux1_Im]]-AH101)*1000&lt;0,"",(RD[[#This Row],[33kV_Aux1_Im]]-AH101)*1000)</f>
        <v>300.00000000000068</v>
      </c>
      <c r="AN102" s="154">
        <f>IF((RD[[#This Row],[33kV_Aux1_Im]]-AH101)*1000&lt;0,"",(RD[[#This Row],[33kV_Aux1_Im]]-AH101)*1000)</f>
        <v>300.00000000000068</v>
      </c>
      <c r="AO102" s="61">
        <f>RD[[#This Row],[33kV_OG1_Energy (KWh)]]</f>
        <v>100000</v>
      </c>
      <c r="AP102" s="61">
        <f>IFERROR(RD[[#This Row],[220kV_TL_TVM Energy (KWh)]]-RD[[#This Row],[220kV_C&amp;R_PQM_Imp (KWh)2]],"")</f>
        <v>98259.999999997672</v>
      </c>
      <c r="AQ102" s="63">
        <f>IFERROR(RD[[#This Row],[33 kV Total Export (KWH)]]/RD[[#This Row],[220 KV Net Export (KWh)]]-1,"")</f>
        <v>1.7708121310832103E-2</v>
      </c>
      <c r="AR102" s="64">
        <f>IFERROR((RD[[#This Row],[Sunset Time (POA&lt;20 W/m2)]]-RD[[#This Row],[Sunrise Time (POA&gt;20 W/m2)]])*24,0)</f>
        <v>11.616666666666667</v>
      </c>
      <c r="AS102" s="65">
        <f>RD[[#This Row],[33kV_OG1_Energy (KWh)]]</f>
        <v>100000</v>
      </c>
      <c r="AT102" s="65">
        <f>IFERROR(RD[[#This Row],[ Export (33 kV)]]*(1-RD[[#This Row],[33 kV Line Loss (%)]]),RD[[#This Row],[ Export (33 kV)]])</f>
        <v>98229.187868916793</v>
      </c>
      <c r="AU102" s="277">
        <v>39.21</v>
      </c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>
        <v>0.26944444444444443</v>
      </c>
      <c r="G103" s="122">
        <v>0.75</v>
      </c>
      <c r="H103" s="138">
        <v>12838.9</v>
      </c>
      <c r="I103" s="138">
        <v>12924.6</v>
      </c>
      <c r="J103" s="138">
        <v>17948.400000000001</v>
      </c>
      <c r="K103" s="138">
        <v>18114.900000000001</v>
      </c>
      <c r="L103" s="138">
        <v>18066</v>
      </c>
      <c r="M103" s="138">
        <v>14139</v>
      </c>
      <c r="N103" s="138">
        <v>13889.7</v>
      </c>
      <c r="O103" s="167"/>
      <c r="P103" s="167"/>
      <c r="Q103" s="58">
        <v>2.95</v>
      </c>
      <c r="R103" s="58">
        <v>3</v>
      </c>
      <c r="S103" s="58">
        <v>28.56</v>
      </c>
      <c r="T103" s="58">
        <v>33.659999999999997</v>
      </c>
      <c r="U103" s="58">
        <v>73.86</v>
      </c>
      <c r="V103" s="58">
        <v>0</v>
      </c>
      <c r="W103" s="58">
        <v>3.87</v>
      </c>
      <c r="X103" s="58">
        <v>9.07</v>
      </c>
      <c r="Y103" s="60">
        <f>SUM(RD[[#This Row],[IS1Inv1]:[IS3Inv1]])</f>
        <v>79892.800000000003</v>
      </c>
      <c r="Z103" s="60">
        <f>SUM(RD[[#This Row],[IS4Inv1]:[IS4Inv2]])</f>
        <v>28028.7</v>
      </c>
      <c r="AA103" s="60">
        <f>SUM(RD[[#This Row],[O2RE7]:[O2RE27]])</f>
        <v>107921.5</v>
      </c>
      <c r="AB103" s="153"/>
      <c r="AC103" s="153">
        <v>20936</v>
      </c>
      <c r="AD103" s="153"/>
      <c r="AE103" s="153">
        <v>13464.3</v>
      </c>
      <c r="AF103" s="153">
        <v>20581.954000000002</v>
      </c>
      <c r="AG103" s="153">
        <v>0.04</v>
      </c>
      <c r="AH103" s="153">
        <v>9.42</v>
      </c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107000</v>
      </c>
      <c r="AK103" s="154">
        <f>IF((RD[[#This Row],[220kV_TL_TVM_Ex]]-AE102)*1600&lt;=0,0,(RD[[#This Row],[220kV_TL_TVM_Ex]]-AE102)*1600)</f>
        <v>106400</v>
      </c>
      <c r="AL103" s="154">
        <f>IF((RD[[#This Row],[220kV_C&amp;R_PQM_Ex]]-AF102)*1000&lt;=0,"",(RD[[#This Row],[220kV_C&amp;R_PQM_Ex]]-AF102)*1000)</f>
        <v>105792.00000000128</v>
      </c>
      <c r="AM103" s="154">
        <f>IF((RD[[#This Row],[33kV_Aux1_Im]]-AH102)*1000&lt;0,"",(RD[[#This Row],[33kV_Aux1_Im]]-AH102)*1000)</f>
        <v>269.99999999999955</v>
      </c>
      <c r="AN103" s="154">
        <f>IF((RD[[#This Row],[33kV_Aux1_Im]]-AH102)*1000&lt;0,"",(RD[[#This Row],[33kV_Aux1_Im]]-AH102)*1000)</f>
        <v>269.99999999999955</v>
      </c>
      <c r="AO103" s="61">
        <f>RD[[#This Row],[33kV_OG1_Energy (KWh)]]</f>
        <v>107000</v>
      </c>
      <c r="AP103" s="61">
        <f>IFERROR(RD[[#This Row],[220kV_TL_TVM Energy (KWh)]]-RD[[#This Row],[220kV_C&amp;R_PQM_Imp (KWh)2]],"")</f>
        <v>106130</v>
      </c>
      <c r="AQ103" s="63">
        <f>IFERROR(RD[[#This Row],[33 kV Total Export (KWH)]]/RD[[#This Row],[220 KV Net Export (KWh)]]-1,"")</f>
        <v>8.1974936398756526E-3</v>
      </c>
      <c r="AR103" s="64">
        <f>IFERROR((RD[[#This Row],[Sunset Time (POA&lt;20 W/m2)]]-RD[[#This Row],[Sunrise Time (POA&gt;20 W/m2)]])*24,0)</f>
        <v>11.533333333333333</v>
      </c>
      <c r="AS103" s="65">
        <f>RD[[#This Row],[33kV_OG1_Energy (KWh)]]</f>
        <v>107000</v>
      </c>
      <c r="AT103" s="65">
        <f>IFERROR(RD[[#This Row],[ Export (33 kV)]]*(1-RD[[#This Row],[33 kV Line Loss (%)]]),RD[[#This Row],[ Export (33 kV)]])</f>
        <v>106122.8681805333</v>
      </c>
      <c r="AU103" s="277">
        <v>39.21</v>
      </c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>
        <v>0.27291666666666664</v>
      </c>
      <c r="G104" s="122">
        <v>0.74861111111111112</v>
      </c>
      <c r="H104" s="138">
        <v>9171.7000000000007</v>
      </c>
      <c r="I104" s="138">
        <v>9239.7000000000007</v>
      </c>
      <c r="J104" s="138">
        <v>12856.3</v>
      </c>
      <c r="K104" s="138">
        <v>12439.5</v>
      </c>
      <c r="L104" s="138">
        <v>12527.9</v>
      </c>
      <c r="M104" s="138">
        <v>10081.200000000001</v>
      </c>
      <c r="N104" s="138">
        <v>9754.2000000000007</v>
      </c>
      <c r="O104" s="167"/>
      <c r="P104" s="167"/>
      <c r="Q104" s="58">
        <v>2.06</v>
      </c>
      <c r="R104" s="58">
        <v>2.09</v>
      </c>
      <c r="S104" s="58">
        <v>26.86</v>
      </c>
      <c r="T104" s="58">
        <v>30</v>
      </c>
      <c r="U104" s="58">
        <v>82.85</v>
      </c>
      <c r="V104" s="58">
        <v>1.1999999999999999E-3</v>
      </c>
      <c r="W104" s="58">
        <v>3.47</v>
      </c>
      <c r="X104" s="58">
        <v>7.6</v>
      </c>
      <c r="Y104" s="60">
        <f>SUM(RD[[#This Row],[IS1Inv1]:[IS3Inv1]])</f>
        <v>56235.1</v>
      </c>
      <c r="Z104" s="60">
        <f>SUM(RD[[#This Row],[IS4Inv1]:[IS4Inv2]])</f>
        <v>19835.400000000001</v>
      </c>
      <c r="AA104" s="60">
        <f>SUM(RD[[#This Row],[O2RE7]:[O2RE27]])</f>
        <v>76070.5</v>
      </c>
      <c r="AB104" s="153"/>
      <c r="AC104" s="153">
        <v>21011</v>
      </c>
      <c r="AD104" s="153"/>
      <c r="AE104" s="153">
        <v>13511</v>
      </c>
      <c r="AF104" s="153">
        <v>20655.466</v>
      </c>
      <c r="AG104" s="153">
        <v>0.04</v>
      </c>
      <c r="AH104" s="153">
        <v>9.6999999999999993</v>
      </c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75000</v>
      </c>
      <c r="AK104" s="154">
        <f>IF((RD[[#This Row],[220kV_TL_TVM_Ex]]-AE103)*1600&lt;=0,0,(RD[[#This Row],[220kV_TL_TVM_Ex]]-AE103)*1600)</f>
        <v>74720.000000001164</v>
      </c>
      <c r="AL104" s="154">
        <f>IF((RD[[#This Row],[220kV_C&amp;R_PQM_Ex]]-AF103)*1000&lt;=0,"",(RD[[#This Row],[220kV_C&amp;R_PQM_Ex]]-AF103)*1000)</f>
        <v>73511.999999998807</v>
      </c>
      <c r="AM104" s="154">
        <f>IF((RD[[#This Row],[33kV_Aux1_Im]]-AH103)*1000&lt;0,"",(RD[[#This Row],[33kV_Aux1_Im]]-AH103)*1000)</f>
        <v>279.99999999999937</v>
      </c>
      <c r="AN104" s="154">
        <f>IF((RD[[#This Row],[33kV_Aux1_Im]]-AH103)*1000&lt;0,"",(RD[[#This Row],[33kV_Aux1_Im]]-AH103)*1000)</f>
        <v>279.99999999999937</v>
      </c>
      <c r="AO104" s="61">
        <f>RD[[#This Row],[33kV_OG1_Energy (KWh)]]</f>
        <v>75000</v>
      </c>
      <c r="AP104" s="61">
        <f>IFERROR(RD[[#This Row],[220kV_TL_TVM Energy (KWh)]]-RD[[#This Row],[220kV_C&amp;R_PQM_Imp (KWh)2]],"")</f>
        <v>74440.000000001164</v>
      </c>
      <c r="AQ104" s="63">
        <f>IFERROR(RD[[#This Row],[33 kV Total Export (KWH)]]/RD[[#This Row],[220 KV Net Export (KWh)]]-1,"")</f>
        <v>7.5228371842936959E-3</v>
      </c>
      <c r="AR104" s="64">
        <f>IFERROR((RD[[#This Row],[Sunset Time (POA&lt;20 W/m2)]]-RD[[#This Row],[Sunrise Time (POA&gt;20 W/m2)]])*24,0)</f>
        <v>11.416666666666668</v>
      </c>
      <c r="AS104" s="65">
        <f>RD[[#This Row],[33kV_OG1_Energy (KWh)]]</f>
        <v>75000</v>
      </c>
      <c r="AT104" s="65">
        <f>IFERROR(RD[[#This Row],[ Export (33 kV)]]*(1-RD[[#This Row],[33 kV Line Loss (%)]]),RD[[#This Row],[ Export (33 kV)]])</f>
        <v>74435.787211177972</v>
      </c>
      <c r="AU104" s="277">
        <v>39.21</v>
      </c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>
        <v>0.27291666666666664</v>
      </c>
      <c r="G105" s="122">
        <v>0.77083333333333337</v>
      </c>
      <c r="H105" s="138">
        <v>6741.8</v>
      </c>
      <c r="I105" s="138">
        <v>6826.1</v>
      </c>
      <c r="J105" s="138">
        <v>9373.1</v>
      </c>
      <c r="K105" s="138">
        <v>9503.2000000000007</v>
      </c>
      <c r="L105" s="138">
        <v>9534.5</v>
      </c>
      <c r="M105" s="138">
        <v>7493.6</v>
      </c>
      <c r="N105" s="138">
        <v>7407.3</v>
      </c>
      <c r="O105" s="167"/>
      <c r="P105" s="167"/>
      <c r="Q105" s="58">
        <v>1.39</v>
      </c>
      <c r="R105" s="58">
        <v>1.39</v>
      </c>
      <c r="S105" s="58">
        <v>25.01</v>
      </c>
      <c r="T105" s="58">
        <v>25.15</v>
      </c>
      <c r="U105" s="58">
        <v>89.96</v>
      </c>
      <c r="V105" s="58">
        <v>7.1630000000000001E-4</v>
      </c>
      <c r="W105" s="58">
        <v>3.9</v>
      </c>
      <c r="X105" s="58">
        <v>8.42</v>
      </c>
      <c r="Y105" s="60">
        <f>SUM(RD[[#This Row],[IS1Inv1]:[IS3Inv1]])</f>
        <v>41978.7</v>
      </c>
      <c r="Z105" s="60">
        <f>SUM(RD[[#This Row],[IS4Inv1]:[IS4Inv2]])</f>
        <v>14900.900000000001</v>
      </c>
      <c r="AA105" s="60">
        <f>SUM(RD[[#This Row],[O2RE7]:[O2RE27]])</f>
        <v>56879.6</v>
      </c>
      <c r="AB105" s="153"/>
      <c r="AC105" s="153">
        <v>21068</v>
      </c>
      <c r="AD105" s="153"/>
      <c r="AE105" s="153">
        <v>13545.7</v>
      </c>
      <c r="AF105" s="153">
        <v>20710.617999999999</v>
      </c>
      <c r="AG105" s="153">
        <v>0.04</v>
      </c>
      <c r="AH105" s="153">
        <v>10</v>
      </c>
      <c r="AI105" s="154"/>
      <c r="AJ105" s="154">
        <f>IF((RD[[#This Row],[33kV_OG1_Ex]]-AC104)*1000&lt;=0,0,(RD[[#This Row],[33kV_OG1_Ex]]-AC104)*1000)</f>
        <v>57000</v>
      </c>
      <c r="AK105" s="154">
        <f>IF((RD[[#This Row],[220kV_TL_TVM_Ex]]-AE104)*1600&lt;=0,0,(RD[[#This Row],[220kV_TL_TVM_Ex]]-AE104)*1600)</f>
        <v>55520.000000001164</v>
      </c>
      <c r="AL105" s="154">
        <f>IF((RD[[#This Row],[220kV_C&amp;R_PQM_Ex]]-AF104)*1000&lt;=0,"",(RD[[#This Row],[220kV_C&amp;R_PQM_Ex]]-AF104)*1000)</f>
        <v>55151.999999998225</v>
      </c>
      <c r="AM105" s="154">
        <f>IF((RD[[#This Row],[33kV_Aux1_Im]]-AH104)*1000&lt;0,"",(RD[[#This Row],[33kV_Aux1_Im]]-AH104)*1000)</f>
        <v>300.00000000000068</v>
      </c>
      <c r="AN105" s="154">
        <f>IF((RD[[#This Row],[33kV_Aux1_Im]]-AH104)*1000&lt;0,"",(RD[[#This Row],[33kV_Aux1_Im]]-AH104)*1000)</f>
        <v>300.00000000000068</v>
      </c>
      <c r="AO105" s="61">
        <f>RD[[#This Row],[33kV_OG1_Energy (KWh)]]</f>
        <v>57000</v>
      </c>
      <c r="AP105" s="61">
        <f>IFERROR(RD[[#This Row],[220kV_TL_TVM Energy (KWh)]]-RD[[#This Row],[220kV_C&amp;R_PQM_Imp (KWh)2]],"")</f>
        <v>55220.000000001164</v>
      </c>
      <c r="AQ105" s="63">
        <f>IFERROR(RD[[#This Row],[33 kV Total Export (KWH)]]/RD[[#This Row],[220 KV Net Export (KWh)]]-1,"")</f>
        <v>3.2234697573321203E-2</v>
      </c>
      <c r="AR105" s="64">
        <f>IFERROR((RD[[#This Row],[Sunset Time (POA&lt;20 W/m2)]]-RD[[#This Row],[Sunrise Time (POA&gt;20 W/m2)]])*24,0)</f>
        <v>11.950000000000001</v>
      </c>
      <c r="AS105" s="65">
        <f>RD[[#This Row],[33kV_OG1_Energy (KWh)]]</f>
        <v>57000</v>
      </c>
      <c r="AT105" s="65">
        <f>IFERROR(RD[[#This Row],[ Export (33 kV)]]*(1-RD[[#This Row],[33 kV Line Loss (%)]]),RD[[#This Row],[ Export (33 kV)]])</f>
        <v>55162.622238320691</v>
      </c>
      <c r="AU105" s="277">
        <v>39.21</v>
      </c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>
        <v>0.26805555555555555</v>
      </c>
      <c r="G106" s="122">
        <v>0.75347222222222221</v>
      </c>
      <c r="H106" s="138">
        <v>7793.1</v>
      </c>
      <c r="I106" s="138">
        <v>7898.8</v>
      </c>
      <c r="J106" s="138">
        <v>10974.2</v>
      </c>
      <c r="K106" s="138">
        <v>11144</v>
      </c>
      <c r="L106" s="138">
        <v>11197.9</v>
      </c>
      <c r="M106" s="138">
        <v>8721.4</v>
      </c>
      <c r="N106" s="138">
        <v>8622.7000000000007</v>
      </c>
      <c r="O106" s="167"/>
      <c r="P106" s="167"/>
      <c r="Q106" s="58">
        <v>1.72</v>
      </c>
      <c r="R106" s="58">
        <v>1.7</v>
      </c>
      <c r="S106" s="58">
        <v>25.64</v>
      </c>
      <c r="T106" s="58">
        <v>26.103999999999999</v>
      </c>
      <c r="U106" s="58">
        <v>88.53</v>
      </c>
      <c r="V106" s="58">
        <v>1.4326599999999999E-4</v>
      </c>
      <c r="W106" s="58">
        <v>3.26</v>
      </c>
      <c r="X106" s="58">
        <v>6.65</v>
      </c>
      <c r="Y106" s="60">
        <f>SUM(RD[[#This Row],[IS1Inv1]:[IS3Inv1]])</f>
        <v>49008.000000000007</v>
      </c>
      <c r="Z106" s="60">
        <f>SUM(RD[[#This Row],[IS4Inv1]:[IS4Inv2]])</f>
        <v>17344.099999999999</v>
      </c>
      <c r="AA106" s="60">
        <f>SUM(RD[[#This Row],[O2RE7]:[O2RE27]])</f>
        <v>66352.100000000006</v>
      </c>
      <c r="AB106" s="153"/>
      <c r="AC106" s="153">
        <v>21134</v>
      </c>
      <c r="AD106" s="153"/>
      <c r="AE106" s="153">
        <v>13586.2</v>
      </c>
      <c r="AF106" s="153">
        <v>20775.162</v>
      </c>
      <c r="AG106" s="153">
        <v>0.04</v>
      </c>
      <c r="AH106" s="153">
        <v>10.48</v>
      </c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66000</v>
      </c>
      <c r="AK106" s="154">
        <f>IF((RD[[#This Row],[220kV_TL_TVM_Ex]]-AE105)*1600&lt;=0,0,(RD[[#This Row],[220kV_TL_TVM_Ex]]-AE105)*1600)</f>
        <v>64800</v>
      </c>
      <c r="AL106" s="154">
        <f>IF((RD[[#This Row],[220kV_C&amp;R_PQM_Ex]]-AF105)*1000&lt;=0,"",(RD[[#This Row],[220kV_C&amp;R_PQM_Ex]]-AF105)*1000)</f>
        <v>64544.000000001688</v>
      </c>
      <c r="AM106" s="154">
        <f>IF((RD[[#This Row],[33kV_Aux1_Im]]-AH105)*1000&lt;0,"",(RD[[#This Row],[33kV_Aux1_Im]]-AH105)*1000)</f>
        <v>480.00000000000045</v>
      </c>
      <c r="AN106" s="154">
        <f>IF((RD[[#This Row],[33kV_Aux1_Im]]-AH105)*1000&lt;0,"",(RD[[#This Row],[33kV_Aux1_Im]]-AH105)*1000)</f>
        <v>480.00000000000045</v>
      </c>
      <c r="AO106" s="61">
        <f>RD[[#This Row],[33kV_OG1_Energy (KWh)]]</f>
        <v>66000</v>
      </c>
      <c r="AP106" s="61">
        <f>IFERROR(RD[[#This Row],[220kV_TL_TVM Energy (KWh)]]-RD[[#This Row],[220kV_C&amp;R_PQM_Imp (KWh)2]],"")</f>
        <v>64320</v>
      </c>
      <c r="AQ106" s="63">
        <f>IFERROR(RD[[#This Row],[33 kV Total Export (KWH)]]/RD[[#This Row],[220 KV Net Export (KWh)]]-1,"")</f>
        <v>2.6119402985074647E-2</v>
      </c>
      <c r="AR106" s="64">
        <f>IFERROR((RD[[#This Row],[Sunset Time (POA&lt;20 W/m2)]]-RD[[#This Row],[Sunrise Time (POA&gt;20 W/m2)]])*24,0)</f>
        <v>11.65</v>
      </c>
      <c r="AS106" s="65">
        <f>RD[[#This Row],[33kV_OG1_Energy (KWh)]]</f>
        <v>66000</v>
      </c>
      <c r="AT106" s="65">
        <f>IFERROR(RD[[#This Row],[ Export (33 kV)]]*(1-RD[[#This Row],[33 kV Line Loss (%)]]),RD[[#This Row],[ Export (33 kV)]])</f>
        <v>64276.119402985074</v>
      </c>
      <c r="AU106" s="277">
        <v>39.21</v>
      </c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>
        <v>0.2673611111111111</v>
      </c>
      <c r="G107" s="122">
        <v>0.76666666666666672</v>
      </c>
      <c r="H107" s="138">
        <v>6643.7</v>
      </c>
      <c r="I107" s="138">
        <v>6716.3</v>
      </c>
      <c r="J107" s="138">
        <v>9291.9</v>
      </c>
      <c r="K107" s="138">
        <v>9411</v>
      </c>
      <c r="L107" s="138">
        <v>9415.2999999999993</v>
      </c>
      <c r="M107" s="138">
        <v>7373.5</v>
      </c>
      <c r="N107" s="138">
        <v>7340.3</v>
      </c>
      <c r="O107" s="167"/>
      <c r="P107" s="167"/>
      <c r="Q107" s="58">
        <v>1.45</v>
      </c>
      <c r="R107" s="58">
        <v>1.4450000000000001</v>
      </c>
      <c r="S107" s="58">
        <v>25.149000000000001</v>
      </c>
      <c r="T107" s="58">
        <v>26.08</v>
      </c>
      <c r="U107" s="58">
        <v>83.52</v>
      </c>
      <c r="V107" s="58">
        <v>2.7777800000000001E-4</v>
      </c>
      <c r="W107" s="58">
        <v>2.99</v>
      </c>
      <c r="X107" s="58">
        <v>5.35</v>
      </c>
      <c r="Y107" s="60">
        <f>SUM(RD[[#This Row],[IS1Inv1]:[IS3Inv1]])</f>
        <v>41478.199999999997</v>
      </c>
      <c r="Z107" s="60">
        <f>SUM(RD[[#This Row],[IS4Inv1]:[IS4Inv2]])</f>
        <v>14713.8</v>
      </c>
      <c r="AA107" s="60">
        <f>SUM(RD[[#This Row],[O2RE7]:[O2RE27]])</f>
        <v>56192</v>
      </c>
      <c r="AB107" s="153"/>
      <c r="AC107" s="153">
        <v>21189</v>
      </c>
      <c r="AD107" s="153"/>
      <c r="AE107" s="153">
        <v>13620.5</v>
      </c>
      <c r="AF107" s="153">
        <v>20829.570625</v>
      </c>
      <c r="AG107" s="153">
        <v>0.04</v>
      </c>
      <c r="AH107" s="153">
        <v>10.73</v>
      </c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55000</v>
      </c>
      <c r="AK107" s="154">
        <f>IF((RD[[#This Row],[220kV_TL_TVM_Ex]]-AE106)*1600&lt;=0,0,(RD[[#This Row],[220kV_TL_TVM_Ex]]-AE106)*1600)</f>
        <v>54879.999999998836</v>
      </c>
      <c r="AL107" s="154">
        <f>IF((RD[[#This Row],[220kV_C&amp;R_PQM_Ex]]-AF106)*1000&lt;=0,"",(RD[[#This Row],[220kV_C&amp;R_PQM_Ex]]-AF106)*1000)</f>
        <v>54408.625000000029</v>
      </c>
      <c r="AM107" s="154">
        <f>IF((RD[[#This Row],[33kV_Aux1_Im]]-AH106)*1000&lt;0,"",(RD[[#This Row],[33kV_Aux1_Im]]-AH106)*1000)</f>
        <v>250</v>
      </c>
      <c r="AN107" s="154">
        <f>IF((RD[[#This Row],[33kV_Aux1_Im]]-AH106)*1000&lt;0,"",(RD[[#This Row],[33kV_Aux1_Im]]-AH106)*1000)</f>
        <v>250</v>
      </c>
      <c r="AO107" s="61">
        <f>RD[[#This Row],[33kV_OG1_Energy (KWh)]]</f>
        <v>55000</v>
      </c>
      <c r="AP107" s="61">
        <f>IFERROR(RD[[#This Row],[220kV_TL_TVM Energy (KWh)]]-RD[[#This Row],[220kV_C&amp;R_PQM_Imp (KWh)2]],"")</f>
        <v>54629.999999998836</v>
      </c>
      <c r="AQ107" s="63">
        <f>IFERROR(RD[[#This Row],[33 kV Total Export (KWH)]]/RD[[#This Row],[220 KV Net Export (KWh)]]-1,"")</f>
        <v>6.7728354384253286E-3</v>
      </c>
      <c r="AR107" s="64">
        <f>IFERROR((RD[[#This Row],[Sunset Time (POA&lt;20 W/m2)]]-RD[[#This Row],[Sunrise Time (POA&gt;20 W/m2)]])*24,0)</f>
        <v>11.983333333333334</v>
      </c>
      <c r="AS107" s="65">
        <f>RD[[#This Row],[33kV_OG1_Energy (KWh)]]</f>
        <v>55000</v>
      </c>
      <c r="AT107" s="65">
        <f>IFERROR(RD[[#This Row],[ Export (33 kV)]]*(1-RD[[#This Row],[33 kV Line Loss (%)]]),RD[[#This Row],[ Export (33 kV)]])</f>
        <v>54627.494050886606</v>
      </c>
      <c r="AU107" s="277">
        <v>39.21</v>
      </c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>
        <v>0.32361111111111113</v>
      </c>
      <c r="G108" s="122">
        <v>0.76527777777777772</v>
      </c>
      <c r="H108" s="138">
        <v>6886.9</v>
      </c>
      <c r="I108" s="138">
        <v>6956.3</v>
      </c>
      <c r="J108" s="138">
        <v>9687.6</v>
      </c>
      <c r="K108" s="138">
        <v>9796.6</v>
      </c>
      <c r="L108" s="138">
        <v>9804.2999999999993</v>
      </c>
      <c r="M108" s="138">
        <v>7723</v>
      </c>
      <c r="N108" s="138">
        <v>7668.7</v>
      </c>
      <c r="O108" s="167"/>
      <c r="P108" s="167"/>
      <c r="Q108" s="58">
        <v>1.66</v>
      </c>
      <c r="R108" s="58">
        <v>1.67</v>
      </c>
      <c r="S108" s="58">
        <v>25.05</v>
      </c>
      <c r="T108" s="58">
        <v>26.89</v>
      </c>
      <c r="U108" s="58">
        <v>83</v>
      </c>
      <c r="V108" s="58">
        <v>1.5698599999999999E-4</v>
      </c>
      <c r="W108" s="58">
        <v>2.62</v>
      </c>
      <c r="X108" s="58">
        <v>6.32</v>
      </c>
      <c r="Y108" s="60">
        <f>SUM(RD[[#This Row],[IS1Inv1]:[IS3Inv1]])</f>
        <v>43131.7</v>
      </c>
      <c r="Z108" s="60">
        <f>SUM(RD[[#This Row],[IS4Inv1]:[IS4Inv2]])</f>
        <v>15391.7</v>
      </c>
      <c r="AA108" s="60">
        <f>SUM(RD[[#This Row],[O2RE7]:[O2RE27]])</f>
        <v>58523.399999999994</v>
      </c>
      <c r="AB108" s="153"/>
      <c r="AC108" s="153">
        <v>21248</v>
      </c>
      <c r="AD108" s="153"/>
      <c r="AE108" s="153">
        <v>13656.4</v>
      </c>
      <c r="AF108" s="153">
        <v>20886.388999999999</v>
      </c>
      <c r="AG108" s="153">
        <v>0.04</v>
      </c>
      <c r="AH108" s="153">
        <v>11.02</v>
      </c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59000</v>
      </c>
      <c r="AK108" s="154">
        <f>IF((RD[[#This Row],[220kV_TL_TVM_Ex]]-AE107)*1600&lt;=0,0,(RD[[#This Row],[220kV_TL_TVM_Ex]]-AE107)*1600)</f>
        <v>57439.999999999418</v>
      </c>
      <c r="AL108" s="154">
        <f>IF((RD[[#This Row],[220kV_C&amp;R_PQM_Ex]]-AF107)*1000&lt;=0,"",(RD[[#This Row],[220kV_C&amp;R_PQM_Ex]]-AF107)*1000)</f>
        <v>56818.374999998923</v>
      </c>
      <c r="AM108" s="154">
        <f>IF((RD[[#This Row],[33kV_Aux1_Im]]-AH107)*1000&lt;0,"",(RD[[#This Row],[33kV_Aux1_Im]]-AH107)*1000)</f>
        <v>289.99999999999915</v>
      </c>
      <c r="AN108" s="154">
        <f>IF((RD[[#This Row],[33kV_Aux1_Im]]-AH107)*1000&lt;0,"",(RD[[#This Row],[33kV_Aux1_Im]]-AH107)*1000)</f>
        <v>289.99999999999915</v>
      </c>
      <c r="AO108" s="61">
        <f>RD[[#This Row],[33kV_OG1_Energy (KWh)]]</f>
        <v>59000</v>
      </c>
      <c r="AP108" s="61">
        <f>IFERROR(RD[[#This Row],[220kV_TL_TVM Energy (KWh)]]-RD[[#This Row],[220kV_C&amp;R_PQM_Imp (KWh)2]],"")</f>
        <v>57149.999999999418</v>
      </c>
      <c r="AQ108" s="63">
        <f>IFERROR(RD[[#This Row],[33 kV Total Export (KWH)]]/RD[[#This Row],[220 KV Net Export (KWh)]]-1,"")</f>
        <v>3.2370953630806776E-2</v>
      </c>
      <c r="AR108" s="64">
        <f>IFERROR((RD[[#This Row],[Sunset Time (POA&lt;20 W/m2)]]-RD[[#This Row],[Sunrise Time (POA&gt;20 W/m2)]])*24,0)</f>
        <v>10.599999999999998</v>
      </c>
      <c r="AS108" s="65">
        <f>RD[[#This Row],[33kV_OG1_Energy (KWh)]]</f>
        <v>59000</v>
      </c>
      <c r="AT108" s="65">
        <f>IFERROR(RD[[#This Row],[ Export (33 kV)]]*(1-RD[[#This Row],[33 kV Line Loss (%)]]),RD[[#This Row],[ Export (33 kV)]])</f>
        <v>57090.113735782397</v>
      </c>
      <c r="AU108" s="277">
        <v>39.21</v>
      </c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>
        <v>0.25486111111111109</v>
      </c>
      <c r="G109" s="122">
        <v>0.78194444444444444</v>
      </c>
      <c r="H109" s="138">
        <v>22901</v>
      </c>
      <c r="I109" s="138">
        <v>23071</v>
      </c>
      <c r="J109" s="138">
        <v>31689.599999999999</v>
      </c>
      <c r="K109" s="138">
        <v>31977</v>
      </c>
      <c r="L109" s="138">
        <v>32413.5</v>
      </c>
      <c r="M109" s="138">
        <v>25766.400000000001</v>
      </c>
      <c r="N109" s="138">
        <v>25635.7</v>
      </c>
      <c r="O109" s="167"/>
      <c r="P109" s="167"/>
      <c r="Q109" s="58">
        <v>5.5789999999999997</v>
      </c>
      <c r="R109" s="58">
        <v>5.8419999999999996</v>
      </c>
      <c r="S109" s="58">
        <v>29.898</v>
      </c>
      <c r="T109" s="58">
        <v>37.64</v>
      </c>
      <c r="U109" s="58">
        <v>69.260400000000004</v>
      </c>
      <c r="V109" s="58">
        <v>1.5698599999999999E-4</v>
      </c>
      <c r="W109" s="58">
        <v>3.77</v>
      </c>
      <c r="X109" s="58">
        <v>7.67</v>
      </c>
      <c r="Y109" s="60">
        <f>SUM(RD[[#This Row],[IS1Inv1]:[IS3Inv1]])</f>
        <v>142052.1</v>
      </c>
      <c r="Z109" s="60">
        <f>SUM(RD[[#This Row],[IS4Inv1]:[IS4Inv2]])</f>
        <v>51402.100000000006</v>
      </c>
      <c r="AA109" s="60">
        <f>SUM(RD[[#This Row],[O2RE7]:[O2RE27]])</f>
        <v>193454.2</v>
      </c>
      <c r="AB109" s="153"/>
      <c r="AC109" s="153">
        <v>21439</v>
      </c>
      <c r="AD109" s="153"/>
      <c r="AE109" s="153">
        <v>13775.6</v>
      </c>
      <c r="AF109" s="153">
        <v>21076.588</v>
      </c>
      <c r="AG109" s="153">
        <v>0.04</v>
      </c>
      <c r="AH109" s="153">
        <v>11.32</v>
      </c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191000</v>
      </c>
      <c r="AK109" s="154">
        <f>IF((RD[[#This Row],[220kV_TL_TVM_Ex]]-AE108)*1600&lt;=0,0,(RD[[#This Row],[220kV_TL_TVM_Ex]]-AE108)*1600)</f>
        <v>190720.00000000116</v>
      </c>
      <c r="AL109" s="154">
        <f>IF((RD[[#This Row],[220kV_C&amp;R_PQM_Ex]]-AF108)*1000&lt;=0,"",(RD[[#This Row],[220kV_C&amp;R_PQM_Ex]]-AF108)*1000)</f>
        <v>190199.00000000052</v>
      </c>
      <c r="AM109" s="154">
        <f>IF((RD[[#This Row],[33kV_Aux1_Im]]-AH108)*1000&lt;0,"",(RD[[#This Row],[33kV_Aux1_Im]]-AH108)*1000)</f>
        <v>300.00000000000068</v>
      </c>
      <c r="AN109" s="154">
        <f>IF((RD[[#This Row],[33kV_Aux1_Im]]-AH108)*1000&lt;0,"",(RD[[#This Row],[33kV_Aux1_Im]]-AH108)*1000)</f>
        <v>300.00000000000068</v>
      </c>
      <c r="AO109" s="61">
        <f>RD[[#This Row],[33kV_OG1_Energy (KWh)]]</f>
        <v>191000</v>
      </c>
      <c r="AP109" s="61">
        <f>IFERROR(RD[[#This Row],[220kV_TL_TVM Energy (KWh)]]-RD[[#This Row],[220kV_C&amp;R_PQM_Imp (KWh)2]],"")</f>
        <v>190420.00000000116</v>
      </c>
      <c r="AQ109" s="63">
        <f>IFERROR(RD[[#This Row],[33 kV Total Export (KWH)]]/RD[[#This Row],[220 KV Net Export (KWh)]]-1,"")</f>
        <v>3.0458985400632077E-3</v>
      </c>
      <c r="AR109" s="64">
        <f>IFERROR((RD[[#This Row],[Sunset Time (POA&lt;20 W/m2)]]-RD[[#This Row],[Sunrise Time (POA&gt;20 W/m2)]])*24,0)</f>
        <v>12.65</v>
      </c>
      <c r="AS109" s="65">
        <f>RD[[#This Row],[33kV_OG1_Energy (KWh)]]</f>
        <v>191000</v>
      </c>
      <c r="AT109" s="65">
        <f>IFERROR(RD[[#This Row],[ Export (33 kV)]]*(1-RD[[#This Row],[33 kV Line Loss (%)]]),RD[[#This Row],[ Export (33 kV)]])</f>
        <v>190418.23337884792</v>
      </c>
      <c r="AU109" s="277">
        <v>39.21</v>
      </c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>
        <v>0.25069444444444444</v>
      </c>
      <c r="G110" s="122">
        <v>0.77638888888888891</v>
      </c>
      <c r="H110" s="138">
        <v>22972.3</v>
      </c>
      <c r="I110" s="138">
        <v>23080.3</v>
      </c>
      <c r="J110" s="138">
        <v>31572.2</v>
      </c>
      <c r="K110" s="138">
        <v>31810.6</v>
      </c>
      <c r="L110" s="138">
        <v>32423.200000000001</v>
      </c>
      <c r="M110" s="138">
        <v>24488</v>
      </c>
      <c r="N110" s="138">
        <v>24239.8</v>
      </c>
      <c r="O110" s="167"/>
      <c r="P110" s="167"/>
      <c r="Q110" s="58">
        <v>5.93</v>
      </c>
      <c r="R110" s="58">
        <v>6.17</v>
      </c>
      <c r="S110" s="58">
        <v>30.19</v>
      </c>
      <c r="T110" s="58">
        <v>37.99</v>
      </c>
      <c r="U110" s="58">
        <v>65.680000000000007</v>
      </c>
      <c r="V110" s="58">
        <v>1.5698599999999999E-4</v>
      </c>
      <c r="W110" s="58">
        <v>4.29</v>
      </c>
      <c r="X110" s="58">
        <v>9.1199999999999992</v>
      </c>
      <c r="Y110" s="60">
        <f>SUM(RD[[#This Row],[IS1Inv1]:[IS3Inv1]])</f>
        <v>141858.6</v>
      </c>
      <c r="Z110" s="60">
        <f>SUM(RD[[#This Row],[IS4Inv1]:[IS4Inv2]])</f>
        <v>48727.8</v>
      </c>
      <c r="AA110" s="60">
        <f>SUM(RD[[#This Row],[O2RE7]:[O2RE27]])</f>
        <v>190586.40000000002</v>
      </c>
      <c r="AB110" s="153"/>
      <c r="AC110" s="153">
        <v>21628</v>
      </c>
      <c r="AD110" s="153"/>
      <c r="AE110" s="153">
        <v>13892.2</v>
      </c>
      <c r="AF110" s="153">
        <v>21263</v>
      </c>
      <c r="AG110" s="153">
        <v>0.04</v>
      </c>
      <c r="AH110" s="153">
        <v>11.6</v>
      </c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189000</v>
      </c>
      <c r="AK110" s="154">
        <f>IF((RD[[#This Row],[220kV_TL_TVM_Ex]]-AE109)*1600&lt;=0,0,(RD[[#This Row],[220kV_TL_TVM_Ex]]-AE109)*1600)</f>
        <v>186560.00000000058</v>
      </c>
      <c r="AL110" s="154">
        <f>IF((RD[[#This Row],[220kV_C&amp;R_PQM_Ex]]-AF109)*1000&lt;=0,"",(RD[[#This Row],[220kV_C&amp;R_PQM_Ex]]-AF109)*1000)</f>
        <v>186412.00000000026</v>
      </c>
      <c r="AM110" s="154">
        <f>IF((RD[[#This Row],[33kV_Aux1_Im]]-AH109)*1000&lt;0,"",(RD[[#This Row],[33kV_Aux1_Im]]-AH109)*1000)</f>
        <v>279.99999999999937</v>
      </c>
      <c r="AN110" s="154">
        <f>IF((RD[[#This Row],[33kV_Aux1_Im]]-AH109)*1000&lt;0,"",(RD[[#This Row],[33kV_Aux1_Im]]-AH109)*1000)</f>
        <v>279.99999999999937</v>
      </c>
      <c r="AO110" s="61">
        <f>RD[[#This Row],[33kV_OG1_Energy (KWh)]]</f>
        <v>189000</v>
      </c>
      <c r="AP110" s="61">
        <f>IFERROR(RD[[#This Row],[220kV_TL_TVM Energy (KWh)]]-RD[[#This Row],[220kV_C&amp;R_PQM_Imp (KWh)2]],"")</f>
        <v>186280.00000000058</v>
      </c>
      <c r="AQ110" s="63">
        <f>IFERROR(RD[[#This Row],[33 kV Total Export (KWH)]]/RD[[#This Row],[220 KV Net Export (KWh)]]-1,"")</f>
        <v>1.4601674897999795E-2</v>
      </c>
      <c r="AR110" s="64">
        <f>IFERROR((RD[[#This Row],[Sunset Time (POA&lt;20 W/m2)]]-RD[[#This Row],[Sunrise Time (POA&gt;20 W/m2)]])*24,0)</f>
        <v>12.616666666666667</v>
      </c>
      <c r="AS110" s="65">
        <f>RD[[#This Row],[33kV_OG1_Energy (KWh)]]</f>
        <v>189000</v>
      </c>
      <c r="AT110" s="65">
        <f>IFERROR(RD[[#This Row],[ Export (33 kV)]]*(1-RD[[#This Row],[33 kV Line Loss (%)]]),RD[[#This Row],[ Export (33 kV)]])</f>
        <v>186240.28344427803</v>
      </c>
      <c r="AU110" s="277">
        <v>39.21</v>
      </c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>
        <v>0.25694444444444442</v>
      </c>
      <c r="G111" s="122">
        <v>0.77777777777777779</v>
      </c>
      <c r="H111" s="138">
        <v>17940</v>
      </c>
      <c r="I111" s="138">
        <v>18101</v>
      </c>
      <c r="J111" s="138">
        <v>25078</v>
      </c>
      <c r="K111" s="138">
        <v>25281</v>
      </c>
      <c r="L111" s="138">
        <v>25339.5</v>
      </c>
      <c r="M111" s="138">
        <v>19902.7</v>
      </c>
      <c r="N111" s="138">
        <v>19755.5</v>
      </c>
      <c r="O111" s="167"/>
      <c r="P111" s="167"/>
      <c r="Q111" s="58">
        <v>4.2805</v>
      </c>
      <c r="R111" s="58">
        <v>4.3949999999999996</v>
      </c>
      <c r="S111" s="58">
        <v>29.503</v>
      </c>
      <c r="T111" s="58">
        <v>35.71</v>
      </c>
      <c r="U111" s="58">
        <v>67.37</v>
      </c>
      <c r="V111" s="58">
        <v>1.5698599999999999E-4</v>
      </c>
      <c r="W111" s="58">
        <v>4.0599999999999996</v>
      </c>
      <c r="X111" s="58">
        <v>10.17</v>
      </c>
      <c r="Y111" s="60">
        <f>SUM(RD[[#This Row],[IS1Inv1]:[IS3Inv1]])</f>
        <v>111739.5</v>
      </c>
      <c r="Z111" s="60">
        <f>SUM(RD[[#This Row],[IS4Inv1]:[IS4Inv2]])</f>
        <v>39658.199999999997</v>
      </c>
      <c r="AA111" s="60">
        <f>SUM(RD[[#This Row],[O2RE7]:[O2RE27]])</f>
        <v>151397.70000000001</v>
      </c>
      <c r="AB111" s="153"/>
      <c r="AC111" s="153">
        <v>21778</v>
      </c>
      <c r="AD111" s="153"/>
      <c r="AE111" s="153">
        <v>13986</v>
      </c>
      <c r="AF111" s="153">
        <v>21412.7428</v>
      </c>
      <c r="AG111" s="153">
        <v>0.04</v>
      </c>
      <c r="AH111" s="153">
        <v>11.91</v>
      </c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150000</v>
      </c>
      <c r="AK111" s="154">
        <f>IF((RD[[#This Row],[220kV_TL_TVM_Ex]]-AE110)*1600&lt;=0,0,(RD[[#This Row],[220kV_TL_TVM_Ex]]-AE110)*1600)</f>
        <v>150079.99999999884</v>
      </c>
      <c r="AL111" s="154">
        <f>IF((RD[[#This Row],[220kV_C&amp;R_PQM_Ex]]-AF110)*1000&lt;=0,"",(RD[[#This Row],[220kV_C&amp;R_PQM_Ex]]-AF110)*1000)</f>
        <v>149742.79999999999</v>
      </c>
      <c r="AM111" s="154">
        <f>IF((RD[[#This Row],[33kV_Aux1_Im]]-AH110)*1000&lt;0,"",(RD[[#This Row],[33kV_Aux1_Im]]-AH110)*1000)</f>
        <v>310.00000000000051</v>
      </c>
      <c r="AN111" s="154">
        <f>IF((RD[[#This Row],[33kV_Aux1_Im]]-AH110)*1000&lt;0,"",(RD[[#This Row],[33kV_Aux1_Im]]-AH110)*1000)</f>
        <v>310.00000000000051</v>
      </c>
      <c r="AO111" s="61">
        <f>RD[[#This Row],[33kV_OG1_Energy (KWh)]]</f>
        <v>150000</v>
      </c>
      <c r="AP111" s="61">
        <f>IFERROR(RD[[#This Row],[220kV_TL_TVM Energy (KWh)]]-RD[[#This Row],[220kV_C&amp;R_PQM_Imp (KWh)2]],"")</f>
        <v>149769.99999999884</v>
      </c>
      <c r="AQ111" s="63">
        <f>IFERROR(RD[[#This Row],[33 kV Total Export (KWH)]]/RD[[#This Row],[220 KV Net Export (KWh)]]-1,"")</f>
        <v>1.5356880550254637E-3</v>
      </c>
      <c r="AR111" s="64">
        <f>IFERROR((RD[[#This Row],[Sunset Time (POA&lt;20 W/m2)]]-RD[[#This Row],[Sunrise Time (POA&gt;20 W/m2)]])*24,0)</f>
        <v>12.5</v>
      </c>
      <c r="AS111" s="65">
        <f>RD[[#This Row],[33kV_OG1_Energy (KWh)]]</f>
        <v>150000</v>
      </c>
      <c r="AT111" s="65">
        <f>IFERROR(RD[[#This Row],[ Export (33 kV)]]*(1-RD[[#This Row],[33 kV Line Loss (%)]]),RD[[#This Row],[ Export (33 kV)]])</f>
        <v>149769.64679174617</v>
      </c>
      <c r="AU111" s="277">
        <v>39.21</v>
      </c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>
        <v>0.25347222222222221</v>
      </c>
      <c r="G112" s="122">
        <v>0.78125</v>
      </c>
      <c r="H112" s="138">
        <v>20293.599999999999</v>
      </c>
      <c r="I112" s="138">
        <v>20542.7</v>
      </c>
      <c r="J112" s="138">
        <v>27833.9</v>
      </c>
      <c r="K112" s="138">
        <v>28202.1</v>
      </c>
      <c r="L112" s="138">
        <v>28650</v>
      </c>
      <c r="M112" s="138">
        <v>22899.4</v>
      </c>
      <c r="N112" s="138">
        <v>22832.9</v>
      </c>
      <c r="O112" s="167"/>
      <c r="P112" s="167"/>
      <c r="Q112" s="59">
        <v>5.4051</v>
      </c>
      <c r="R112" s="59">
        <v>5.6662999999999997</v>
      </c>
      <c r="S112" s="59">
        <v>30.363099999999999</v>
      </c>
      <c r="T112" s="59">
        <v>39.270499999999998</v>
      </c>
      <c r="U112" s="59">
        <v>64.1601</v>
      </c>
      <c r="V112" s="58">
        <v>1.5698599999999999E-4</v>
      </c>
      <c r="W112" s="59">
        <v>3.7974999999999999</v>
      </c>
      <c r="X112" s="59">
        <v>8.27</v>
      </c>
      <c r="Y112" s="60">
        <f>SUM(RD[[#This Row],[IS1Inv1]:[IS3Inv1]])</f>
        <v>125522.30000000002</v>
      </c>
      <c r="Z112" s="60">
        <f>SUM(RD[[#This Row],[IS4Inv1]:[IS4Inv2]])</f>
        <v>45732.3</v>
      </c>
      <c r="AA112" s="60">
        <f>SUM(RD[[#This Row],[O2RE7]:[O2RE27]])</f>
        <v>171254.60000000003</v>
      </c>
      <c r="AB112" s="153"/>
      <c r="AC112" s="153">
        <v>21946</v>
      </c>
      <c r="AD112" s="153"/>
      <c r="AE112" s="153">
        <v>14091.4</v>
      </c>
      <c r="AF112" s="153">
        <v>21581.309000000001</v>
      </c>
      <c r="AG112" s="153">
        <v>0.04</v>
      </c>
      <c r="AH112" s="153">
        <v>12.21</v>
      </c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168000</v>
      </c>
      <c r="AK112" s="154">
        <f>IF((RD[[#This Row],[220kV_TL_TVM_Ex]]-AE111)*1600&lt;=0,0,(RD[[#This Row],[220kV_TL_TVM_Ex]]-AE111)*1600)</f>
        <v>168639.99999999942</v>
      </c>
      <c r="AL112" s="154">
        <f>IF((RD[[#This Row],[220kV_C&amp;R_PQM_Ex]]-AF111)*1000&lt;=0,"",(RD[[#This Row],[220kV_C&amp;R_PQM_Ex]]-AF111)*1000)</f>
        <v>168566.20000000112</v>
      </c>
      <c r="AM112" s="154">
        <f>IF((RD[[#This Row],[33kV_Aux1_Im]]-AH111)*1000&lt;0,"",(RD[[#This Row],[33kV_Aux1_Im]]-AH111)*1000)</f>
        <v>300.00000000000068</v>
      </c>
      <c r="AN112" s="154">
        <f>IF((RD[[#This Row],[33kV_Aux1_Im]]-AH111)*1000&lt;0,"",(RD[[#This Row],[33kV_Aux1_Im]]-AH111)*1000)</f>
        <v>300.00000000000068</v>
      </c>
      <c r="AO112" s="61">
        <f>RD[[#This Row],[33kV_OG1_Energy (KWh)]]</f>
        <v>168000</v>
      </c>
      <c r="AP112" s="61">
        <f>IFERROR(RD[[#This Row],[220kV_TL_TVM Energy (KWh)]]-RD[[#This Row],[220kV_C&amp;R_PQM_Imp (KWh)2]],"")</f>
        <v>168339.99999999942</v>
      </c>
      <c r="AQ112" s="63">
        <f>IFERROR(RD[[#This Row],[33 kV Total Export (KWH)]]/RD[[#This Row],[220 KV Net Export (KWh)]]-1,"")</f>
        <v>-2.0197219912048148E-3</v>
      </c>
      <c r="AR112" s="64">
        <f>IFERROR((RD[[#This Row],[Sunset Time (POA&lt;20 W/m2)]]-RD[[#This Row],[Sunrise Time (POA&gt;20 W/m2)]])*24,0)</f>
        <v>12.666666666666668</v>
      </c>
      <c r="AS112" s="65">
        <f>RD[[#This Row],[33kV_OG1_Energy (KWh)]]</f>
        <v>168000</v>
      </c>
      <c r="AT112" s="65">
        <f>IFERROR(RD[[#This Row],[ Export (33 kV)]]*(1-RD[[#This Row],[33 kV Line Loss (%)]]),RD[[#This Row],[ Export (33 kV)]])</f>
        <v>168339.31329452241</v>
      </c>
      <c r="AU112" s="277">
        <v>39.21</v>
      </c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>
        <v>0.25347222222222221</v>
      </c>
      <c r="G113" s="122">
        <v>0.78402777777777777</v>
      </c>
      <c r="H113" s="138">
        <v>17233.099999999999</v>
      </c>
      <c r="I113" s="138">
        <v>17143.5</v>
      </c>
      <c r="J113" s="138">
        <v>23646</v>
      </c>
      <c r="K113" s="138">
        <v>23860</v>
      </c>
      <c r="L113" s="138">
        <v>24043</v>
      </c>
      <c r="M113" s="138">
        <v>19321</v>
      </c>
      <c r="N113" s="138">
        <v>19123</v>
      </c>
      <c r="O113" s="167"/>
      <c r="P113" s="167"/>
      <c r="Q113" s="59">
        <v>4.4325999999999999</v>
      </c>
      <c r="R113" s="59">
        <v>4.6680000000000001</v>
      </c>
      <c r="S113" s="59">
        <v>29.57</v>
      </c>
      <c r="T113" s="59">
        <v>37.479999999999997</v>
      </c>
      <c r="U113" s="59">
        <v>70.75</v>
      </c>
      <c r="V113" s="59">
        <v>3.9267000000000002E-4</v>
      </c>
      <c r="W113" s="59">
        <v>2.7519999999999998</v>
      </c>
      <c r="X113" s="59">
        <v>8</v>
      </c>
      <c r="Y113" s="60">
        <f>SUM(RD[[#This Row],[IS1Inv1]:[IS3Inv1]])</f>
        <v>105925.6</v>
      </c>
      <c r="Z113" s="60">
        <f>SUM(RD[[#This Row],[IS4Inv1]:[IS4Inv2]])</f>
        <v>38444</v>
      </c>
      <c r="AA113" s="60">
        <f>SUM(RD[[#This Row],[O2RE7]:[O2RE27]])</f>
        <v>144369.60000000001</v>
      </c>
      <c r="AB113" s="153"/>
      <c r="AC113" s="153">
        <v>22091</v>
      </c>
      <c r="AD113" s="153"/>
      <c r="AE113" s="153">
        <v>14180.2</v>
      </c>
      <c r="AF113" s="153">
        <v>21723.064375999998</v>
      </c>
      <c r="AG113" s="153">
        <v>0.04</v>
      </c>
      <c r="AH113" s="153">
        <v>12.48</v>
      </c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145000</v>
      </c>
      <c r="AK113" s="154">
        <f>IF((RD[[#This Row],[220kV_TL_TVM_Ex]]-AE112)*1600&lt;=0,0,(RD[[#This Row],[220kV_TL_TVM_Ex]]-AE112)*1600)</f>
        <v>142080.00000000175</v>
      </c>
      <c r="AL113" s="154">
        <f>IF((RD[[#This Row],[220kV_C&amp;R_PQM_Ex]]-AF112)*1000&lt;=0,"",(RD[[#This Row],[220kV_C&amp;R_PQM_Ex]]-AF112)*1000)</f>
        <v>141755.37599999734</v>
      </c>
      <c r="AM113" s="154">
        <f>IF((RD[[#This Row],[33kV_Aux1_Im]]-AH112)*1000&lt;0,"",(RD[[#This Row],[33kV_Aux1_Im]]-AH112)*1000)</f>
        <v>269.99999999999955</v>
      </c>
      <c r="AN113" s="154">
        <f>IF((RD[[#This Row],[33kV_Aux1_Im]]-AH112)*1000&lt;0,"",(RD[[#This Row],[33kV_Aux1_Im]]-AH112)*1000)</f>
        <v>269.99999999999955</v>
      </c>
      <c r="AO113" s="61">
        <f>RD[[#This Row],[33kV_OG1_Energy (KWh)]]</f>
        <v>145000</v>
      </c>
      <c r="AP113" s="61">
        <f>IFERROR(RD[[#This Row],[220kV_TL_TVM Energy (KWh)]]-RD[[#This Row],[220kV_C&amp;R_PQM_Imp (KWh)2]],"")</f>
        <v>141810.00000000175</v>
      </c>
      <c r="AQ113" s="63">
        <f>IFERROR(RD[[#This Row],[33 kV Total Export (KWH)]]/RD[[#This Row],[220 KV Net Export (KWh)]]-1,"")</f>
        <v>2.2494887525549734E-2</v>
      </c>
      <c r="AR113" s="64">
        <f>IFERROR((RD[[#This Row],[Sunset Time (POA&lt;20 W/m2)]]-RD[[#This Row],[Sunrise Time (POA&gt;20 W/m2)]])*24,0)</f>
        <v>12.733333333333334</v>
      </c>
      <c r="AS113" s="65">
        <f>RD[[#This Row],[33kV_OG1_Energy (KWh)]]</f>
        <v>145000</v>
      </c>
      <c r="AT113" s="65">
        <f>IFERROR(RD[[#This Row],[ Export (33 kV)]]*(1-RD[[#This Row],[33 kV Line Loss (%)]]),RD[[#This Row],[ Export (33 kV)]])</f>
        <v>141738.24130879529</v>
      </c>
      <c r="AU113" s="277">
        <v>39.21</v>
      </c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/>
      <c r="G114" s="122"/>
      <c r="H114" s="138"/>
      <c r="I114" s="138"/>
      <c r="J114" s="138"/>
      <c r="K114" s="138"/>
      <c r="L114" s="138"/>
      <c r="M114" s="138"/>
      <c r="N114" s="138"/>
      <c r="O114" s="167"/>
      <c r="P114" s="167"/>
      <c r="Q114" s="59"/>
      <c r="R114" s="59"/>
      <c r="S114" s="59"/>
      <c r="T114" s="59"/>
      <c r="U114" s="59"/>
      <c r="V114" s="59"/>
      <c r="W114" s="59"/>
      <c r="X114" s="59"/>
      <c r="Y114" s="60">
        <f>SUM(RD[[#This Row],[IS1Inv1]:[IS3Inv1]])</f>
        <v>0</v>
      </c>
      <c r="Z114" s="60">
        <f>SUM(RD[[#This Row],[IS4Inv1]:[IS4Inv2]])</f>
        <v>0</v>
      </c>
      <c r="AA114" s="60">
        <f>SUM(RD[[#This Row],[O2RE7]:[O2RE27]])</f>
        <v>0</v>
      </c>
      <c r="AB114" s="153"/>
      <c r="AC114" s="153"/>
      <c r="AD114" s="153"/>
      <c r="AE114" s="153"/>
      <c r="AF114" s="153"/>
      <c r="AG114" s="153"/>
      <c r="AH114" s="153"/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0</v>
      </c>
      <c r="AK114" s="154">
        <f>IF((RD[[#This Row],[220kV_TL_TVM_Ex]]-AE113)*1600&lt;=0,0,(RD[[#This Row],[220kV_TL_TVM_Ex]]-AE113)*1600)</f>
        <v>0</v>
      </c>
      <c r="AL114" s="154" t="str">
        <f>IF((RD[[#This Row],[220kV_C&amp;R_PQM_Ex]]-AF113)*1000&lt;=0,"",(RD[[#This Row],[220kV_C&amp;R_PQM_Ex]]-AF113)*1000)</f>
        <v/>
      </c>
      <c r="AM114" s="154" t="str">
        <f>IF((RD[[#This Row],[33kV_Aux1_Im]]-AH113)*1000&lt;0,"",(RD[[#This Row],[33kV_Aux1_Im]]-AH113)*1000)</f>
        <v/>
      </c>
      <c r="AN114" s="154" t="str">
        <f>IF((RD[[#This Row],[33kV_Aux1_Im]]-AH113)*1000&lt;0,"",(RD[[#This Row],[33kV_Aux1_Im]]-AH113)*1000)</f>
        <v/>
      </c>
      <c r="AO114" s="61">
        <f>RD[[#This Row],[33kV_OG1_Energy (KWh)]]</f>
        <v>0</v>
      </c>
      <c r="AP114" s="61" t="str">
        <f>IFERROR(RD[[#This Row],[220kV_TL_TVM Energy (KWh)]]-RD[[#This Row],[220kV_C&amp;R_PQM_Imp (KWh)2]],"")</f>
        <v/>
      </c>
      <c r="AQ114" s="63" t="str">
        <f>IFERROR(RD[[#This Row],[33 kV Total Export (KWH)]]/RD[[#This Row],[220 KV Net Export (KWh)]]-1,"")</f>
        <v/>
      </c>
      <c r="AR114" s="64">
        <f>IFERROR((RD[[#This Row],[Sunset Time (POA&lt;20 W/m2)]]-RD[[#This Row],[Sunrise Time (POA&gt;20 W/m2)]])*24,0)</f>
        <v>0</v>
      </c>
      <c r="AS114" s="65">
        <f>RD[[#This Row],[33kV_OG1_Energy (KWh)]]</f>
        <v>0</v>
      </c>
      <c r="AT114" s="65">
        <f>IFERROR(RD[[#This Row],[ Export (33 kV)]]*(1-RD[[#This Row],[33 kV Line Loss (%)]]),RD[[#This Row],[ Export (33 kV)]])</f>
        <v>0</v>
      </c>
      <c r="AU114" s="277">
        <v>39.21</v>
      </c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/>
      <c r="G115" s="122"/>
      <c r="H115" s="138"/>
      <c r="I115" s="138"/>
      <c r="J115" s="138"/>
      <c r="K115" s="138"/>
      <c r="L115" s="138"/>
      <c r="M115" s="138"/>
      <c r="N115" s="138"/>
      <c r="O115" s="167"/>
      <c r="P115" s="167"/>
      <c r="Q115" s="59"/>
      <c r="R115" s="59"/>
      <c r="S115" s="59"/>
      <c r="T115" s="59"/>
      <c r="U115" s="59"/>
      <c r="V115" s="59"/>
      <c r="W115" s="59"/>
      <c r="X115" s="59"/>
      <c r="Y115" s="60">
        <f>SUM(RD[[#This Row],[IS1Inv1]:[IS3Inv1]])</f>
        <v>0</v>
      </c>
      <c r="Z115" s="60">
        <f>SUM(RD[[#This Row],[IS4Inv1]:[IS4Inv2]])</f>
        <v>0</v>
      </c>
      <c r="AA115" s="60">
        <f>SUM(RD[[#This Row],[O2RE7]:[O2RE27]])</f>
        <v>0</v>
      </c>
      <c r="AB115" s="153"/>
      <c r="AC115" s="153"/>
      <c r="AD115" s="153"/>
      <c r="AE115" s="153"/>
      <c r="AF115" s="153"/>
      <c r="AG115" s="153"/>
      <c r="AH115" s="153"/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0</v>
      </c>
      <c r="AK115" s="154">
        <f>IF((RD[[#This Row],[220kV_TL_TVM_Ex]]-AE114)*1600&lt;=0,0,(RD[[#This Row],[220kV_TL_TVM_Ex]]-AE114)*1600)</f>
        <v>0</v>
      </c>
      <c r="AL115" s="154" t="str">
        <f>IF((RD[[#This Row],[220kV_C&amp;R_PQM_Ex]]-AF114)*1000&lt;=0,"",(RD[[#This Row],[220kV_C&amp;R_PQM_Ex]]-AF114)*1000)</f>
        <v/>
      </c>
      <c r="AM115" s="154">
        <f>IF((RD[[#This Row],[33kV_Aux1_Im]]-AH114)*1000&lt;0,"",(RD[[#This Row],[33kV_Aux1_Im]]-AH114)*1000)</f>
        <v>0</v>
      </c>
      <c r="AN115" s="154">
        <f>IF((RD[[#This Row],[33kV_Aux1_Im]]-AH114)*1000&lt;0,"",(RD[[#This Row],[33kV_Aux1_Im]]-AH114)*1000)</f>
        <v>0</v>
      </c>
      <c r="AO115" s="61">
        <f>RD[[#This Row],[33kV_OG1_Energy (KWh)]]</f>
        <v>0</v>
      </c>
      <c r="AP115" s="61">
        <f>IFERROR(RD[[#This Row],[220kV_TL_TVM Energy (KWh)]]-RD[[#This Row],[220kV_C&amp;R_PQM_Imp (KWh)2]],"")</f>
        <v>0</v>
      </c>
      <c r="AQ115" s="63" t="str">
        <f>IFERROR(RD[[#This Row],[33 kV Total Export (KWH)]]/RD[[#This Row],[220 KV Net Export (KWh)]]-1,"")</f>
        <v/>
      </c>
      <c r="AR115" s="64">
        <f>IFERROR((RD[[#This Row],[Sunset Time (POA&lt;20 W/m2)]]-RD[[#This Row],[Sunrise Time (POA&gt;20 W/m2)]])*24,0)</f>
        <v>0</v>
      </c>
      <c r="AS115" s="65">
        <f>RD[[#This Row],[33kV_OG1_Energy (KWh)]]</f>
        <v>0</v>
      </c>
      <c r="AT115" s="65">
        <f>IFERROR(RD[[#This Row],[ Export (33 kV)]]*(1-RD[[#This Row],[33 kV Line Loss (%)]]),RD[[#This Row],[ Export (33 kV)]])</f>
        <v>0</v>
      </c>
      <c r="AU115" s="277">
        <v>39.21</v>
      </c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>
        <f>IF((RD[[#This Row],[33kV_Aux1_Im]]-AH115)*1000&lt;0,"",(RD[[#This Row],[33kV_Aux1_Im]]-AH115)*1000)</f>
        <v>0</v>
      </c>
      <c r="AN116" s="154">
        <f>IF((RD[[#This Row],[33kV_Aux1_Im]]-AH115)*1000&lt;0,"",(RD[[#This Row],[33kV_Aux1_Im]]-AH115)*1000)</f>
        <v>0</v>
      </c>
      <c r="AO116" s="61">
        <f>RD[[#This Row],[33kV_OG1_Energy (KWh)]]</f>
        <v>0</v>
      </c>
      <c r="AP116" s="61">
        <f>IFERROR(RD[[#This Row],[220kV_TL_TVM Energy (KWh)]]-RD[[#This Row],[220kV_C&amp;R_PQM_Imp (KWh)2]],"")</f>
        <v>0</v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277">
        <v>39.21</v>
      </c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277">
        <v>39.21</v>
      </c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277">
        <v>39.21</v>
      </c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277">
        <v>39.21</v>
      </c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277">
        <v>39.21</v>
      </c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277">
        <v>39.21</v>
      </c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277">
        <v>39.21</v>
      </c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277">
        <v>39.21</v>
      </c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277">
        <v>39.21</v>
      </c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277">
        <v>39.21</v>
      </c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277">
        <v>39.21</v>
      </c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277">
        <v>39.21</v>
      </c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277">
        <v>39.21</v>
      </c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277">
        <v>39.21</v>
      </c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104 AK5:AK282 AL5:AL282 A5 AI106:AI200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1640625" defaultRowHeight="14.5"/>
  <cols>
    <col min="1" max="1" width="10.1796875" style="194" customWidth="1"/>
    <col min="2" max="2" width="10.1796875" style="219" customWidth="1"/>
    <col min="3" max="3" width="12.1796875" style="194" customWidth="1"/>
    <col min="4" max="4" width="12.81640625" style="194" customWidth="1"/>
    <col min="5" max="6" width="10.1796875" style="219" customWidth="1"/>
    <col min="7" max="7" width="16" style="219" customWidth="1"/>
    <col min="8" max="8" width="8.1796875" style="194" customWidth="1"/>
    <col min="9" max="9" width="9.453125" style="193" customWidth="1"/>
    <col min="10" max="10" width="10" style="193" customWidth="1"/>
    <col min="11" max="11" width="62.453125" style="219" customWidth="1"/>
    <col min="12" max="12" width="9.453125" style="194" customWidth="1"/>
    <col min="13" max="14" width="8.81640625" style="194"/>
    <col min="15" max="15" width="12" style="194" customWidth="1"/>
    <col min="16" max="16" width="8.453125" style="194" customWidth="1"/>
    <col min="17" max="17" width="8" style="194" customWidth="1"/>
    <col min="18" max="18" width="74.453125" style="219" bestFit="1" customWidth="1"/>
    <col min="19" max="19" width="8.453125" style="193" customWidth="1"/>
    <col min="20" max="20" width="11.453125" style="193" customWidth="1"/>
    <col min="21" max="21" width="11.453125" style="194" customWidth="1"/>
    <col min="22" max="22" width="11.81640625" style="194" customWidth="1"/>
    <col min="23" max="23" width="15.1796875" style="194" customWidth="1"/>
    <col min="24" max="16384" width="8.8164062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200</v>
      </c>
      <c r="F1" s="198" t="s">
        <v>201</v>
      </c>
      <c r="G1" s="198" t="s">
        <v>202</v>
      </c>
      <c r="H1" s="198" t="s">
        <v>34</v>
      </c>
      <c r="I1" s="198" t="s">
        <v>203</v>
      </c>
      <c r="J1" s="198" t="s">
        <v>204</v>
      </c>
      <c r="K1" s="198" t="s">
        <v>205</v>
      </c>
      <c r="L1" s="198" t="s">
        <v>206</v>
      </c>
      <c r="M1" s="198" t="s">
        <v>207</v>
      </c>
      <c r="N1" s="198" t="s">
        <v>208</v>
      </c>
      <c r="O1" s="198" t="s">
        <v>209</v>
      </c>
      <c r="P1" s="198" t="s">
        <v>210</v>
      </c>
      <c r="Q1" s="198" t="s">
        <v>211</v>
      </c>
      <c r="R1" s="198" t="s">
        <v>212</v>
      </c>
      <c r="S1" s="198" t="s">
        <v>213</v>
      </c>
      <c r="T1" s="198" t="s">
        <v>214</v>
      </c>
      <c r="U1" s="198" t="s">
        <v>215</v>
      </c>
      <c r="V1" s="199" t="s">
        <v>216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217</v>
      </c>
      <c r="F2" s="31" t="s">
        <v>218</v>
      </c>
      <c r="G2" s="31"/>
      <c r="H2" s="203" t="e">
        <f>_xlfn.XLOOKUP(IGA_BD[[#This Row],[Affected Feeder ]],'Basic Data'!N:N,'Basic Data'!O:O)</f>
        <v>#N/A</v>
      </c>
      <c r="I2" s="203" t="e">
        <f>_xlfn.XLOOKUP(IGA_BD[[#This Row],[Affected Feeder ]],'Basic Data'!N:N,'Basic Data'!P:P)</f>
        <v>#N/A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217</v>
      </c>
      <c r="F3" s="31" t="s">
        <v>218</v>
      </c>
      <c r="G3" s="31"/>
      <c r="H3" s="203" t="e">
        <f>_xlfn.XLOOKUP(IGA_BD[[#This Row],[Affected Feeder ]],'Basic Data'!N:N,'Basic Data'!O:O)</f>
        <v>#N/A</v>
      </c>
      <c r="I3" s="203" t="e">
        <f>_xlfn.XLOOKUP(IGA_BD[[#This Row],[Affected Feeder ]],'Basic Data'!N:N,'Basic Data'!P:P)</f>
        <v>#N/A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217</v>
      </c>
      <c r="F4" s="31" t="s">
        <v>218</v>
      </c>
      <c r="G4" s="31"/>
      <c r="H4" s="203" t="e">
        <f>_xlfn.XLOOKUP(IGA_BD[[#This Row],[Affected Feeder ]],'Basic Data'!N:N,'Basic Data'!O:O)</f>
        <v>#N/A</v>
      </c>
      <c r="I4" s="203" t="e">
        <f>_xlfn.XLOOKUP(IGA_BD[[#This Row],[Affected Feeder ]],'Basic Data'!N:N,'Basic Data'!P:P)</f>
        <v>#N/A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217</v>
      </c>
      <c r="F5" s="31" t="s">
        <v>218</v>
      </c>
      <c r="G5" s="31"/>
      <c r="H5" s="203" t="e">
        <f>_xlfn.XLOOKUP(IGA_BD[[#This Row],[Affected Feeder ]],'Basic Data'!N:N,'Basic Data'!O:O)</f>
        <v>#N/A</v>
      </c>
      <c r="I5" s="203" t="e">
        <f>_xlfn.XLOOKUP(IGA_BD[[#This Row],[Affected Feeder ]],'Basic Data'!N:N,'Basic Data'!P:P)</f>
        <v>#N/A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217</v>
      </c>
      <c r="F6" s="31" t="s">
        <v>218</v>
      </c>
      <c r="G6" s="31"/>
      <c r="H6" s="203" t="e">
        <f>_xlfn.XLOOKUP(IGA_BD[[#This Row],[Affected Feeder ]],'Basic Data'!N:N,'Basic Data'!O:O)</f>
        <v>#N/A</v>
      </c>
      <c r="I6" s="203" t="e">
        <f>_xlfn.XLOOKUP(IGA_BD[[#This Row],[Affected Feeder ]],'Basic Data'!N:N,'Basic Data'!P:P)</f>
        <v>#N/A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217</v>
      </c>
      <c r="F7" s="31" t="s">
        <v>218</v>
      </c>
      <c r="G7" s="31"/>
      <c r="H7" s="203" t="e">
        <f>_xlfn.XLOOKUP(IGA_BD[[#This Row],[Affected Feeder ]],'Basic Data'!N:N,'Basic Data'!O:O)</f>
        <v>#N/A</v>
      </c>
      <c r="I7" s="203" t="e">
        <f>_xlfn.XLOOKUP(IGA_BD[[#This Row],[Affected Feeder ]],'Basic Data'!N:N,'Basic Data'!P:P)</f>
        <v>#N/A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217</v>
      </c>
      <c r="F8" s="31" t="s">
        <v>218</v>
      </c>
      <c r="G8" s="31"/>
      <c r="H8" s="203" t="e">
        <f>_xlfn.XLOOKUP(IGA_BD[[#This Row],[Affected Feeder ]],'Basic Data'!N:N,'Basic Data'!O:O)</f>
        <v>#N/A</v>
      </c>
      <c r="I8" s="203" t="e">
        <f>_xlfn.XLOOKUP(IGA_BD[[#This Row],[Affected Feeder ]],'Basic Data'!N:N,'Basic Data'!P:P)</f>
        <v>#N/A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217</v>
      </c>
      <c r="F9" s="31" t="s">
        <v>218</v>
      </c>
      <c r="G9" s="31"/>
      <c r="H9" s="203" t="e">
        <f>_xlfn.XLOOKUP(IGA_BD[[#This Row],[Affected Feeder ]],'Basic Data'!N:N,'Basic Data'!O:O)</f>
        <v>#N/A</v>
      </c>
      <c r="I9" s="203" t="e">
        <f>_xlfn.XLOOKUP(IGA_BD[[#This Row],[Affected Feeder ]],'Basic Data'!N:N,'Basic Data'!P:P)</f>
        <v>#N/A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217</v>
      </c>
      <c r="F10" s="31" t="s">
        <v>218</v>
      </c>
      <c r="G10" s="31"/>
      <c r="H10" s="203" t="e">
        <f>_xlfn.XLOOKUP(IGA_BD[[#This Row],[Affected Feeder ]],'Basic Data'!N:N,'Basic Data'!O:O)</f>
        <v>#N/A</v>
      </c>
      <c r="I10" s="203" t="e">
        <f>_xlfn.XLOOKUP(IGA_BD[[#This Row],[Affected Feeder ]],'Basic Data'!N:N,'Basic Data'!P:P)</f>
        <v>#N/A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217</v>
      </c>
      <c r="F11" s="31" t="s">
        <v>218</v>
      </c>
      <c r="G11" s="31"/>
      <c r="H11" s="203" t="e">
        <f>_xlfn.XLOOKUP(IGA_BD[[#This Row],[Affected Feeder ]],'Basic Data'!N:N,'Basic Data'!O:O)</f>
        <v>#N/A</v>
      </c>
      <c r="I11" s="203" t="e">
        <f>_xlfn.XLOOKUP(IGA_BD[[#This Row],[Affected Feeder ]],'Basic Data'!N:N,'Basic Data'!P:P)</f>
        <v>#N/A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217</v>
      </c>
      <c r="F12" s="31" t="s">
        <v>218</v>
      </c>
      <c r="G12" s="31"/>
      <c r="H12" s="203" t="e">
        <f>_xlfn.XLOOKUP(IGA_BD[[#This Row],[Affected Feeder ]],'Basic Data'!N:N,'Basic Data'!O:O)</f>
        <v>#N/A</v>
      </c>
      <c r="I12" s="203" t="e">
        <f>_xlfn.XLOOKUP(IGA_BD[[#This Row],[Affected Feeder ]],'Basic Data'!N:N,'Basic Data'!P:P)</f>
        <v>#N/A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217</v>
      </c>
      <c r="F13" s="31" t="s">
        <v>219</v>
      </c>
      <c r="G13" s="31"/>
      <c r="H13" s="203" t="e">
        <f>_xlfn.XLOOKUP(IGA_BD[[#This Row],[Affected Feeder ]],'Basic Data'!N:N,'Basic Data'!O:O)</f>
        <v>#N/A</v>
      </c>
      <c r="I13" s="203" t="e">
        <f>_xlfn.XLOOKUP(IGA_BD[[#This Row],[Affected Feeder ]],'Basic Data'!N:N,'Basic Data'!P:P)</f>
        <v>#N/A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217</v>
      </c>
      <c r="F14" s="31" t="s">
        <v>219</v>
      </c>
      <c r="G14" s="31"/>
      <c r="H14" s="203" t="e">
        <f>_xlfn.XLOOKUP(IGA_BD[[#This Row],[Affected Feeder ]],'Basic Data'!N:N,'Basic Data'!O:O)</f>
        <v>#N/A</v>
      </c>
      <c r="I14" s="203" t="e">
        <f>_xlfn.XLOOKUP(IGA_BD[[#This Row],[Affected Feeder ]],'Basic Data'!N:N,'Basic Data'!P:P)</f>
        <v>#N/A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217</v>
      </c>
      <c r="F15" s="31" t="s">
        <v>219</v>
      </c>
      <c r="G15" s="31"/>
      <c r="H15" s="203" t="e">
        <f>_xlfn.XLOOKUP(IGA_BD[[#This Row],[Affected Feeder ]],'Basic Data'!N:N,'Basic Data'!O:O)</f>
        <v>#N/A</v>
      </c>
      <c r="I15" s="203" t="e">
        <f>_xlfn.XLOOKUP(IGA_BD[[#This Row],[Affected Feeder ]],'Basic Data'!N:N,'Basic Data'!P:P)</f>
        <v>#N/A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217</v>
      </c>
      <c r="F16" s="31" t="s">
        <v>219</v>
      </c>
      <c r="G16" s="31"/>
      <c r="H16" s="203" t="e">
        <f>_xlfn.XLOOKUP(IGA_BD[[#This Row],[Affected Feeder ]],'Basic Data'!N:N,'Basic Data'!O:O)</f>
        <v>#N/A</v>
      </c>
      <c r="I16" s="203" t="e">
        <f>_xlfn.XLOOKUP(IGA_BD[[#This Row],[Affected Feeder ]],'Basic Data'!N:N,'Basic Data'!P:P)</f>
        <v>#N/A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217</v>
      </c>
      <c r="F17" s="31" t="s">
        <v>219</v>
      </c>
      <c r="G17" s="31"/>
      <c r="H17" s="203" t="e">
        <f>_xlfn.XLOOKUP(IGA_BD[[#This Row],[Affected Feeder ]],'Basic Data'!N:N,'Basic Data'!O:O)</f>
        <v>#N/A</v>
      </c>
      <c r="I17" s="203" t="e">
        <f>_xlfn.XLOOKUP(IGA_BD[[#This Row],[Affected Feeder ]],'Basic Data'!N:N,'Basic Data'!P:P)</f>
        <v>#N/A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217</v>
      </c>
      <c r="F18" s="31" t="s">
        <v>219</v>
      </c>
      <c r="G18" s="31"/>
      <c r="H18" s="203" t="e">
        <f>_xlfn.XLOOKUP(IGA_BD[[#This Row],[Affected Feeder ]],'Basic Data'!N:N,'Basic Data'!O:O)</f>
        <v>#N/A</v>
      </c>
      <c r="I18" s="203" t="e">
        <f>_xlfn.XLOOKUP(IGA_BD[[#This Row],[Affected Feeder ]],'Basic Data'!N:N,'Basic Data'!P:P)</f>
        <v>#N/A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217</v>
      </c>
      <c r="F19" s="31" t="s">
        <v>219</v>
      </c>
      <c r="G19" s="31"/>
      <c r="H19" s="203" t="e">
        <f>_xlfn.XLOOKUP(IGA_BD[[#This Row],[Affected Feeder ]],'Basic Data'!N:N,'Basic Data'!O:O)</f>
        <v>#N/A</v>
      </c>
      <c r="I19" s="203" t="e">
        <f>_xlfn.XLOOKUP(IGA_BD[[#This Row],[Affected Feeder ]],'Basic Data'!N:N,'Basic Data'!P:P)</f>
        <v>#N/A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217</v>
      </c>
      <c r="F20" s="31" t="s">
        <v>219</v>
      </c>
      <c r="G20" s="31"/>
      <c r="H20" s="203" t="e">
        <f>_xlfn.XLOOKUP(IGA_BD[[#This Row],[Affected Feeder ]],'Basic Data'!N:N,'Basic Data'!O:O)</f>
        <v>#N/A</v>
      </c>
      <c r="I20" s="203" t="e">
        <f>_xlfn.XLOOKUP(IGA_BD[[#This Row],[Affected Feeder ]],'Basic Data'!N:N,'Basic Data'!P:P)</f>
        <v>#N/A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217</v>
      </c>
      <c r="F21" s="31" t="s">
        <v>219</v>
      </c>
      <c r="G21" s="31"/>
      <c r="H21" s="203" t="e">
        <f>_xlfn.XLOOKUP(IGA_BD[[#This Row],[Affected Feeder ]],'Basic Data'!N:N,'Basic Data'!O:O)</f>
        <v>#N/A</v>
      </c>
      <c r="I21" s="203" t="e">
        <f>_xlfn.XLOOKUP(IGA_BD[[#This Row],[Affected Feeder ]],'Basic Data'!N:N,'Basic Data'!P:P)</f>
        <v>#N/A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217</v>
      </c>
      <c r="F22" s="31" t="s">
        <v>219</v>
      </c>
      <c r="G22" s="31"/>
      <c r="H22" s="203" t="e">
        <f>_xlfn.XLOOKUP(IGA_BD[[#This Row],[Affected Feeder ]],'Basic Data'!N:N,'Basic Data'!O:O)</f>
        <v>#N/A</v>
      </c>
      <c r="I22" s="203" t="e">
        <f>_xlfn.XLOOKUP(IGA_BD[[#This Row],[Affected Feeder ]],'Basic Data'!N:N,'Basic Data'!P:P)</f>
        <v>#N/A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217</v>
      </c>
      <c r="F23" s="31" t="s">
        <v>219</v>
      </c>
      <c r="G23" s="31"/>
      <c r="H23" s="203" t="e">
        <f>_xlfn.XLOOKUP(IGA_BD[[#This Row],[Affected Feeder ]],'Basic Data'!N:N,'Basic Data'!O:O)</f>
        <v>#N/A</v>
      </c>
      <c r="I23" s="203" t="e">
        <f>_xlfn.XLOOKUP(IGA_BD[[#This Row],[Affected Feeder ]],'Basic Data'!N:N,'Basic Data'!P:P)</f>
        <v>#N/A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217</v>
      </c>
      <c r="F24" s="31" t="s">
        <v>219</v>
      </c>
      <c r="G24" s="31"/>
      <c r="H24" s="203" t="e">
        <f>_xlfn.XLOOKUP(IGA_BD[[#This Row],[Affected Feeder ]],'Basic Data'!N:N,'Basic Data'!O:O)</f>
        <v>#N/A</v>
      </c>
      <c r="I24" s="203" t="e">
        <f>_xlfn.XLOOKUP(IGA_BD[[#This Row],[Affected Feeder ]],'Basic Data'!N:N,'Basic Data'!P:P)</f>
        <v>#N/A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217</v>
      </c>
      <c r="F25" s="31" t="s">
        <v>219</v>
      </c>
      <c r="G25" s="31"/>
      <c r="H25" s="203" t="e">
        <f>_xlfn.XLOOKUP(IGA_BD[[#This Row],[Affected Feeder ]],'Basic Data'!N:N,'Basic Data'!O:O)</f>
        <v>#N/A</v>
      </c>
      <c r="I25" s="203" t="e">
        <f>_xlfn.XLOOKUP(IGA_BD[[#This Row],[Affected Feeder ]],'Basic Data'!N:N,'Basic Data'!P:P)</f>
        <v>#N/A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217</v>
      </c>
      <c r="F26" s="31" t="s">
        <v>219</v>
      </c>
      <c r="G26" s="31"/>
      <c r="H26" s="203" t="e">
        <f>_xlfn.XLOOKUP(IGA_BD[[#This Row],[Affected Feeder ]],'Basic Data'!N:N,'Basic Data'!O:O)</f>
        <v>#N/A</v>
      </c>
      <c r="I26" s="203" t="e">
        <f>_xlfn.XLOOKUP(IGA_BD[[#This Row],[Affected Feeder ]],'Basic Data'!N:N,'Basic Data'!P:P)</f>
        <v>#N/A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217</v>
      </c>
      <c r="F27" s="31" t="s">
        <v>219</v>
      </c>
      <c r="G27" s="31"/>
      <c r="H27" s="203" t="e">
        <f>_xlfn.XLOOKUP(IGA_BD[[#This Row],[Affected Feeder ]],'Basic Data'!N:N,'Basic Data'!O:O)</f>
        <v>#N/A</v>
      </c>
      <c r="I27" s="203" t="e">
        <f>_xlfn.XLOOKUP(IGA_BD[[#This Row],[Affected Feeder ]],'Basic Data'!N:N,'Basic Data'!P:P)</f>
        <v>#N/A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217</v>
      </c>
      <c r="F28" s="166" t="s">
        <v>219</v>
      </c>
      <c r="G28" s="166"/>
      <c r="H28" s="203" t="e">
        <f>_xlfn.XLOOKUP(IGA_BD[[#This Row],[Affected Feeder ]],'Basic Data'!N:N,'Basic Data'!O:O)</f>
        <v>#N/A</v>
      </c>
      <c r="I28" s="203" t="e">
        <f>_xlfn.XLOOKUP(IGA_BD[[#This Row],[Affected Feeder ]],'Basic Data'!N:N,'Basic Data'!P:P)</f>
        <v>#N/A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217</v>
      </c>
      <c r="F29" s="166" t="s">
        <v>219</v>
      </c>
      <c r="G29" s="166"/>
      <c r="H29" s="203" t="e">
        <f>_xlfn.XLOOKUP(IGA_BD[[#This Row],[Affected Feeder ]],'Basic Data'!N:N,'Basic Data'!O:O)</f>
        <v>#N/A</v>
      </c>
      <c r="I29" s="203" t="e">
        <f>_xlfn.XLOOKUP(IGA_BD[[#This Row],[Affected Feeder ]],'Basic Data'!N:N,'Basic Data'!P:P)</f>
        <v>#N/A</v>
      </c>
      <c r="J29" s="204" t="str">
        <f>IFERROR(_xlfn.XLOOKUP(IGA_BD[[#This Row],[Affected Feeder ]],'Basic Data'!N:N,'Basic Data'!R:R),"")</f>
        <v/>
      </c>
      <c r="K29" s="346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46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217</v>
      </c>
      <c r="F30" s="166" t="s">
        <v>219</v>
      </c>
      <c r="G30" s="166"/>
      <c r="H30" s="203" t="e">
        <f>_xlfn.XLOOKUP(IGA_BD[[#This Row],[Affected Feeder ]],'Basic Data'!N:N,'Basic Data'!O:O)</f>
        <v>#N/A</v>
      </c>
      <c r="I30" s="203" t="e">
        <f>_xlfn.XLOOKUP(IGA_BD[[#This Row],[Affected Feeder ]],'Basic Data'!N:N,'Basic Data'!P:P)</f>
        <v>#N/A</v>
      </c>
      <c r="J30" s="204" t="str">
        <f>IFERROR(_xlfn.XLOOKUP(IGA_BD[[#This Row],[Affected Feeder ]],'Basic Data'!N:N,'Basic Data'!R:R),"")</f>
        <v/>
      </c>
      <c r="K30" s="346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217</v>
      </c>
      <c r="F31" s="166" t="s">
        <v>219</v>
      </c>
      <c r="G31" s="166"/>
      <c r="H31" s="203" t="e">
        <f>_xlfn.XLOOKUP(IGA_BD[[#This Row],[Affected Feeder ]],'Basic Data'!N:N,'Basic Data'!O:O)</f>
        <v>#N/A</v>
      </c>
      <c r="I31" s="203" t="e">
        <f>_xlfn.XLOOKUP(IGA_BD[[#This Row],[Affected Feeder ]],'Basic Data'!N:N,'Basic Data'!P:P)</f>
        <v>#N/A</v>
      </c>
      <c r="J31" s="204" t="str">
        <f>IFERROR(_xlfn.XLOOKUP(IGA_BD[[#This Row],[Affected Feeder ]],'Basic Data'!N:N,'Basic Data'!R:R),"")</f>
        <v/>
      </c>
      <c r="K31" s="346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217</v>
      </c>
      <c r="F32" s="166" t="s">
        <v>219</v>
      </c>
      <c r="G32" s="166"/>
      <c r="H32" s="203" t="e">
        <f>_xlfn.XLOOKUP(IGA_BD[[#This Row],[Affected Feeder ]],'Basic Data'!N:N,'Basic Data'!O:O)</f>
        <v>#N/A</v>
      </c>
      <c r="I32" s="203" t="e">
        <f>_xlfn.XLOOKUP(IGA_BD[[#This Row],[Affected Feeder ]],'Basic Data'!N:N,'Basic Data'!P:P)</f>
        <v>#N/A</v>
      </c>
      <c r="J32" s="204" t="str">
        <f>IFERROR(_xlfn.XLOOKUP(IGA_BD[[#This Row],[Affected Feeder ]],'Basic Data'!N:N,'Basic Data'!R:R),"")</f>
        <v/>
      </c>
      <c r="K32" s="346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58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Q10" activePane="bottomRight" state="frozen"/>
      <selection pane="topRight" activeCell="E1" sqref="E1"/>
      <selection pane="bottomLeft" activeCell="A2" sqref="A2"/>
      <selection pane="bottomRight" activeCell="W17" sqref="W17"/>
    </sheetView>
  </sheetViews>
  <sheetFormatPr defaultColWidth="8.453125" defaultRowHeight="14.5"/>
  <cols>
    <col min="1" max="2" width="9.453125" style="295" customWidth="1"/>
    <col min="3" max="3" width="15.81640625" style="295" customWidth="1"/>
    <col min="4" max="6" width="8.453125" style="295"/>
    <col min="7" max="7" width="20.453125" style="295" customWidth="1"/>
    <col min="8" max="8" width="8.453125" style="295"/>
    <col min="9" max="9" width="9.453125" style="295" bestFit="1" customWidth="1"/>
    <col min="10" max="14" width="8.453125" style="295"/>
    <col min="15" max="15" width="9.81640625" style="295" bestFit="1" customWidth="1"/>
    <col min="16" max="16" width="11" style="295" customWidth="1"/>
    <col min="17" max="17" width="15.453125" style="295" customWidth="1"/>
    <col min="18" max="19" width="10.81640625" style="295" customWidth="1"/>
    <col min="20" max="20" width="13" style="295" customWidth="1"/>
    <col min="21" max="25" width="12.81640625" style="295" customWidth="1"/>
    <col min="26" max="27" width="14.453125" style="295" customWidth="1"/>
    <col min="28" max="29" width="15.453125" style="295" customWidth="1"/>
    <col min="30" max="38" width="9.81640625" style="295" customWidth="1"/>
    <col min="39" max="39" width="11.453125" style="295" customWidth="1"/>
    <col min="40" max="40" width="12.453125" style="295" bestFit="1" customWidth="1"/>
    <col min="41" max="16384" width="8.453125" style="295"/>
  </cols>
  <sheetData>
    <row r="1" spans="1:43" ht="43.5">
      <c r="A1" s="307" t="s">
        <v>6</v>
      </c>
      <c r="B1" s="307" t="s">
        <v>220</v>
      </c>
      <c r="C1" s="307" t="s">
        <v>221</v>
      </c>
      <c r="D1" s="307" t="s">
        <v>86</v>
      </c>
      <c r="E1" s="307" t="s">
        <v>222</v>
      </c>
      <c r="F1" s="307" t="s">
        <v>223</v>
      </c>
      <c r="G1" s="307" t="s">
        <v>224</v>
      </c>
      <c r="H1" s="307" t="s">
        <v>225</v>
      </c>
      <c r="I1" s="307" t="s">
        <v>226</v>
      </c>
      <c r="J1" s="307" t="s">
        <v>227</v>
      </c>
      <c r="K1" s="307" t="s">
        <v>228</v>
      </c>
      <c r="L1" s="307" t="s">
        <v>229</v>
      </c>
      <c r="M1" s="307" t="s">
        <v>230</v>
      </c>
      <c r="N1" s="307" t="s">
        <v>231</v>
      </c>
      <c r="O1" s="307" t="s">
        <v>232</v>
      </c>
      <c r="P1" s="307" t="s">
        <v>233</v>
      </c>
      <c r="Q1" s="307" t="s">
        <v>234</v>
      </c>
      <c r="R1" s="307" t="s">
        <v>235</v>
      </c>
      <c r="S1" s="307" t="s">
        <v>236</v>
      </c>
      <c r="T1" s="307" t="s">
        <v>237</v>
      </c>
      <c r="U1" s="307" t="s">
        <v>238</v>
      </c>
      <c r="V1" s="307" t="s">
        <v>239</v>
      </c>
      <c r="W1" s="307" t="s">
        <v>240</v>
      </c>
      <c r="X1" s="307" t="s">
        <v>241</v>
      </c>
      <c r="Y1" s="307" t="s">
        <v>242</v>
      </c>
      <c r="Z1" s="307" t="s">
        <v>243</v>
      </c>
      <c r="AA1" s="307" t="s">
        <v>244</v>
      </c>
      <c r="AB1" s="307" t="s">
        <v>245</v>
      </c>
      <c r="AC1" s="307" t="s">
        <v>246</v>
      </c>
      <c r="AD1" s="307" t="s">
        <v>247</v>
      </c>
      <c r="AE1" s="307" t="s">
        <v>248</v>
      </c>
      <c r="AF1" s="307" t="s">
        <v>249</v>
      </c>
      <c r="AG1" s="307" t="s">
        <v>250</v>
      </c>
      <c r="AH1" s="307" t="s">
        <v>251</v>
      </c>
      <c r="AI1" s="307" t="s">
        <v>252</v>
      </c>
      <c r="AJ1" s="307" t="s">
        <v>253</v>
      </c>
      <c r="AK1" s="307" t="s">
        <v>254</v>
      </c>
      <c r="AL1" s="307" t="s">
        <v>255</v>
      </c>
      <c r="AM1" s="308" t="s">
        <v>13</v>
      </c>
      <c r="AN1" s="308" t="s">
        <v>14</v>
      </c>
      <c r="AP1" s="295" t="s">
        <v>256</v>
      </c>
      <c r="AQ1" s="309">
        <v>39.21</v>
      </c>
    </row>
    <row r="2" spans="1:43">
      <c r="A2" s="310">
        <v>1</v>
      </c>
      <c r="B2" s="311" t="s">
        <v>257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258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258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259</v>
      </c>
      <c r="C4" s="310">
        <v>6</v>
      </c>
      <c r="D4" s="312">
        <v>45444</v>
      </c>
      <c r="E4" s="313">
        <f>YEAR(D4)</f>
        <v>2024</v>
      </c>
      <c r="F4" s="313" t="s">
        <v>258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260</v>
      </c>
      <c r="C5" s="310">
        <v>7</v>
      </c>
      <c r="D5" s="312">
        <v>45474</v>
      </c>
      <c r="E5" s="321">
        <f>YEAR(D5)</f>
        <v>2024</v>
      </c>
      <c r="F5" s="313" t="s">
        <v>258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261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258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262</v>
      </c>
      <c r="C7" s="310">
        <v>9</v>
      </c>
      <c r="D7" s="312">
        <v>45536</v>
      </c>
      <c r="E7" s="313">
        <f t="shared" si="11"/>
        <v>2024</v>
      </c>
      <c r="F7" s="313" t="s">
        <v>258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263</v>
      </c>
      <c r="C8" s="310">
        <v>10</v>
      </c>
      <c r="D8" s="312">
        <v>45566</v>
      </c>
      <c r="E8" s="321">
        <f t="shared" si="11"/>
        <v>2024</v>
      </c>
      <c r="F8" s="313" t="s">
        <v>258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264</v>
      </c>
      <c r="C9" s="310">
        <v>11</v>
      </c>
      <c r="D9" s="312">
        <v>45597</v>
      </c>
      <c r="E9" s="313">
        <f t="shared" si="11"/>
        <v>2024</v>
      </c>
      <c r="F9" s="313" t="s">
        <v>258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265</v>
      </c>
      <c r="C10" s="310">
        <v>12</v>
      </c>
      <c r="D10" s="312">
        <v>45627</v>
      </c>
      <c r="E10" s="321">
        <f t="shared" si="11"/>
        <v>2024</v>
      </c>
      <c r="F10" s="313" t="s">
        <v>258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266</v>
      </c>
      <c r="C11" s="310">
        <v>1</v>
      </c>
      <c r="D11" s="312">
        <v>45658</v>
      </c>
      <c r="E11" s="313">
        <f t="shared" si="11"/>
        <v>2025</v>
      </c>
      <c r="F11" s="313" t="s">
        <v>258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267</v>
      </c>
      <c r="C12" s="310">
        <v>2</v>
      </c>
      <c r="D12" s="312">
        <v>45689</v>
      </c>
      <c r="E12" s="321">
        <f t="shared" si="11"/>
        <v>2025</v>
      </c>
      <c r="F12" s="313" t="s">
        <v>258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268</v>
      </c>
      <c r="C13" s="310">
        <v>3</v>
      </c>
      <c r="D13" s="312">
        <v>45717</v>
      </c>
      <c r="E13" s="313">
        <f t="shared" si="11"/>
        <v>2025</v>
      </c>
      <c r="F13" s="313" t="s">
        <v>258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269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269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269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30</v>
      </c>
      <c r="R16" s="317">
        <f t="shared" si="15"/>
        <v>143.4</v>
      </c>
      <c r="S16" s="317">
        <f>SUMIF($F$2:F16,F16,$R$2:R16)</f>
        <v>537.10803409999994</v>
      </c>
      <c r="T16" s="316">
        <f t="shared" si="16"/>
        <v>168.24961104657604</v>
      </c>
      <c r="U16" s="317">
        <f t="shared" si="17"/>
        <v>5047.4883313972814</v>
      </c>
      <c r="V16" s="317">
        <f>SUMIF($F$2:F16,F16,$U$2:U16)</f>
        <v>16267.013674643789</v>
      </c>
      <c r="W16" s="318">
        <f t="shared" si="18"/>
        <v>0.15261981571881245</v>
      </c>
      <c r="X16" s="318">
        <f t="shared" si="8"/>
        <v>0.15261981571881245</v>
      </c>
      <c r="Y16" s="318">
        <f t="shared" si="9"/>
        <v>0.16215236802011285</v>
      </c>
      <c r="Z16" s="316">
        <f>IFERROR(AVERAGEIF('Daily KPI'!D:D,Mod[[#This Row],[Month]],'Daily KPI'!AB:AB),"")</f>
        <v>39.210000000000015</v>
      </c>
      <c r="AA16" s="319">
        <f>IFERROR(AVERAGEIF($F$2:F16,F16,$Z$2:Z16),"")</f>
        <v>38.108222222222231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4308640.5415209346</v>
      </c>
      <c r="AN16" s="326">
        <f>SUMIF($F$2:F16,F16,$AM$2:AM16)</f>
        <v>14199198.687120408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269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15</v>
      </c>
      <c r="R17" s="317">
        <f t="shared" si="15"/>
        <v>57.145161290322577</v>
      </c>
      <c r="S17" s="317">
        <f>SUMIF($F$2:F17,F17,$R$2:R17)</f>
        <v>594.2531953903225</v>
      </c>
      <c r="T17" s="316">
        <f t="shared" si="16"/>
        <v>171.30696170170086</v>
      </c>
      <c r="U17" s="317">
        <f t="shared" si="17"/>
        <v>2569.6044255255129</v>
      </c>
      <c r="V17" s="317">
        <f>SUMIF($F$2:F17,F17,$U$2:U17)</f>
        <v>18836.618100169304</v>
      </c>
      <c r="W17" s="318">
        <f t="shared" si="18"/>
        <v>0.13127875616073204</v>
      </c>
      <c r="X17" s="318">
        <f t="shared" si="8"/>
        <v>0.13127875616073204</v>
      </c>
      <c r="Y17" s="318">
        <f t="shared" si="9"/>
        <v>0.13618099665204483</v>
      </c>
      <c r="Z17" s="316">
        <f>IFERROR(AVERAGEIF('Daily KPI'!D:D,Mod[[#This Row],[Month]],'Daily KPI'!AB:AB),"")</f>
        <v>39.210000000000015</v>
      </c>
      <c r="AA17" s="319">
        <f>IFERROR(AVERAGEIF($F$2:F17,F17,$Z$2:Z17),"")</f>
        <v>38.383666666666677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3829695.3816223559</v>
      </c>
      <c r="AN17" s="326">
        <f>SUMIF($F$2:F17,F17,$AM$2:AM17)</f>
        <v>18028894.068742763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269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594.2531953903225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18836.618100169304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0.13618099665204483</v>
      </c>
      <c r="Z18" s="316">
        <f>IFERROR(AVERAGEIF('Daily KPI'!D:D,Mod[[#This Row],[Month]],'Daily KPI'!AB:AB),"")</f>
        <v>0</v>
      </c>
      <c r="AA18" s="319">
        <f>IFERROR(AVERAGEIF($F$2:F18,F18,$Z$2:Z18),"")</f>
        <v>30.706933333333343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18028894.068742763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269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594.2531953903225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18836.618100169304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0.13618099665204483</v>
      </c>
      <c r="Z19" s="316">
        <f>IFERROR(AVERAGEIF('Daily KPI'!D:D,Mod[[#This Row],[Month]],'Daily KPI'!AB:AB),"")</f>
        <v>0</v>
      </c>
      <c r="AA19" s="319">
        <f>IFERROR(AVERAGEIF($F$2:F19,F19,$Z$2:Z19),"")</f>
        <v>25.589111111111119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18028894.068742763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269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594.2531953903225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18836.618100169304</v>
      </c>
      <c r="W20" s="318">
        <f t="shared" si="18"/>
        <v>0.17013535170969213</v>
      </c>
      <c r="X20" s="318" t="str">
        <f t="shared" si="8"/>
        <v/>
      </c>
      <c r="Y20" s="318">
        <f t="shared" si="9"/>
        <v>5.4846896401611063E-2</v>
      </c>
      <c r="Z20" s="316">
        <f>IFERROR(AVERAGEIF('Daily KPI'!D:D,Mod[[#This Row],[Month]],'Daily KPI'!AB:AB),"")</f>
        <v>0</v>
      </c>
      <c r="AA20" s="319">
        <f>IFERROR(AVERAGEIF($F$2:F20,F20,$Z$2:Z20),"")</f>
        <v>21.933523809523816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18028894.068742763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269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594.2531953903225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18836.618100169304</v>
      </c>
      <c r="W21" s="318">
        <f t="shared" si="18"/>
        <v>0.17706616816247345</v>
      </c>
      <c r="X21" s="318" t="str">
        <f t="shared" si="8"/>
        <v/>
      </c>
      <c r="Y21" s="318">
        <f t="shared" si="9"/>
        <v>5.4846896401611063E-2</v>
      </c>
      <c r="Z21" s="316">
        <f>IFERROR(AVERAGEIF('Daily KPI'!D:D,Mod[[#This Row],[Month]],'Daily KPI'!AB:AB),"")</f>
        <v>0</v>
      </c>
      <c r="AA21" s="319">
        <f>IFERROR(AVERAGEIF($F$2:F21,F21,$Z$2:Z21),"")</f>
        <v>19.191833333333339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18028894.068742763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269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594.2531953903225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18836.618100169304</v>
      </c>
      <c r="W22" s="318">
        <f t="shared" si="18"/>
        <v>0.18208132482699957</v>
      </c>
      <c r="X22" s="318" t="str">
        <f t="shared" si="8"/>
        <v/>
      </c>
      <c r="Y22" s="318">
        <f t="shared" si="9"/>
        <v>5.4846896401611063E-2</v>
      </c>
      <c r="Z22" s="316">
        <f>IFERROR(AVERAGEIF('Daily KPI'!D:D,Mod[[#This Row],[Month]],'Daily KPI'!AB:AB),"")</f>
        <v>0</v>
      </c>
      <c r="AA22" s="319">
        <f>IFERROR(AVERAGEIF($F$2:F22,F22,$Z$2:Z22),"")</f>
        <v>17.059407407407413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18028894.068742763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269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594.2531953903225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18836.618100169304</v>
      </c>
      <c r="W23" s="318">
        <f t="shared" si="18"/>
        <v>0.2042099833979151</v>
      </c>
      <c r="X23" s="318" t="str">
        <f t="shared" si="8"/>
        <v/>
      </c>
      <c r="Y23" s="318">
        <f t="shared" si="9"/>
        <v>5.4846896401611063E-2</v>
      </c>
      <c r="Z23" s="316" t="str">
        <f>IFERROR(AVERAGEIF('Daily KPI'!D:D,Mod[[#This Row],[Month]],'Daily KPI'!AB:AB),"")</f>
        <v/>
      </c>
      <c r="AA23" s="319">
        <f>IFERROR(AVERAGEIF($F$2:F23,F23,$Z$2:Z23),"")</f>
        <v>17.059407407407413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18028894.068742763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269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594.2531953903225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18836.618100169304</v>
      </c>
      <c r="W24" s="318">
        <f t="shared" si="18"/>
        <v>0.22750658887588554</v>
      </c>
      <c r="X24" s="318" t="str">
        <f t="shared" si="8"/>
        <v/>
      </c>
      <c r="Y24" s="318">
        <f t="shared" si="9"/>
        <v>5.4846896401611063E-2</v>
      </c>
      <c r="Z24" s="316" t="str">
        <f>IFERROR(AVERAGEIF('Daily KPI'!D:D,Mod[[#This Row],[Month]],'Daily KPI'!AB:AB),"")</f>
        <v/>
      </c>
      <c r="AA24" s="319">
        <f>IFERROR(AVERAGEIF($F$2:F24,F24,$Z$2:Z24),"")</f>
        <v>17.059407407407413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18028894.068742763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269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594.2531953903225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18836.618100169304</v>
      </c>
      <c r="W25" s="318">
        <f t="shared" si="18"/>
        <v>0.23523074765849714</v>
      </c>
      <c r="X25" s="318" t="str">
        <f t="shared" si="8"/>
        <v/>
      </c>
      <c r="Y25" s="318">
        <f t="shared" si="9"/>
        <v>5.4846896401611063E-2</v>
      </c>
      <c r="Z25" s="316" t="str">
        <f>IFERROR(AVERAGEIF('Daily KPI'!D:D,Mod[[#This Row],[Month]],'Daily KPI'!AB:AB),"")</f>
        <v/>
      </c>
      <c r="AA25" s="319">
        <f>IFERROR(AVERAGEIF($F$2:F25,F25,$Z$2:Z25),"")</f>
        <v>17.059407407407413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18028894.068742763</v>
      </c>
    </row>
  </sheetData>
  <phoneticPr fontId="66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AB181" activePane="bottomRight" state="frozen"/>
      <selection pane="topRight" activeCell="C1" sqref="C1"/>
      <selection pane="bottomLeft" activeCell="A4" sqref="A4"/>
      <selection pane="bottomRight" activeCell="AH186" sqref="AH186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45312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453125" customWidth="1"/>
    <col min="13" max="13" width="14.1796875" customWidth="1"/>
    <col min="14" max="14" width="13.45312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453125" customWidth="1"/>
    <col min="23" max="23" width="12.453125" customWidth="1"/>
    <col min="24" max="24" width="19.1796875" customWidth="1"/>
    <col min="25" max="25" width="72.7265625" customWidth="1"/>
    <col min="26" max="26" width="9.81640625" style="4" customWidth="1"/>
    <col min="27" max="27" width="19.81640625" style="4" customWidth="1"/>
    <col min="28" max="29" width="19.453125" style="4" customWidth="1"/>
    <col min="30" max="30" width="12.45312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45312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270</v>
      </c>
      <c r="F1" s="29" t="s">
        <v>201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271</v>
      </c>
      <c r="L1" s="29" t="s">
        <v>272</v>
      </c>
      <c r="M1" s="29" t="s">
        <v>273</v>
      </c>
      <c r="N1" s="29" t="s">
        <v>274</v>
      </c>
      <c r="O1" s="29" t="s">
        <v>275</v>
      </c>
      <c r="P1" s="29" t="s">
        <v>276</v>
      </c>
      <c r="Q1" s="29" t="s">
        <v>277</v>
      </c>
      <c r="R1" s="29" t="s">
        <v>278</v>
      </c>
      <c r="S1" s="29" t="s">
        <v>279</v>
      </c>
      <c r="T1" s="29" t="s">
        <v>280</v>
      </c>
      <c r="U1" s="29" t="s">
        <v>281</v>
      </c>
      <c r="V1" s="29" t="s">
        <v>204</v>
      </c>
      <c r="W1" s="29" t="s">
        <v>282</v>
      </c>
      <c r="X1" s="29" t="s">
        <v>283</v>
      </c>
      <c r="Y1" s="29" t="s">
        <v>205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209</v>
      </c>
      <c r="AF1" s="29" t="s">
        <v>210</v>
      </c>
      <c r="AG1" s="29" t="s">
        <v>211</v>
      </c>
      <c r="AH1" s="29" t="s">
        <v>212</v>
      </c>
      <c r="AI1" s="29" t="s">
        <v>213</v>
      </c>
      <c r="AJ1" s="29" t="s">
        <v>214</v>
      </c>
      <c r="AK1" s="29" t="s">
        <v>289</v>
      </c>
      <c r="AL1" s="50" t="s">
        <v>290</v>
      </c>
      <c r="AM1" s="29" t="s">
        <v>152</v>
      </c>
      <c r="AN1" s="29" t="s">
        <v>153</v>
      </c>
      <c r="AO1" s="29" t="s">
        <v>291</v>
      </c>
      <c r="AP1" s="29" t="s">
        <v>292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218</v>
      </c>
      <c r="F2" s="33" t="s">
        <v>218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293</v>
      </c>
      <c r="M2" s="33" t="s">
        <v>294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295</v>
      </c>
      <c r="X2" s="40"/>
      <c r="Y2" s="40" t="s">
        <v>296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297</v>
      </c>
      <c r="AI2" s="33" t="s">
        <v>298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218</v>
      </c>
      <c r="F3" s="33" t="s">
        <v>218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293</v>
      </c>
      <c r="M3" s="33" t="s">
        <v>299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295</v>
      </c>
      <c r="X3" s="40"/>
      <c r="Y3" s="40" t="s">
        <v>296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297</v>
      </c>
      <c r="AI3" s="33" t="s">
        <v>298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218</v>
      </c>
      <c r="F4" s="33" t="s">
        <v>218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293</v>
      </c>
      <c r="M4" s="33" t="s">
        <v>294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295</v>
      </c>
      <c r="X4" s="40"/>
      <c r="Y4" s="40" t="s">
        <v>296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297</v>
      </c>
      <c r="AI4" s="33" t="s">
        <v>298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219</v>
      </c>
      <c r="F5" s="33" t="s">
        <v>219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293</v>
      </c>
      <c r="M5" s="33" t="s">
        <v>299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295</v>
      </c>
      <c r="X5" s="40"/>
      <c r="Y5" s="40" t="s">
        <v>296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297</v>
      </c>
      <c r="AI5" s="33" t="s">
        <v>298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219</v>
      </c>
      <c r="F6" s="33" t="s">
        <v>219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300</v>
      </c>
      <c r="M6" s="33" t="s">
        <v>294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295</v>
      </c>
      <c r="X6" s="40"/>
      <c r="Y6" s="40" t="s">
        <v>301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297</v>
      </c>
      <c r="AI6" s="33" t="s">
        <v>298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219</v>
      </c>
      <c r="F7" s="33" t="s">
        <v>219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300</v>
      </c>
      <c r="M7" s="33" t="s">
        <v>299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295</v>
      </c>
      <c r="X7" s="40"/>
      <c r="Y7" s="40" t="s">
        <v>301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297</v>
      </c>
      <c r="AI7" s="33" t="s">
        <v>298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219</v>
      </c>
      <c r="F8" s="33" t="s">
        <v>219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293</v>
      </c>
      <c r="M8" s="33" t="s">
        <v>294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295</v>
      </c>
      <c r="X8" s="40"/>
      <c r="Y8" s="40" t="s">
        <v>301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297</v>
      </c>
      <c r="AI8" s="33" t="s">
        <v>298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219</v>
      </c>
      <c r="F9" s="33" t="s">
        <v>219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293</v>
      </c>
      <c r="M9" s="33" t="s">
        <v>299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295</v>
      </c>
      <c r="X9" s="40"/>
      <c r="Y9" s="40" t="s">
        <v>301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297</v>
      </c>
      <c r="AI9" s="33" t="s">
        <v>298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219</v>
      </c>
      <c r="F10" s="33" t="s">
        <v>219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302</v>
      </c>
      <c r="M10" s="33" t="s">
        <v>294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295</v>
      </c>
      <c r="X10" s="40"/>
      <c r="Y10" s="40" t="s">
        <v>301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297</v>
      </c>
      <c r="AI10" s="33" t="s">
        <v>298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219</v>
      </c>
      <c r="F11" s="33" t="s">
        <v>219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303</v>
      </c>
      <c r="M11" s="33" t="s">
        <v>294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295</v>
      </c>
      <c r="X11" s="40"/>
      <c r="Y11" s="40" t="s">
        <v>301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297</v>
      </c>
      <c r="AI11" s="33" t="s">
        <v>298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219</v>
      </c>
      <c r="F12" s="33" t="s">
        <v>219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303</v>
      </c>
      <c r="M12" s="33" t="s">
        <v>299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295</v>
      </c>
      <c r="X12" s="40"/>
      <c r="Y12" s="40" t="s">
        <v>301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297</v>
      </c>
      <c r="AI12" s="33" t="s">
        <v>298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219</v>
      </c>
      <c r="F13" s="33" t="s">
        <v>219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303</v>
      </c>
      <c r="M13" s="33" t="s">
        <v>299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304</v>
      </c>
      <c r="X13" s="40"/>
      <c r="Y13" s="40" t="s">
        <v>305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306</v>
      </c>
      <c r="AI13" s="33" t="s">
        <v>298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219</v>
      </c>
      <c r="F14" s="33" t="s">
        <v>219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300</v>
      </c>
      <c r="M14" s="33" t="s">
        <v>294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307</v>
      </c>
      <c r="X14" s="40"/>
      <c r="Y14" s="40" t="s">
        <v>301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297</v>
      </c>
      <c r="AI14" s="33" t="s">
        <v>298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219</v>
      </c>
      <c r="F15" s="33" t="s">
        <v>219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300</v>
      </c>
      <c r="M15" s="33" t="s">
        <v>299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307</v>
      </c>
      <c r="X15" s="40"/>
      <c r="Y15" s="40" t="s">
        <v>301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297</v>
      </c>
      <c r="AI15" s="33" t="s">
        <v>298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219</v>
      </c>
      <c r="F16" s="33" t="s">
        <v>219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293</v>
      </c>
      <c r="M16" s="33" t="s">
        <v>294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307</v>
      </c>
      <c r="X16" s="40"/>
      <c r="Y16" s="40" t="s">
        <v>301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297</v>
      </c>
      <c r="AI16" s="33" t="s">
        <v>298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219</v>
      </c>
      <c r="F17" s="33" t="s">
        <v>219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293</v>
      </c>
      <c r="M17" s="33" t="s">
        <v>299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307</v>
      </c>
      <c r="X17" s="40"/>
      <c r="Y17" s="40" t="s">
        <v>301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297</v>
      </c>
      <c r="AI17" s="33" t="s">
        <v>298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219</v>
      </c>
      <c r="F18" s="33" t="s">
        <v>219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302</v>
      </c>
      <c r="M18" s="33" t="s">
        <v>294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307</v>
      </c>
      <c r="X18" s="40"/>
      <c r="Y18" s="40" t="s">
        <v>301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297</v>
      </c>
      <c r="AI18" s="33" t="s">
        <v>298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219</v>
      </c>
      <c r="F19" s="33" t="s">
        <v>219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303</v>
      </c>
      <c r="M19" s="33" t="s">
        <v>294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307</v>
      </c>
      <c r="X19" s="40"/>
      <c r="Y19" s="40" t="s">
        <v>301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297</v>
      </c>
      <c r="AI19" s="33" t="s">
        <v>298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219</v>
      </c>
      <c r="F20" s="33" t="s">
        <v>219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303</v>
      </c>
      <c r="M20" s="33" t="s">
        <v>299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307</v>
      </c>
      <c r="X20" s="40"/>
      <c r="Y20" s="40" t="s">
        <v>301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297</v>
      </c>
      <c r="AI20" s="33" t="s">
        <v>298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219</v>
      </c>
      <c r="F21" s="33" t="s">
        <v>219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293</v>
      </c>
      <c r="M21" s="33" t="s">
        <v>294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295</v>
      </c>
      <c r="X21" s="41"/>
      <c r="Y21" s="40" t="s">
        <v>296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297</v>
      </c>
      <c r="AI21" s="33" t="s">
        <v>298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219</v>
      </c>
      <c r="F22" s="33" t="s">
        <v>219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293</v>
      </c>
      <c r="M22" s="33" t="s">
        <v>299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295</v>
      </c>
      <c r="X22" s="40"/>
      <c r="Y22" s="40" t="s">
        <v>296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297</v>
      </c>
      <c r="AI22" s="33" t="s">
        <v>298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219</v>
      </c>
      <c r="F23" s="33" t="s">
        <v>219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293</v>
      </c>
      <c r="M23" s="33" t="s">
        <v>294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295</v>
      </c>
      <c r="X23" s="40"/>
      <c r="Y23" s="40" t="s">
        <v>296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297</v>
      </c>
      <c r="AI23" s="33" t="s">
        <v>298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219</v>
      </c>
      <c r="F24" s="33" t="s">
        <v>219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293</v>
      </c>
      <c r="M24" s="33" t="s">
        <v>299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295</v>
      </c>
      <c r="X24" s="40"/>
      <c r="Y24" s="40" t="s">
        <v>296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297</v>
      </c>
      <c r="AI24" s="33" t="s">
        <v>298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219</v>
      </c>
      <c r="F25" s="33" t="s">
        <v>219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302</v>
      </c>
      <c r="M25" s="33" t="s">
        <v>294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295</v>
      </c>
      <c r="X25" s="40"/>
      <c r="Y25" s="40" t="s">
        <v>296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297</v>
      </c>
      <c r="AI25" s="33" t="s">
        <v>298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219</v>
      </c>
      <c r="F26" s="33" t="s">
        <v>219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303</v>
      </c>
      <c r="M26" s="33" t="s">
        <v>299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304</v>
      </c>
      <c r="X26" s="40"/>
      <c r="Y26" s="40" t="s">
        <v>308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309</v>
      </c>
      <c r="AI26" s="33" t="s">
        <v>298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219</v>
      </c>
      <c r="F27" s="33" t="s">
        <v>219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303</v>
      </c>
      <c r="M27" s="33" t="s">
        <v>294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304</v>
      </c>
      <c r="X27" s="40"/>
      <c r="Y27" s="40" t="s">
        <v>310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309</v>
      </c>
      <c r="AI27" s="33" t="s">
        <v>298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219</v>
      </c>
      <c r="F28" s="33" t="s">
        <v>219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303</v>
      </c>
      <c r="M28" s="33" t="s">
        <v>299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304</v>
      </c>
      <c r="X28" s="40"/>
      <c r="Y28" s="40" t="s">
        <v>310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309</v>
      </c>
      <c r="AI28" s="33" t="s">
        <v>298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v>28</v>
      </c>
      <c r="B29" s="368">
        <v>45779</v>
      </c>
      <c r="C29" s="371">
        <f>YEAR(PA[[#This Row],[Date]])+IF(MONTH(PA[[#This Row],[Date]])&gt;=4,1,0)</f>
        <v>2026</v>
      </c>
      <c r="D29" s="32">
        <f>YEAR(PA[[#This Row],[Date]])</f>
        <v>2025</v>
      </c>
      <c r="E29" s="33" t="s">
        <v>219</v>
      </c>
      <c r="F29" s="33" t="s">
        <v>219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0.25833333333333336</v>
      </c>
      <c r="J29" s="122">
        <v>0.76736111111111116</v>
      </c>
      <c r="K29" s="35">
        <f>IFERROR((PA[[#This Row],[Sunset Time (POA&lt;20 W/m2)]]-PA[[#This Row],[Sunrise Time (POA&gt;20 W/m2)]])*24,"")</f>
        <v>12.216666666666669</v>
      </c>
      <c r="L29" s="33" t="s">
        <v>300</v>
      </c>
      <c r="M29" s="33" t="s">
        <v>294</v>
      </c>
      <c r="N29" s="33" t="s">
        <v>313</v>
      </c>
      <c r="O29" s="36" t="s">
        <v>378</v>
      </c>
      <c r="P29" s="36" t="s">
        <v>357</v>
      </c>
      <c r="Q29" s="33"/>
      <c r="R29" s="32">
        <f>IF((PA[[#This Row],[String Type(If String BD)]]&amp;PA[[#This Row],[Equipment (If any BD other than PV  array and inv)]])="",1,0)</f>
        <v>0</v>
      </c>
      <c r="S29" s="32">
        <f>IF(PA[[#This Row],[String Type(If String BD)]]="",1,0)</f>
        <v>0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29" s="35">
        <f>IFERROR(_xlfn.XLOOKUP(PA[[#This Row],[Affected Equipment ]],'Basic Data'!N:N,'Basic Data'!Q:Q),"")</f>
        <v>31.61</v>
      </c>
      <c r="V29" s="369">
        <f ca="1">IFERROR(_xlfn.XLOOKUP(PA[[#This Row],[Affected Equipment ]],'Basic Data'!N:N,'Basic Data'!R:R),"")</f>
        <v>8.0617189492476413E-4</v>
      </c>
      <c r="W29" s="36" t="s">
        <v>328</v>
      </c>
      <c r="X29" s="40"/>
      <c r="Y29" s="40" t="s">
        <v>379</v>
      </c>
      <c r="Z29" s="46">
        <v>0.25833333333333336</v>
      </c>
      <c r="AA29" s="42">
        <v>0.25833333333333336</v>
      </c>
      <c r="AB29" s="370">
        <v>0.25833333333333336</v>
      </c>
      <c r="AC29" s="46">
        <v>0.70138888888888884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10.633333333333331</v>
      </c>
      <c r="AG29" s="44">
        <f>IFERROR((PA[[#This Row],[Work Completion time on fault]]-PA[[#This Row],[Fault Time]])*24,"")</f>
        <v>10.633333333333331</v>
      </c>
      <c r="AH29" s="36" t="s">
        <v>380</v>
      </c>
      <c r="AI29" s="33" t="s">
        <v>298</v>
      </c>
      <c r="AJ29" s="35">
        <f ca="1">IFERROR(PA[[#This Row],[Breakdown Time]]*PA[[#This Row],[Plant Equivalent Weightage]],"")</f>
        <v>8.5722944826999905E-3</v>
      </c>
      <c r="AK29" s="36">
        <v>6.2583816666666667</v>
      </c>
      <c r="AL29" s="51">
        <f>IFERROR((_xlfn.XLOOKUP($G29,'Modelling New'!D:D,'Modelling New'!$O:$O)*PA[[#This Row],[Lost PoA(kWh/m2)]]*PA[[#This Row],[DC Capacity Affected (kW)]]),"")</f>
        <v>126.51183041267444</v>
      </c>
      <c r="AM29" s="33"/>
      <c r="AN29" s="33"/>
      <c r="AO29" s="37"/>
      <c r="AP29" s="37"/>
    </row>
    <row r="30" spans="1:42">
      <c r="A30" s="30">
        <v>29</v>
      </c>
      <c r="B30" s="368">
        <v>45780</v>
      </c>
      <c r="C30" s="371">
        <f>YEAR(PA[[#This Row],[Date]])+IF(MONTH(PA[[#This Row],[Date]])&gt;=4,1,0)</f>
        <v>2026</v>
      </c>
      <c r="D30" s="32">
        <f>YEAR(PA[[#This Row],[Date]])</f>
        <v>2025</v>
      </c>
      <c r="E30" s="33" t="s">
        <v>219</v>
      </c>
      <c r="F30" s="33" t="s">
        <v>219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0.25763888888888886</v>
      </c>
      <c r="J30" s="122">
        <v>0.76875000000000004</v>
      </c>
      <c r="K30" s="35">
        <f>IFERROR((PA[[#This Row],[Sunset Time (POA&lt;20 W/m2)]]-PA[[#This Row],[Sunrise Time (POA&gt;20 W/m2)]])*24,"")</f>
        <v>12.266666666666669</v>
      </c>
      <c r="L30" s="33" t="s">
        <v>303</v>
      </c>
      <c r="M30" s="33" t="s">
        <v>294</v>
      </c>
      <c r="N30" s="33" t="s">
        <v>320</v>
      </c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0" s="35">
        <f>IFERROR(_xlfn.XLOOKUP(PA[[#This Row],[Affected Equipment ]],'Basic Data'!N:N,'Basic Data'!Q:Q),"")</f>
        <v>1276</v>
      </c>
      <c r="V30" s="369">
        <f ca="1">IFERROR(_xlfn.XLOOKUP(PA[[#This Row],[Affected Equipment ]],'Basic Data'!N:N,'Basic Data'!R:R),"")</f>
        <v>3.2542718694210659E-2</v>
      </c>
      <c r="W30" s="36" t="s">
        <v>304</v>
      </c>
      <c r="X30" s="40"/>
      <c r="Y30" s="40" t="s">
        <v>381</v>
      </c>
      <c r="Z30" s="46">
        <v>0.25763888888888886</v>
      </c>
      <c r="AA30" s="42">
        <v>0.25763888888888886</v>
      </c>
      <c r="AB30" s="370">
        <v>0.25763888888888886</v>
      </c>
      <c r="AC30" s="46">
        <v>0.49444444444444446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5.6833333333333345</v>
      </c>
      <c r="AG30" s="44">
        <f>IFERROR((PA[[#This Row],[Work Completion time on fault]]-PA[[#This Row],[Fault Time]])*24,"")</f>
        <v>5.6833333333333345</v>
      </c>
      <c r="AH30" s="36" t="s">
        <v>315</v>
      </c>
      <c r="AI30" s="33" t="s">
        <v>298</v>
      </c>
      <c r="AJ30" s="35">
        <f ca="1">IFERROR(PA[[#This Row],[Breakdown Time]]*PA[[#This Row],[Plant Equivalent Weightage]],"")</f>
        <v>0.18495111791209728</v>
      </c>
      <c r="AK30" s="36">
        <v>2.9549836750000003</v>
      </c>
      <c r="AL30" s="51">
        <f>IFERROR((_xlfn.XLOOKUP($G30,'Modelling New'!D:D,'Modelling New'!$O:$O)*PA[[#This Row],[Lost PoA(kWh/m2)]]*PA[[#This Row],[DC Capacity Affected (kW)]]),"")</f>
        <v>2411.2950730030007</v>
      </c>
      <c r="AM30" s="33"/>
      <c r="AN30" s="33"/>
      <c r="AO30" s="37"/>
      <c r="AP30" s="37"/>
    </row>
    <row r="31" spans="1:42">
      <c r="A31" s="30">
        <v>30</v>
      </c>
      <c r="B31" s="368">
        <v>45780</v>
      </c>
      <c r="C31" s="371">
        <f>YEAR(PA[[#This Row],[Date]])+IF(MONTH(PA[[#This Row],[Date]])&gt;=4,1,0)</f>
        <v>2026</v>
      </c>
      <c r="D31" s="32">
        <f>YEAR(PA[[#This Row],[Date]])</f>
        <v>2025</v>
      </c>
      <c r="E31" s="33" t="s">
        <v>219</v>
      </c>
      <c r="F31" s="33" t="s">
        <v>219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0.25763888888888886</v>
      </c>
      <c r="J31" s="122">
        <v>0.76875000000000004</v>
      </c>
      <c r="K31" s="35">
        <f>IFERROR((PA[[#This Row],[Sunset Time (POA&lt;20 W/m2)]]-PA[[#This Row],[Sunrise Time (POA&gt;20 W/m2)]])*24,"")</f>
        <v>12.266666666666669</v>
      </c>
      <c r="L31" s="33" t="s">
        <v>303</v>
      </c>
      <c r="M31" s="33" t="s">
        <v>294</v>
      </c>
      <c r="N31" s="33" t="s">
        <v>322</v>
      </c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1" s="35">
        <f>IFERROR(_xlfn.XLOOKUP(PA[[#This Row],[Affected Equipment ]],'Basic Data'!N:N,'Basic Data'!Q:Q),"")</f>
        <v>1276</v>
      </c>
      <c r="V31" s="369">
        <f ca="1">IFERROR(_xlfn.XLOOKUP(PA[[#This Row],[Affected Equipment ]],'Basic Data'!N:N,'Basic Data'!R:R),"")</f>
        <v>3.2542718694210659E-2</v>
      </c>
      <c r="W31" s="36" t="s">
        <v>304</v>
      </c>
      <c r="X31" s="40"/>
      <c r="Y31" s="40" t="s">
        <v>381</v>
      </c>
      <c r="Z31" s="46">
        <v>0.25763888888888886</v>
      </c>
      <c r="AA31" s="42">
        <v>0.25763888888888886</v>
      </c>
      <c r="AB31" s="370">
        <v>0.25763888888888886</v>
      </c>
      <c r="AC31" s="46">
        <v>0.49444444444444446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5.6833333333333345</v>
      </c>
      <c r="AG31" s="44">
        <f>IFERROR((PA[[#This Row],[Work Completion time on fault]]-PA[[#This Row],[Fault Time]])*24,"")</f>
        <v>5.6833333333333345</v>
      </c>
      <c r="AH31" s="36" t="s">
        <v>315</v>
      </c>
      <c r="AI31" s="33" t="s">
        <v>298</v>
      </c>
      <c r="AJ31" s="35">
        <f ca="1">IFERROR(PA[[#This Row],[Breakdown Time]]*PA[[#This Row],[Plant Equivalent Weightage]],"")</f>
        <v>0.18495111791209728</v>
      </c>
      <c r="AK31" s="36">
        <v>2.9549836750000003</v>
      </c>
      <c r="AL31" s="51">
        <f>IFERROR((_xlfn.XLOOKUP($G31,'Modelling New'!D:D,'Modelling New'!$O:$O)*PA[[#This Row],[Lost PoA(kWh/m2)]]*PA[[#This Row],[DC Capacity Affected (kW)]]),"")</f>
        <v>2411.2950730030007</v>
      </c>
      <c r="AM31" s="33"/>
      <c r="AN31" s="33"/>
      <c r="AO31" s="37"/>
      <c r="AP31" s="37"/>
    </row>
    <row r="32" spans="1:42">
      <c r="A32" s="30">
        <v>31</v>
      </c>
      <c r="B32" s="368">
        <v>45780</v>
      </c>
      <c r="C32" s="371">
        <f>YEAR(PA[[#This Row],[Date]])+IF(MONTH(PA[[#This Row],[Date]])&gt;=4,1,0)</f>
        <v>2026</v>
      </c>
      <c r="D32" s="32">
        <f>YEAR(PA[[#This Row],[Date]])</f>
        <v>2025</v>
      </c>
      <c r="E32" s="33" t="s">
        <v>219</v>
      </c>
      <c r="F32" s="33" t="s">
        <v>219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0.25763888888888886</v>
      </c>
      <c r="J32" s="122">
        <v>0.76875000000000004</v>
      </c>
      <c r="K32" s="35">
        <f>IFERROR((PA[[#This Row],[Sunset Time (POA&lt;20 W/m2)]]-PA[[#This Row],[Sunrise Time (POA&gt;20 W/m2)]])*24,"")</f>
        <v>12.266666666666669</v>
      </c>
      <c r="L32" s="33" t="s">
        <v>303</v>
      </c>
      <c r="M32" s="33" t="s">
        <v>294</v>
      </c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2" s="35">
        <f>IFERROR(_xlfn.XLOOKUP(PA[[#This Row],[Affected Equipment ]],'Basic Data'!N:N,'Basic Data'!Q:Q),"")</f>
        <v>5104</v>
      </c>
      <c r="V32" s="369">
        <f ca="1">IFERROR(_xlfn.XLOOKUP(PA[[#This Row],[Affected Equipment ]],'Basic Data'!N:N,'Basic Data'!R:R),"")</f>
        <v>0.13017087477684264</v>
      </c>
      <c r="W32" s="36" t="s">
        <v>304</v>
      </c>
      <c r="X32" s="40"/>
      <c r="Y32" s="40" t="s">
        <v>382</v>
      </c>
      <c r="Z32" s="46">
        <v>0.49513888888888891</v>
      </c>
      <c r="AA32" s="42">
        <v>0.49513888888888891</v>
      </c>
      <c r="AB32" s="370">
        <v>0.49513888888888891</v>
      </c>
      <c r="AC32" s="46">
        <v>0.55208333333333337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1.3666666666666671</v>
      </c>
      <c r="AG32" s="44">
        <f>IFERROR((PA[[#This Row],[Work Completion time on fault]]-PA[[#This Row],[Fault Time]])*24,"")</f>
        <v>1.3666666666666671</v>
      </c>
      <c r="AH32" s="36" t="s">
        <v>383</v>
      </c>
      <c r="AI32" s="33" t="s">
        <v>298</v>
      </c>
      <c r="AJ32" s="35">
        <f ca="1">IFERROR(PA[[#This Row],[Breakdown Time]]*PA[[#This Row],[Plant Equivalent Weightage]],"")</f>
        <v>0.17790019552835168</v>
      </c>
      <c r="AK32" s="36">
        <v>1.3017003466666666</v>
      </c>
      <c r="AL32" s="51">
        <f>IFERROR((_xlfn.XLOOKUP($G32,'Modelling New'!D:D,'Modelling New'!$O:$O)*PA[[#This Row],[Lost PoA(kWh/m2)]]*PA[[#This Row],[DC Capacity Affected (kW)]]),"")</f>
        <v>4248.7999632602114</v>
      </c>
      <c r="AM32" s="33"/>
      <c r="AN32" s="33"/>
      <c r="AO32" s="37"/>
      <c r="AP32" s="37"/>
    </row>
    <row r="33" spans="1:42">
      <c r="A33" s="30">
        <v>32</v>
      </c>
      <c r="B33" s="368">
        <v>45780</v>
      </c>
      <c r="C33" s="371">
        <f>YEAR(PA[[#This Row],[Date]])+IF(MONTH(PA[[#This Row],[Date]])&gt;=4,1,0)</f>
        <v>2026</v>
      </c>
      <c r="D33" s="32">
        <f>YEAR(PA[[#This Row],[Date]])</f>
        <v>2025</v>
      </c>
      <c r="E33" s="33" t="s">
        <v>219</v>
      </c>
      <c r="F33" s="33" t="s">
        <v>219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0.25763888888888886</v>
      </c>
      <c r="J33" s="122">
        <v>0.76875000000000004</v>
      </c>
      <c r="K33" s="35">
        <f>IFERROR((PA[[#This Row],[Sunset Time (POA&lt;20 W/m2)]]-PA[[#This Row],[Sunrise Time (POA&gt;20 W/m2)]])*24,"")</f>
        <v>12.266666666666669</v>
      </c>
      <c r="L33" s="33" t="s">
        <v>303</v>
      </c>
      <c r="M33" s="33" t="s">
        <v>294</v>
      </c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3" s="35">
        <f>IFERROR(_xlfn.XLOOKUP(PA[[#This Row],[Affected Equipment ]],'Basic Data'!N:N,'Basic Data'!Q:Q),"")</f>
        <v>5104</v>
      </c>
      <c r="V33" s="369">
        <f ca="1">IFERROR(_xlfn.XLOOKUP(PA[[#This Row],[Affected Equipment ]],'Basic Data'!N:N,'Basic Data'!R:R),"")</f>
        <v>0.13017087477684264</v>
      </c>
      <c r="W33" s="36" t="s">
        <v>304</v>
      </c>
      <c r="X33" s="40"/>
      <c r="Y33" s="40" t="s">
        <v>382</v>
      </c>
      <c r="Z33" s="46">
        <v>0.60138888888888886</v>
      </c>
      <c r="AA33" s="42">
        <v>0.60138888888888886</v>
      </c>
      <c r="AB33" s="370">
        <v>0.60138888888888886</v>
      </c>
      <c r="AC33" s="46">
        <v>0.66388888888888886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1.5</v>
      </c>
      <c r="AG33" s="44">
        <f>IFERROR((PA[[#This Row],[Work Completion time on fault]]-PA[[#This Row],[Fault Time]])*24,"")</f>
        <v>1.5</v>
      </c>
      <c r="AH33" s="36" t="s">
        <v>383</v>
      </c>
      <c r="AI33" s="33" t="s">
        <v>298</v>
      </c>
      <c r="AJ33" s="35">
        <f ca="1">IFERROR(PA[[#This Row],[Breakdown Time]]*PA[[#This Row],[Plant Equivalent Weightage]],"")</f>
        <v>0.19525631216526396</v>
      </c>
      <c r="AK33" s="36">
        <v>0.81630319833333331</v>
      </c>
      <c r="AL33" s="51">
        <f>IFERROR((_xlfn.XLOOKUP($G33,'Modelling New'!D:D,'Modelling New'!$O:$O)*PA[[#This Row],[Lost PoA(kWh/m2)]]*PA[[#This Row],[DC Capacity Affected (kW)]]),"")</f>
        <v>2664.4450145299129</v>
      </c>
      <c r="AM33" s="33"/>
      <c r="AN33" s="33"/>
      <c r="AO33" s="37"/>
      <c r="AP33" s="37"/>
    </row>
    <row r="34" spans="1:42">
      <c r="A34" s="30">
        <v>33</v>
      </c>
      <c r="B34" s="368">
        <v>45781</v>
      </c>
      <c r="C34" s="371">
        <f>YEAR(PA[[#This Row],[Date]])+IF(MONTH(PA[[#This Row],[Date]])&gt;=4,1,0)</f>
        <v>2026</v>
      </c>
      <c r="D34" s="32">
        <f>YEAR(PA[[#This Row],[Date]])</f>
        <v>2025</v>
      </c>
      <c r="E34" s="33" t="s">
        <v>219</v>
      </c>
      <c r="F34" s="33" t="s">
        <v>219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0.25694444444444442</v>
      </c>
      <c r="J34" s="122">
        <v>0.76944444444444449</v>
      </c>
      <c r="K34" s="35">
        <f>IFERROR((PA[[#This Row],[Sunset Time (POA&lt;20 W/m2)]]-PA[[#This Row],[Sunrise Time (POA&gt;20 W/m2)]])*24,"")</f>
        <v>12.3</v>
      </c>
      <c r="L34" s="33" t="s">
        <v>303</v>
      </c>
      <c r="M34" s="33" t="s">
        <v>294</v>
      </c>
      <c r="N34" s="33" t="s">
        <v>320</v>
      </c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4" s="35">
        <f>IFERROR(_xlfn.XLOOKUP(PA[[#This Row],[Affected Equipment ]],'Basic Data'!N:N,'Basic Data'!Q:Q),"")</f>
        <v>1276</v>
      </c>
      <c r="V34" s="369">
        <f ca="1">IFERROR(_xlfn.XLOOKUP(PA[[#This Row],[Affected Equipment ]],'Basic Data'!N:N,'Basic Data'!R:R),"")</f>
        <v>3.2542718694210659E-2</v>
      </c>
      <c r="W34" s="36" t="s">
        <v>304</v>
      </c>
      <c r="X34" s="40"/>
      <c r="Y34" s="40" t="s">
        <v>381</v>
      </c>
      <c r="Z34" s="46">
        <v>0.25694444444444442</v>
      </c>
      <c r="AA34" s="42">
        <v>0.25694444444444442</v>
      </c>
      <c r="AB34" s="370">
        <v>0.25694444444444442</v>
      </c>
      <c r="AC34" s="46">
        <v>0.76944444444444449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12.3</v>
      </c>
      <c r="AG34" s="44">
        <f>IFERROR((PA[[#This Row],[Work Completion time on fault]]-PA[[#This Row],[Fault Time]])*24,"")</f>
        <v>12.3</v>
      </c>
      <c r="AH34" s="36" t="s">
        <v>315</v>
      </c>
      <c r="AI34" s="33" t="s">
        <v>298</v>
      </c>
      <c r="AJ34" s="35">
        <f ca="1">IFERROR(PA[[#This Row],[Breakdown Time]]*PA[[#This Row],[Plant Equivalent Weightage]],"")</f>
        <v>0.40027543993879111</v>
      </c>
      <c r="AK34" s="36">
        <v>6.79</v>
      </c>
      <c r="AL34" s="51">
        <f>IFERROR((_xlfn.XLOOKUP($G34,'Modelling New'!D:D,'Modelling New'!$O:$O)*PA[[#This Row],[Lost PoA(kWh/m2)]]*PA[[#This Row],[DC Capacity Affected (kW)]]),"")</f>
        <v>5540.7052445697091</v>
      </c>
      <c r="AM34" s="33"/>
      <c r="AN34" s="33"/>
      <c r="AO34" s="37"/>
      <c r="AP34" s="37"/>
    </row>
    <row r="35" spans="1:42">
      <c r="A35" s="30">
        <v>34</v>
      </c>
      <c r="B35" s="368">
        <v>45781</v>
      </c>
      <c r="C35" s="371">
        <f>YEAR(PA[[#This Row],[Date]])+IF(MONTH(PA[[#This Row],[Date]])&gt;=4,1,0)</f>
        <v>2026</v>
      </c>
      <c r="D35" s="32">
        <f>YEAR(PA[[#This Row],[Date]])</f>
        <v>2025</v>
      </c>
      <c r="E35" s="33" t="s">
        <v>219</v>
      </c>
      <c r="F35" s="33" t="s">
        <v>219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0.25694444444444442</v>
      </c>
      <c r="J35" s="122">
        <v>0.76944444444444449</v>
      </c>
      <c r="K35" s="35">
        <f>IFERROR((PA[[#This Row],[Sunset Time (POA&lt;20 W/m2)]]-PA[[#This Row],[Sunrise Time (POA&gt;20 W/m2)]])*24,"")</f>
        <v>12.3</v>
      </c>
      <c r="L35" s="33" t="s">
        <v>303</v>
      </c>
      <c r="M35" s="33" t="s">
        <v>294</v>
      </c>
      <c r="N35" s="33" t="s">
        <v>322</v>
      </c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5" s="35">
        <f>IFERROR(_xlfn.XLOOKUP(PA[[#This Row],[Affected Equipment ]],'Basic Data'!N:N,'Basic Data'!Q:Q),"")</f>
        <v>1276</v>
      </c>
      <c r="V35" s="369">
        <f ca="1">IFERROR(_xlfn.XLOOKUP(PA[[#This Row],[Affected Equipment ]],'Basic Data'!N:N,'Basic Data'!R:R),"")</f>
        <v>3.2542718694210659E-2</v>
      </c>
      <c r="W35" s="36" t="s">
        <v>304</v>
      </c>
      <c r="X35" s="40"/>
      <c r="Y35" s="40" t="s">
        <v>384</v>
      </c>
      <c r="Z35" s="46">
        <v>0.25694444444444442</v>
      </c>
      <c r="AA35" s="42">
        <v>0.25694444444444442</v>
      </c>
      <c r="AB35" s="370">
        <v>0.25694444444444442</v>
      </c>
      <c r="AC35" s="46">
        <v>0.76944444444444449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12.3</v>
      </c>
      <c r="AG35" s="44">
        <f>IFERROR((PA[[#This Row],[Work Completion time on fault]]-PA[[#This Row],[Fault Time]])*24,"")</f>
        <v>12.3</v>
      </c>
      <c r="AH35" s="36" t="s">
        <v>315</v>
      </c>
      <c r="AI35" s="33" t="s">
        <v>298</v>
      </c>
      <c r="AJ35" s="35">
        <f ca="1">IFERROR(PA[[#This Row],[Breakdown Time]]*PA[[#This Row],[Plant Equivalent Weightage]],"")</f>
        <v>0.40027543993879111</v>
      </c>
      <c r="AK35" s="36">
        <v>6.79</v>
      </c>
      <c r="AL35" s="51">
        <f>IFERROR((_xlfn.XLOOKUP($G35,'Modelling New'!D:D,'Modelling New'!$O:$O)*PA[[#This Row],[Lost PoA(kWh/m2)]]*PA[[#This Row],[DC Capacity Affected (kW)]]),"")</f>
        <v>5540.7052445697091</v>
      </c>
      <c r="AM35" s="33"/>
      <c r="AN35" s="33"/>
      <c r="AO35" s="37"/>
      <c r="AP35" s="37"/>
    </row>
    <row r="36" spans="1:42">
      <c r="A36" s="30">
        <v>35</v>
      </c>
      <c r="B36" s="368">
        <v>45781</v>
      </c>
      <c r="C36" s="371">
        <f>YEAR(PA[[#This Row],[Date]])+IF(MONTH(PA[[#This Row],[Date]])&gt;=4,1,0)</f>
        <v>2026</v>
      </c>
      <c r="D36" s="32">
        <f>YEAR(PA[[#This Row],[Date]])</f>
        <v>2025</v>
      </c>
      <c r="E36" s="33" t="s">
        <v>219</v>
      </c>
      <c r="F36" s="33" t="s">
        <v>219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0.25694444444444442</v>
      </c>
      <c r="J36" s="122">
        <v>0.76944444444444449</v>
      </c>
      <c r="K36" s="35">
        <f>IFERROR((PA[[#This Row],[Sunset Time (POA&lt;20 W/m2)]]-PA[[#This Row],[Sunrise Time (POA&gt;20 W/m2)]])*24,"")</f>
        <v>12.3</v>
      </c>
      <c r="L36" s="33" t="s">
        <v>302</v>
      </c>
      <c r="M36" s="33" t="s">
        <v>294</v>
      </c>
      <c r="N36" s="33" t="s">
        <v>322</v>
      </c>
      <c r="O36" s="36" t="s">
        <v>337</v>
      </c>
      <c r="P36" s="36" t="s">
        <v>327</v>
      </c>
      <c r="Q36" s="33"/>
      <c r="R36" s="32">
        <f>IF((PA[[#This Row],[String Type(If String BD)]]&amp;PA[[#This Row],[Equipment (If any BD other than PV  array and inv)]])="",1,0)</f>
        <v>0</v>
      </c>
      <c r="S36" s="32">
        <f>IF(PA[[#This Row],[String Type(If String BD)]]="",1,0)</f>
        <v>0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6" s="35">
        <f>IFERROR(_xlfn.XLOOKUP(PA[[#This Row],[Affected Equipment ]],'Basic Data'!N:N,'Basic Data'!Q:Q),"")</f>
        <v>15.95</v>
      </c>
      <c r="V36" s="369">
        <f ca="1">IFERROR(_xlfn.XLOOKUP(PA[[#This Row],[Affected Equipment ]],'Basic Data'!N:N,'Basic Data'!R:R),"")</f>
        <v>4.0678398367763324E-4</v>
      </c>
      <c r="W36" s="36" t="s">
        <v>376</v>
      </c>
      <c r="X36" s="40"/>
      <c r="Y36" s="40" t="s">
        <v>353</v>
      </c>
      <c r="Z36" s="46">
        <v>0.25694444444444442</v>
      </c>
      <c r="AA36" s="42">
        <v>0.25694444444444442</v>
      </c>
      <c r="AB36" s="370">
        <v>0.25694444444444442</v>
      </c>
      <c r="AC36" s="46">
        <v>0.67013888888888884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9.9166666666666661</v>
      </c>
      <c r="AG36" s="44">
        <f>IFERROR((PA[[#This Row],[Work Completion time on fault]]-PA[[#This Row],[Fault Time]])*24,"")</f>
        <v>9.9166666666666661</v>
      </c>
      <c r="AH36" s="36" t="s">
        <v>354</v>
      </c>
      <c r="AI36" s="33" t="s">
        <v>298</v>
      </c>
      <c r="AJ36" s="35">
        <f ca="1">IFERROR(PA[[#This Row],[Breakdown Time]]*PA[[#This Row],[Plant Equivalent Weightage]],"")</f>
        <v>4.0339411714698627E-3</v>
      </c>
      <c r="AK36" s="36">
        <v>6.2793905216666666</v>
      </c>
      <c r="AL36" s="51">
        <f>IFERROR((_xlfn.XLOOKUP($G36,'Modelling New'!D:D,'Modelling New'!$O:$O)*PA[[#This Row],[Lost PoA(kWh/m2)]]*PA[[#This Row],[DC Capacity Affected (kW)]]),"")</f>
        <v>64.050537548048268</v>
      </c>
      <c r="AM36" s="33"/>
      <c r="AN36" s="33"/>
      <c r="AO36" s="37"/>
      <c r="AP36" s="37"/>
    </row>
    <row r="37" spans="1:42">
      <c r="A37" s="30">
        <v>36</v>
      </c>
      <c r="B37" s="368">
        <v>45781</v>
      </c>
      <c r="C37" s="371">
        <f>YEAR(PA[[#This Row],[Date]])+IF(MONTH(PA[[#This Row],[Date]])&gt;=4,1,0)</f>
        <v>2026</v>
      </c>
      <c r="D37" s="32">
        <f>YEAR(PA[[#This Row],[Date]])</f>
        <v>2025</v>
      </c>
      <c r="E37" s="33" t="s">
        <v>219</v>
      </c>
      <c r="F37" s="33" t="s">
        <v>219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0.25694444444444442</v>
      </c>
      <c r="J37" s="122">
        <v>0.76944444444444449</v>
      </c>
      <c r="K37" s="35">
        <f>IFERROR((PA[[#This Row],[Sunset Time (POA&lt;20 W/m2)]]-PA[[#This Row],[Sunrise Time (POA&gt;20 W/m2)]])*24,"")</f>
        <v>12.3</v>
      </c>
      <c r="L37" s="33" t="s">
        <v>302</v>
      </c>
      <c r="M37" s="33" t="s">
        <v>294</v>
      </c>
      <c r="N37" s="33" t="s">
        <v>320</v>
      </c>
      <c r="O37" s="36" t="s">
        <v>344</v>
      </c>
      <c r="P37" s="36" t="s">
        <v>327</v>
      </c>
      <c r="Q37" s="33"/>
      <c r="R37" s="32">
        <f>IF((PA[[#This Row],[String Type(If String BD)]]&amp;PA[[#This Row],[Equipment (If any BD other than PV  array and inv)]])="",1,0)</f>
        <v>0</v>
      </c>
      <c r="S37" s="32">
        <f>IF(PA[[#This Row],[String Type(If String BD)]]="",1,0)</f>
        <v>0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7" s="35">
        <f>IFERROR(_xlfn.XLOOKUP(PA[[#This Row],[Affected Equipment ]],'Basic Data'!N:N,'Basic Data'!Q:Q),"")</f>
        <v>15.95</v>
      </c>
      <c r="V37" s="369">
        <f ca="1">IFERROR(_xlfn.XLOOKUP(PA[[#This Row],[Affected Equipment ]],'Basic Data'!N:N,'Basic Data'!R:R),"")</f>
        <v>4.0678398367763324E-4</v>
      </c>
      <c r="W37" s="36" t="s">
        <v>376</v>
      </c>
      <c r="X37" s="40"/>
      <c r="Y37" s="40" t="s">
        <v>353</v>
      </c>
      <c r="Z37" s="46">
        <v>0.25694444444444442</v>
      </c>
      <c r="AA37" s="42">
        <v>0.25694444444444442</v>
      </c>
      <c r="AB37" s="370">
        <v>0.25694444444444442</v>
      </c>
      <c r="AC37" s="46">
        <v>0.67500000000000004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10.033333333333335</v>
      </c>
      <c r="AG37" s="44">
        <f>IFERROR((PA[[#This Row],[Work Completion time on fault]]-PA[[#This Row],[Fault Time]])*24,"")</f>
        <v>10.033333333333335</v>
      </c>
      <c r="AH37" s="36" t="s">
        <v>354</v>
      </c>
      <c r="AI37" s="33" t="s">
        <v>298</v>
      </c>
      <c r="AJ37" s="35">
        <f ca="1">IFERROR(PA[[#This Row],[Breakdown Time]]*PA[[#This Row],[Plant Equivalent Weightage]],"")</f>
        <v>4.0813993028989207E-3</v>
      </c>
      <c r="AK37" s="36">
        <v>6.3335369399999992</v>
      </c>
      <c r="AL37" s="51">
        <f>IFERROR((_xlfn.XLOOKUP($G37,'Modelling New'!D:D,'Modelling New'!$O:$O)*PA[[#This Row],[Lost PoA(kWh/m2)]]*PA[[#This Row],[DC Capacity Affected (kW)]]),"")</f>
        <v>64.602837518656088</v>
      </c>
      <c r="AM37" s="33"/>
      <c r="AN37" s="33"/>
      <c r="AO37" s="37"/>
      <c r="AP37" s="37"/>
    </row>
    <row r="38" spans="1:42">
      <c r="A38" s="30">
        <v>37</v>
      </c>
      <c r="B38" s="368">
        <v>45781</v>
      </c>
      <c r="C38" s="371">
        <f>YEAR(PA[[#This Row],[Date]])+IF(MONTH(PA[[#This Row],[Date]])&gt;=4,1,0)</f>
        <v>2026</v>
      </c>
      <c r="D38" s="32">
        <f>YEAR(PA[[#This Row],[Date]])</f>
        <v>2025</v>
      </c>
      <c r="E38" s="33" t="s">
        <v>219</v>
      </c>
      <c r="F38" s="33" t="s">
        <v>219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0.25694444444444442</v>
      </c>
      <c r="J38" s="122">
        <v>0.76944444444444449</v>
      </c>
      <c r="K38" s="35">
        <f>IFERROR((PA[[#This Row],[Sunset Time (POA&lt;20 W/m2)]]-PA[[#This Row],[Sunrise Time (POA&gt;20 W/m2)]])*24,"")</f>
        <v>12.3</v>
      </c>
      <c r="L38" s="33" t="s">
        <v>302</v>
      </c>
      <c r="M38" s="33" t="s">
        <v>294</v>
      </c>
      <c r="N38" s="33" t="s">
        <v>320</v>
      </c>
      <c r="O38" s="36" t="s">
        <v>344</v>
      </c>
      <c r="P38" s="36" t="s">
        <v>327</v>
      </c>
      <c r="Q38" s="33"/>
      <c r="R38" s="32">
        <f>IF((PA[[#This Row],[String Type(If String BD)]]&amp;PA[[#This Row],[Equipment (If any BD other than PV  array and inv)]])="",1,0)</f>
        <v>0</v>
      </c>
      <c r="S38" s="32">
        <f>IF(PA[[#This Row],[String Type(If String BD)]]="",1,0)</f>
        <v>0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8" s="35">
        <f>IFERROR(_xlfn.XLOOKUP(PA[[#This Row],[Affected Equipment ]],'Basic Data'!N:N,'Basic Data'!Q:Q),"")</f>
        <v>15.95</v>
      </c>
      <c r="V38" s="369">
        <f ca="1">IFERROR(_xlfn.XLOOKUP(PA[[#This Row],[Affected Equipment ]],'Basic Data'!N:N,'Basic Data'!R:R),"")</f>
        <v>4.0678398367763324E-4</v>
      </c>
      <c r="W38" s="36" t="s">
        <v>376</v>
      </c>
      <c r="X38" s="40"/>
      <c r="Y38" s="40" t="s">
        <v>353</v>
      </c>
      <c r="Z38" s="46">
        <v>0.25694444444444442</v>
      </c>
      <c r="AA38" s="42">
        <v>0.25694444444444442</v>
      </c>
      <c r="AB38" s="370">
        <v>0.25694444444444442</v>
      </c>
      <c r="AC38" s="46">
        <v>0.68472222222222223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10.266666666666667</v>
      </c>
      <c r="AG38" s="44">
        <f>IFERROR((PA[[#This Row],[Work Completion time on fault]]-PA[[#This Row],[Fault Time]])*24,"")</f>
        <v>10.266666666666667</v>
      </c>
      <c r="AH38" s="36" t="s">
        <v>354</v>
      </c>
      <c r="AI38" s="33" t="s">
        <v>298</v>
      </c>
      <c r="AJ38" s="35">
        <f ca="1">IFERROR(PA[[#This Row],[Breakdown Time]]*PA[[#This Row],[Plant Equivalent Weightage]],"")</f>
        <v>4.1763155657570349E-3</v>
      </c>
      <c r="AK38" s="36">
        <v>6.427634741666667</v>
      </c>
      <c r="AL38" s="51">
        <f>IFERROR((_xlfn.XLOOKUP($G38,'Modelling New'!D:D,'Modelling New'!$O:$O)*PA[[#This Row],[Lost PoA(kWh/m2)]]*PA[[#This Row],[DC Capacity Affected (kW)]]),"")</f>
        <v>65.562646397884691</v>
      </c>
      <c r="AM38" s="33"/>
      <c r="AN38" s="33"/>
      <c r="AO38" s="37"/>
      <c r="AP38" s="37"/>
    </row>
    <row r="39" spans="1:42">
      <c r="A39" s="30">
        <v>38</v>
      </c>
      <c r="B39" s="368">
        <v>45782</v>
      </c>
      <c r="C39" s="371">
        <f>YEAR(PA[[#This Row],[Date]])+IF(MONTH(PA[[#This Row],[Date]])&gt;=4,1,0)</f>
        <v>2026</v>
      </c>
      <c r="D39" s="32">
        <f>YEAR(PA[[#This Row],[Date]])</f>
        <v>2025</v>
      </c>
      <c r="E39" s="33" t="s">
        <v>219</v>
      </c>
      <c r="F39" s="33" t="s">
        <v>219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0.25694444444444442</v>
      </c>
      <c r="J39" s="122">
        <v>0.72152777777777777</v>
      </c>
      <c r="K39" s="35">
        <f>IFERROR((PA[[#This Row],[Sunset Time (POA&lt;20 W/m2)]]-PA[[#This Row],[Sunrise Time (POA&gt;20 W/m2)]])*24,"")</f>
        <v>11.15</v>
      </c>
      <c r="L39" s="33" t="s">
        <v>303</v>
      </c>
      <c r="M39" s="33" t="s">
        <v>294</v>
      </c>
      <c r="N39" s="33" t="s">
        <v>320</v>
      </c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9" s="35">
        <f>IFERROR(_xlfn.XLOOKUP(PA[[#This Row],[Affected Equipment ]],'Basic Data'!N:N,'Basic Data'!Q:Q),"")</f>
        <v>1276</v>
      </c>
      <c r="V39" s="369">
        <f ca="1">IFERROR(_xlfn.XLOOKUP(PA[[#This Row],[Affected Equipment ]],'Basic Data'!N:N,'Basic Data'!R:R),"")</f>
        <v>3.2542718694210659E-2</v>
      </c>
      <c r="W39" s="36" t="s">
        <v>376</v>
      </c>
      <c r="X39" s="40"/>
      <c r="Y39" s="40" t="s">
        <v>381</v>
      </c>
      <c r="Z39" s="46">
        <v>0.25694444444444442</v>
      </c>
      <c r="AA39" s="42">
        <v>0.25694444444444442</v>
      </c>
      <c r="AB39" s="370">
        <v>0.25694444444444442</v>
      </c>
      <c r="AC39" s="46">
        <v>0.72152777777777777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11.15</v>
      </c>
      <c r="AG39" s="44">
        <f>IFERROR((PA[[#This Row],[Work Completion time on fault]]-PA[[#This Row],[Fault Time]])*24,"")</f>
        <v>11.15</v>
      </c>
      <c r="AH39" s="36" t="s">
        <v>315</v>
      </c>
      <c r="AI39" s="33" t="s">
        <v>298</v>
      </c>
      <c r="AJ39" s="35">
        <f ca="1">IFERROR(PA[[#This Row],[Breakdown Time]]*PA[[#This Row],[Plant Equivalent Weightage]],"")</f>
        <v>0.36285131344044885</v>
      </c>
      <c r="AK39" s="36">
        <v>5.79</v>
      </c>
      <c r="AL39" s="51">
        <f>IFERROR((_xlfn.XLOOKUP($G39,'Modelling New'!D:D,'Modelling New'!$O:$O)*PA[[#This Row],[Lost PoA(kWh/m2)]]*PA[[#This Row],[DC Capacity Affected (kW)]]),"")</f>
        <v>4724.695635649281</v>
      </c>
      <c r="AM39" s="33"/>
      <c r="AN39" s="33"/>
      <c r="AO39" s="37"/>
      <c r="AP39" s="37"/>
    </row>
    <row r="40" spans="1:42">
      <c r="A40" s="30">
        <v>39</v>
      </c>
      <c r="B40" s="368">
        <v>45782</v>
      </c>
      <c r="C40" s="371">
        <f>YEAR(PA[[#This Row],[Date]])+IF(MONTH(PA[[#This Row],[Date]])&gt;=4,1,0)</f>
        <v>2026</v>
      </c>
      <c r="D40" s="32">
        <f>YEAR(PA[[#This Row],[Date]])</f>
        <v>2025</v>
      </c>
      <c r="E40" s="33" t="s">
        <v>219</v>
      </c>
      <c r="F40" s="33" t="s">
        <v>219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0.25694444444444442</v>
      </c>
      <c r="J40" s="122">
        <v>0.72152777777777777</v>
      </c>
      <c r="K40" s="35">
        <f>IFERROR((PA[[#This Row],[Sunset Time (POA&lt;20 W/m2)]]-PA[[#This Row],[Sunrise Time (POA&gt;20 W/m2)]])*24,"")</f>
        <v>11.15</v>
      </c>
      <c r="L40" s="33" t="s">
        <v>303</v>
      </c>
      <c r="M40" s="33" t="s">
        <v>294</v>
      </c>
      <c r="N40" s="33" t="s">
        <v>322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0" s="35">
        <f>IFERROR(_xlfn.XLOOKUP(PA[[#This Row],[Affected Equipment ]],'Basic Data'!N:N,'Basic Data'!Q:Q),"")</f>
        <v>1276</v>
      </c>
      <c r="V40" s="369">
        <f ca="1">IFERROR(_xlfn.XLOOKUP(PA[[#This Row],[Affected Equipment ]],'Basic Data'!N:N,'Basic Data'!R:R),"")</f>
        <v>3.2542718694210659E-2</v>
      </c>
      <c r="W40" s="36" t="s">
        <v>376</v>
      </c>
      <c r="X40" s="40"/>
      <c r="Y40" s="40" t="s">
        <v>384</v>
      </c>
      <c r="Z40" s="46">
        <v>0.25694444444444442</v>
      </c>
      <c r="AA40" s="42">
        <v>0.25694444444444442</v>
      </c>
      <c r="AB40" s="370">
        <v>0.25694444444444442</v>
      </c>
      <c r="AC40" s="46">
        <v>0.72152777777777777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11.15</v>
      </c>
      <c r="AG40" s="44">
        <f>IFERROR((PA[[#This Row],[Work Completion time on fault]]-PA[[#This Row],[Fault Time]])*24,"")</f>
        <v>11.15</v>
      </c>
      <c r="AH40" s="36" t="s">
        <v>315</v>
      </c>
      <c r="AI40" s="33" t="s">
        <v>298</v>
      </c>
      <c r="AJ40" s="35">
        <f ca="1">IFERROR(PA[[#This Row],[Breakdown Time]]*PA[[#This Row],[Plant Equivalent Weightage]],"")</f>
        <v>0.36285131344044885</v>
      </c>
      <c r="AK40" s="36">
        <v>5.79</v>
      </c>
      <c r="AL40" s="51">
        <f>IFERROR((_xlfn.XLOOKUP($G40,'Modelling New'!D:D,'Modelling New'!$O:$O)*PA[[#This Row],[Lost PoA(kWh/m2)]]*PA[[#This Row],[DC Capacity Affected (kW)]]),"")</f>
        <v>4724.695635649281</v>
      </c>
      <c r="AM40" s="33"/>
      <c r="AN40" s="33"/>
      <c r="AO40" s="37"/>
      <c r="AP40" s="37"/>
    </row>
    <row r="41" spans="1:42">
      <c r="A41" s="30">
        <v>40</v>
      </c>
      <c r="B41" s="368">
        <v>45783</v>
      </c>
      <c r="C41" s="371">
        <f>YEAR(PA[[#This Row],[Date]])+IF(MONTH(PA[[#This Row],[Date]])&gt;=4,1,0)</f>
        <v>2026</v>
      </c>
      <c r="D41" s="32">
        <f>YEAR(PA[[#This Row],[Date]])</f>
        <v>2025</v>
      </c>
      <c r="E41" s="33" t="s">
        <v>219</v>
      </c>
      <c r="F41" s="33" t="s">
        <v>219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0.30069444444444443</v>
      </c>
      <c r="J41" s="122">
        <v>0.76666666666666672</v>
      </c>
      <c r="K41" s="35">
        <f>IFERROR((PA[[#This Row],[Sunset Time (POA&lt;20 W/m2)]]-PA[[#This Row],[Sunrise Time (POA&gt;20 W/m2)]])*24,"")</f>
        <v>11.183333333333335</v>
      </c>
      <c r="L41" s="33" t="s">
        <v>300</v>
      </c>
      <c r="M41" s="33" t="s">
        <v>299</v>
      </c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1" s="35">
        <f>IFERROR(_xlfn.XLOOKUP(PA[[#This Row],[Affected Equipment ]],'Basic Data'!N:N,'Basic Data'!Q:Q),"")</f>
        <v>4662.4750000000004</v>
      </c>
      <c r="V41" s="369">
        <f ca="1">IFERROR(_xlfn.XLOOKUP(PA[[#This Row],[Affected Equipment ]],'Basic Data'!N:N,'Basic Data'!R:R),"")</f>
        <v>0.11891035450140271</v>
      </c>
      <c r="W41" s="36" t="s">
        <v>304</v>
      </c>
      <c r="X41" s="40"/>
      <c r="Y41" s="40" t="s">
        <v>311</v>
      </c>
      <c r="Z41" s="46">
        <v>0.32847222222222222</v>
      </c>
      <c r="AA41" s="42">
        <v>0.32847222222222222</v>
      </c>
      <c r="AB41" s="370">
        <v>0.32847222222222222</v>
      </c>
      <c r="AC41" s="46">
        <v>0.38541666666666669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1.3666666666666671</v>
      </c>
      <c r="AG41" s="44">
        <f>IFERROR((PA[[#This Row],[Work Completion time on fault]]-PA[[#This Row],[Fault Time]])*24,"")</f>
        <v>1.3666666666666671</v>
      </c>
      <c r="AH41" s="36" t="s">
        <v>312</v>
      </c>
      <c r="AI41" s="33" t="s">
        <v>298</v>
      </c>
      <c r="AJ41" s="35">
        <f ca="1">IFERROR(PA[[#This Row],[Breakdown Time]]*PA[[#This Row],[Plant Equivalent Weightage]],"")</f>
        <v>0.16251081781858376</v>
      </c>
      <c r="AK41" s="36">
        <v>0.80448330000000001</v>
      </c>
      <c r="AL41" s="51">
        <f>IFERROR((_xlfn.XLOOKUP($G41,'Modelling New'!D:D,'Modelling New'!$O:$O)*PA[[#This Row],[Lost PoA(kWh/m2)]]*PA[[#This Row],[DC Capacity Affected (kW)]]),"")</f>
        <v>2398.7122207363623</v>
      </c>
      <c r="AM41" s="33"/>
      <c r="AN41" s="33"/>
      <c r="AO41" s="37"/>
      <c r="AP41" s="37"/>
    </row>
    <row r="42" spans="1:42">
      <c r="A42" s="30">
        <v>41</v>
      </c>
      <c r="B42" s="368">
        <v>45783</v>
      </c>
      <c r="C42" s="371">
        <f>YEAR(PA[[#This Row],[Date]])+IF(MONTH(PA[[#This Row],[Date]])&gt;=4,1,0)</f>
        <v>2026</v>
      </c>
      <c r="D42" s="32">
        <f>YEAR(PA[[#This Row],[Date]])</f>
        <v>2025</v>
      </c>
      <c r="E42" s="33" t="s">
        <v>219</v>
      </c>
      <c r="F42" s="33" t="s">
        <v>219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0.30069444444444443</v>
      </c>
      <c r="J42" s="122">
        <v>0.76666666666666672</v>
      </c>
      <c r="K42" s="35">
        <f>IFERROR((PA[[#This Row],[Sunset Time (POA&lt;20 W/m2)]]-PA[[#This Row],[Sunrise Time (POA&gt;20 W/m2)]])*24,"")</f>
        <v>11.183333333333335</v>
      </c>
      <c r="L42" s="33" t="s">
        <v>300</v>
      </c>
      <c r="M42" s="33" t="s">
        <v>294</v>
      </c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2" s="35">
        <f>IFERROR(_xlfn.XLOOKUP(PA[[#This Row],[Affected Equipment ]],'Basic Data'!N:N,'Basic Data'!Q:Q),"")</f>
        <v>4662.4750000000004</v>
      </c>
      <c r="V42" s="369">
        <f ca="1">IFERROR(_xlfn.XLOOKUP(PA[[#This Row],[Affected Equipment ]],'Basic Data'!N:N,'Basic Data'!R:R),"")</f>
        <v>0.11891035450140271</v>
      </c>
      <c r="W42" s="36" t="s">
        <v>304</v>
      </c>
      <c r="X42" s="40"/>
      <c r="Y42" s="40" t="s">
        <v>311</v>
      </c>
      <c r="Z42" s="46">
        <v>0.32361111111111113</v>
      </c>
      <c r="AA42" s="42">
        <v>0.32361111111111113</v>
      </c>
      <c r="AB42" s="370">
        <v>0.32361111111111113</v>
      </c>
      <c r="AC42" s="46">
        <v>0.40347222222222223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1.9166666666666665</v>
      </c>
      <c r="AG42" s="44">
        <f>IFERROR((PA[[#This Row],[Work Completion time on fault]]-PA[[#This Row],[Fault Time]])*24,"")</f>
        <v>1.9166666666666665</v>
      </c>
      <c r="AH42" s="36" t="s">
        <v>312</v>
      </c>
      <c r="AI42" s="33" t="s">
        <v>298</v>
      </c>
      <c r="AJ42" s="35">
        <f ca="1">IFERROR(PA[[#This Row],[Breakdown Time]]*PA[[#This Row],[Plant Equivalent Weightage]],"")</f>
        <v>0.22791151279435518</v>
      </c>
      <c r="AK42" s="36">
        <v>0.96765959999999995</v>
      </c>
      <c r="AL42" s="51">
        <f>IFERROR((_xlfn.XLOOKUP($G42,'Modelling New'!D:D,'Modelling New'!$O:$O)*PA[[#This Row],[Lost PoA(kWh/m2)]]*PA[[#This Row],[DC Capacity Affected (kW)]]),"")</f>
        <v>2885.2518231675658</v>
      </c>
      <c r="AM42" s="33"/>
      <c r="AN42" s="33"/>
      <c r="AO42" s="37"/>
      <c r="AP42" s="37"/>
    </row>
    <row r="43" spans="1:42">
      <c r="A43" s="30">
        <v>42</v>
      </c>
      <c r="B43" s="368">
        <v>45783</v>
      </c>
      <c r="C43" s="371">
        <f>YEAR(PA[[#This Row],[Date]])+IF(MONTH(PA[[#This Row],[Date]])&gt;=4,1,0)</f>
        <v>2026</v>
      </c>
      <c r="D43" s="32">
        <f>YEAR(PA[[#This Row],[Date]])</f>
        <v>2025</v>
      </c>
      <c r="E43" s="33" t="s">
        <v>219</v>
      </c>
      <c r="F43" s="33" t="s">
        <v>219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0.30069444444444443</v>
      </c>
      <c r="J43" s="122">
        <v>0.76666666666666672</v>
      </c>
      <c r="K43" s="35">
        <f>IFERROR((PA[[#This Row],[Sunset Time (POA&lt;20 W/m2)]]-PA[[#This Row],[Sunrise Time (POA&gt;20 W/m2)]])*24,"")</f>
        <v>11.183333333333335</v>
      </c>
      <c r="L43" s="33" t="s">
        <v>303</v>
      </c>
      <c r="M43" s="33" t="s">
        <v>294</v>
      </c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" s="35">
        <f>IFERROR(_xlfn.XLOOKUP(PA[[#This Row],[Affected Equipment ]],'Basic Data'!N:N,'Basic Data'!Q:Q),"")</f>
        <v>5104</v>
      </c>
      <c r="V43" s="369">
        <f ca="1">IFERROR(_xlfn.XLOOKUP(PA[[#This Row],[Affected Equipment ]],'Basic Data'!N:N,'Basic Data'!R:R),"")</f>
        <v>0.13017087477684264</v>
      </c>
      <c r="W43" s="36" t="s">
        <v>304</v>
      </c>
      <c r="X43" s="40"/>
      <c r="Y43" s="40" t="s">
        <v>381</v>
      </c>
      <c r="Z43" s="46">
        <v>0.30069444444444443</v>
      </c>
      <c r="AA43" s="42">
        <v>0.30069444444444443</v>
      </c>
      <c r="AB43" s="370">
        <v>0.30069444444444443</v>
      </c>
      <c r="AC43" s="46">
        <v>0.36249999999999999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1.4833333333333334</v>
      </c>
      <c r="AG43" s="44">
        <f>IFERROR((PA[[#This Row],[Work Completion time on fault]]-PA[[#This Row],[Fault Time]])*24,"")</f>
        <v>1.4833333333333334</v>
      </c>
      <c r="AH43" s="36" t="s">
        <v>385</v>
      </c>
      <c r="AI43" s="33" t="s">
        <v>298</v>
      </c>
      <c r="AJ43" s="35">
        <f ca="1">IFERROR(PA[[#This Row],[Breakdown Time]]*PA[[#This Row],[Plant Equivalent Weightage]],"")</f>
        <v>0.19308679758564992</v>
      </c>
      <c r="AK43" s="36">
        <v>0.49937130000000002</v>
      </c>
      <c r="AL43" s="51">
        <f>IFERROR((_xlfn.XLOOKUP($G43,'Modelling New'!D:D,'Modelling New'!$O:$O)*PA[[#This Row],[Lost PoA(kWh/m2)]]*PA[[#This Row],[DC Capacity Affected (kW)]]),"")</f>
        <v>1629.9671168763439</v>
      </c>
      <c r="AM43" s="33"/>
      <c r="AN43" s="33"/>
      <c r="AO43" s="37"/>
      <c r="AP43" s="37"/>
    </row>
    <row r="44" spans="1:42">
      <c r="A44" s="30">
        <v>43</v>
      </c>
      <c r="B44" s="368">
        <v>45783</v>
      </c>
      <c r="C44" s="371">
        <f>YEAR(PA[[#This Row],[Date]])+IF(MONTH(PA[[#This Row],[Date]])&gt;=4,1,0)</f>
        <v>2026</v>
      </c>
      <c r="D44" s="32">
        <f>YEAR(PA[[#This Row],[Date]])</f>
        <v>2025</v>
      </c>
      <c r="E44" s="33" t="s">
        <v>219</v>
      </c>
      <c r="F44" s="33" t="s">
        <v>219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0.30069444444444443</v>
      </c>
      <c r="J44" s="122">
        <v>0.76666666666666672</v>
      </c>
      <c r="K44" s="35">
        <f>IFERROR((PA[[#This Row],[Sunset Time (POA&lt;20 W/m2)]]-PA[[#This Row],[Sunrise Time (POA&gt;20 W/m2)]])*24,"")</f>
        <v>11.183333333333335</v>
      </c>
      <c r="L44" s="33" t="s">
        <v>303</v>
      </c>
      <c r="M44" s="33" t="s">
        <v>299</v>
      </c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4" s="35">
        <f>IFERROR(_xlfn.XLOOKUP(PA[[#This Row],[Affected Equipment ]],'Basic Data'!N:N,'Basic Data'!Q:Q),"")</f>
        <v>5104</v>
      </c>
      <c r="V44" s="369">
        <f ca="1">IFERROR(_xlfn.XLOOKUP(PA[[#This Row],[Affected Equipment ]],'Basic Data'!N:N,'Basic Data'!R:R),"")</f>
        <v>0.13017087477684264</v>
      </c>
      <c r="W44" s="36" t="s">
        <v>304</v>
      </c>
      <c r="X44" s="40"/>
      <c r="Y44" s="40" t="s">
        <v>384</v>
      </c>
      <c r="Z44" s="46">
        <v>0.30069444444444443</v>
      </c>
      <c r="AA44" s="42">
        <v>0.30069444444444443</v>
      </c>
      <c r="AB44" s="370">
        <v>0.30069444444444443</v>
      </c>
      <c r="AC44" s="46">
        <v>0.31527777777777777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0.35000000000000009</v>
      </c>
      <c r="AG44" s="44">
        <f>IFERROR((PA[[#This Row],[Work Completion time on fault]]-PA[[#This Row],[Fault Time]])*24,"")</f>
        <v>0.35000000000000009</v>
      </c>
      <c r="AH44" s="36" t="s">
        <v>385</v>
      </c>
      <c r="AI44" s="33" t="s">
        <v>298</v>
      </c>
      <c r="AJ44" s="35">
        <f ca="1">IFERROR(PA[[#This Row],[Breakdown Time]]*PA[[#This Row],[Plant Equivalent Weightage]],"")</f>
        <v>4.5559806171894937E-2</v>
      </c>
      <c r="AK44" s="36">
        <v>7.5863299999999995E-2</v>
      </c>
      <c r="AL44" s="51">
        <f>IFERROR((_xlfn.XLOOKUP($G44,'Modelling New'!D:D,'Modelling New'!$O:$O)*PA[[#This Row],[Lost PoA(kWh/m2)]]*PA[[#This Row],[DC Capacity Affected (kW)]]),"")</f>
        <v>247.62072705765252</v>
      </c>
      <c r="AM44" s="33"/>
      <c r="AN44" s="33"/>
      <c r="AO44" s="37"/>
      <c r="AP44" s="37"/>
    </row>
    <row r="45" spans="1:42">
      <c r="A45" s="30">
        <v>44</v>
      </c>
      <c r="B45" s="368">
        <v>45783</v>
      </c>
      <c r="C45" s="371">
        <f>YEAR(PA[[#This Row],[Date]])+IF(MONTH(PA[[#This Row],[Date]])&gt;=4,1,0)</f>
        <v>2026</v>
      </c>
      <c r="D45" s="32">
        <f>YEAR(PA[[#This Row],[Date]])</f>
        <v>2025</v>
      </c>
      <c r="E45" s="33" t="s">
        <v>219</v>
      </c>
      <c r="F45" s="33" t="s">
        <v>219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0.30069444444444443</v>
      </c>
      <c r="J45" s="122">
        <v>0.76666666666666672</v>
      </c>
      <c r="K45" s="35">
        <f>IFERROR((PA[[#This Row],[Sunset Time (POA&lt;20 W/m2)]]-PA[[#This Row],[Sunrise Time (POA&gt;20 W/m2)]])*24,"")</f>
        <v>11.183333333333335</v>
      </c>
      <c r="L45" s="33" t="s">
        <v>303</v>
      </c>
      <c r="M45" s="33" t="s">
        <v>294</v>
      </c>
      <c r="N45" s="33" t="s">
        <v>313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" s="35">
        <f>IFERROR(_xlfn.XLOOKUP(PA[[#This Row],[Affected Equipment ]],'Basic Data'!N:N,'Basic Data'!Q:Q),"")</f>
        <v>1276</v>
      </c>
      <c r="V45" s="369">
        <f ca="1">IFERROR(_xlfn.XLOOKUP(PA[[#This Row],[Affected Equipment ]],'Basic Data'!N:N,'Basic Data'!R:R),"")</f>
        <v>3.2542718694210659E-2</v>
      </c>
      <c r="W45" s="36" t="s">
        <v>304</v>
      </c>
      <c r="X45" s="40"/>
      <c r="Y45" s="40" t="s">
        <v>386</v>
      </c>
      <c r="Z45" s="46">
        <v>0.30069444444444443</v>
      </c>
      <c r="AA45" s="42">
        <v>0.30069444444444443</v>
      </c>
      <c r="AB45" s="370">
        <v>0.30069444444444443</v>
      </c>
      <c r="AC45" s="46">
        <v>0.76666666666666672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11.183333333333335</v>
      </c>
      <c r="AG45" s="44">
        <f>IFERROR((PA[[#This Row],[Work Completion time on fault]]-PA[[#This Row],[Fault Time]])*24,"")</f>
        <v>11.183333333333335</v>
      </c>
      <c r="AH45" s="36" t="s">
        <v>315</v>
      </c>
      <c r="AI45" s="33" t="s">
        <v>298</v>
      </c>
      <c r="AJ45" s="35">
        <f ca="1">IFERROR(PA[[#This Row],[Breakdown Time]]*PA[[#This Row],[Plant Equivalent Weightage]],"")</f>
        <v>0.36393607073025597</v>
      </c>
      <c r="AK45" s="36">
        <v>7.3</v>
      </c>
      <c r="AL45" s="51">
        <f>IFERROR((_xlfn.XLOOKUP($G45,'Modelling New'!D:D,'Modelling New'!$O:$O)*PA[[#This Row],[Lost PoA(kWh/m2)]]*PA[[#This Row],[DC Capacity Affected (kW)]]),"")</f>
        <v>5956.8701451191282</v>
      </c>
      <c r="AM45" s="33"/>
      <c r="AN45" s="33"/>
      <c r="AO45" s="37"/>
      <c r="AP45" s="37"/>
    </row>
    <row r="46" spans="1:42">
      <c r="A46" s="30">
        <v>45</v>
      </c>
      <c r="B46" s="31">
        <v>45784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219</v>
      </c>
      <c r="F46" s="33" t="s">
        <v>219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0.25486111111111109</v>
      </c>
      <c r="J46" s="122">
        <v>0.75277777777777777</v>
      </c>
      <c r="K46" s="35">
        <f>IFERROR((PA[[#This Row],[Sunset Time (POA&lt;20 W/m2)]]-PA[[#This Row],[Sunrise Time (POA&gt;20 W/m2)]])*24,"")</f>
        <v>11.95</v>
      </c>
      <c r="L46" s="33" t="s">
        <v>300</v>
      </c>
      <c r="M46" s="33" t="s">
        <v>294</v>
      </c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6" s="35">
        <f>IFERROR(_xlfn.XLOOKUP(PA[[#This Row],[Affected Equipment ]],'Basic Data'!N:N,'Basic Data'!Q:Q),"")</f>
        <v>4662.4750000000004</v>
      </c>
      <c r="V46" s="39">
        <f ca="1">IFERROR(_xlfn.XLOOKUP(PA[[#This Row],[Affected Equipment ]],'Basic Data'!N:N,'Basic Data'!R:R),"")</f>
        <v>0.11891035450140271</v>
      </c>
      <c r="W46" s="36" t="s">
        <v>304</v>
      </c>
      <c r="X46" s="41"/>
      <c r="Y46" s="347" t="s">
        <v>311</v>
      </c>
      <c r="Z46" s="42">
        <v>0.32847222222222222</v>
      </c>
      <c r="AA46" s="42">
        <v>0.32847222222222222</v>
      </c>
      <c r="AB46" s="42">
        <v>0.32847222222222222</v>
      </c>
      <c r="AC46" s="42">
        <v>0.40625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1.8666666666666667</v>
      </c>
      <c r="AG46" s="44">
        <f>IFERROR((PA[[#This Row],[Work Completion time on fault]]-PA[[#This Row],[Fault Time]])*24,"")</f>
        <v>1.8666666666666667</v>
      </c>
      <c r="AH46" s="348" t="s">
        <v>312</v>
      </c>
      <c r="AI46" s="33" t="s">
        <v>298</v>
      </c>
      <c r="AJ46" s="35">
        <f ca="1">IFERROR(PA[[#This Row],[Breakdown Time]]*PA[[#This Row],[Plant Equivalent Weightage]],"")</f>
        <v>0.22196599506928505</v>
      </c>
      <c r="AK46" s="38">
        <v>1.05</v>
      </c>
      <c r="AL46" s="51">
        <f>IFERROR((_xlfn.XLOOKUP($G46,'Modelling New'!D:D,'Modelling New'!$O:$O)*PA[[#This Row],[Lost PoA(kWh/m2)]]*PA[[#This Row],[DC Capacity Affected (kW)]]),"")</f>
        <v>3130.7645935884316</v>
      </c>
      <c r="AM46" s="33"/>
      <c r="AN46" s="33"/>
      <c r="AO46" s="33"/>
      <c r="AP46" s="33"/>
    </row>
    <row r="47" spans="1:42">
      <c r="A47" s="30">
        <v>46</v>
      </c>
      <c r="B47" s="31">
        <v>45784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219</v>
      </c>
      <c r="F47" s="33" t="s">
        <v>219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0.25486111111111109</v>
      </c>
      <c r="J47" s="122">
        <v>0.75277777777777777</v>
      </c>
      <c r="K47" s="35">
        <f>IFERROR((PA[[#This Row],[Sunset Time (POA&lt;20 W/m2)]]-PA[[#This Row],[Sunrise Time (POA&gt;20 W/m2)]])*24,"")</f>
        <v>11.95</v>
      </c>
      <c r="L47" s="33" t="s">
        <v>300</v>
      </c>
      <c r="M47" s="33" t="s">
        <v>294</v>
      </c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7" s="35">
        <f>IFERROR(_xlfn.XLOOKUP(PA[[#This Row],[Affected Equipment ]],'Basic Data'!N:N,'Basic Data'!Q:Q),"")</f>
        <v>4662.4750000000004</v>
      </c>
      <c r="V47" s="39">
        <f ca="1">IFERROR(_xlfn.XLOOKUP(PA[[#This Row],[Affected Equipment ]],'Basic Data'!N:N,'Basic Data'!R:R),"")</f>
        <v>0.11891035450140271</v>
      </c>
      <c r="W47" s="36" t="s">
        <v>304</v>
      </c>
      <c r="X47" s="41"/>
      <c r="Y47" s="347" t="s">
        <v>311</v>
      </c>
      <c r="Z47" s="42">
        <v>0.72986111111111107</v>
      </c>
      <c r="AA47" s="42">
        <v>0.72986111111111107</v>
      </c>
      <c r="AB47" s="42">
        <v>0.72986111111111107</v>
      </c>
      <c r="AC47" s="42">
        <v>0.75277777777777777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0.55000000000000071</v>
      </c>
      <c r="AG47" s="44">
        <f>IFERROR((PA[[#This Row],[Work Completion time on fault]]-PA[[#This Row],[Fault Time]])*24,"")</f>
        <v>0.55000000000000071</v>
      </c>
      <c r="AH47" s="348" t="s">
        <v>312</v>
      </c>
      <c r="AI47" s="33" t="s">
        <v>298</v>
      </c>
      <c r="AJ47" s="35">
        <f ca="1">IFERROR(PA[[#This Row],[Breakdown Time]]*PA[[#This Row],[Plant Equivalent Weightage]],"")</f>
        <v>6.540069497577157E-2</v>
      </c>
      <c r="AK47" s="38">
        <v>3.1E-2</v>
      </c>
      <c r="AL47" s="51">
        <f>IFERROR((_xlfn.XLOOKUP($G47,'Modelling New'!D:D,'Modelling New'!$O:$O)*PA[[#This Row],[Lost PoA(kWh/m2)]]*PA[[#This Row],[DC Capacity Affected (kW)]]),"")</f>
        <v>92.432097524991775</v>
      </c>
      <c r="AM47" s="33"/>
      <c r="AN47" s="33"/>
      <c r="AO47" s="33"/>
      <c r="AP47" s="33"/>
    </row>
    <row r="48" spans="1:42">
      <c r="A48" s="30">
        <v>47</v>
      </c>
      <c r="B48" s="31">
        <v>45784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219</v>
      </c>
      <c r="F48" s="33" t="s">
        <v>219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0.25486111111111109</v>
      </c>
      <c r="J48" s="122">
        <v>0.75277777777777777</v>
      </c>
      <c r="K48" s="35">
        <f>IFERROR((PA[[#This Row],[Sunset Time (POA&lt;20 W/m2)]]-PA[[#This Row],[Sunrise Time (POA&gt;20 W/m2)]])*24,"")</f>
        <v>11.95</v>
      </c>
      <c r="L48" s="33" t="s">
        <v>303</v>
      </c>
      <c r="M48" s="33" t="s">
        <v>294</v>
      </c>
      <c r="N48" s="33" t="s">
        <v>313</v>
      </c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304</v>
      </c>
      <c r="X48" s="41"/>
      <c r="Y48" s="347" t="s">
        <v>314</v>
      </c>
      <c r="Z48" s="42">
        <v>0.25486111111111109</v>
      </c>
      <c r="AA48" s="42">
        <v>0.25486111111111109</v>
      </c>
      <c r="AB48" s="42">
        <v>0.25486111111111109</v>
      </c>
      <c r="AC48" s="42">
        <v>0.75277777777777777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11.95</v>
      </c>
      <c r="AG48" s="44">
        <f>IFERROR((PA[[#This Row],[Work Completion time on fault]]-PA[[#This Row],[Fault Time]])*24,"")</f>
        <v>11.95</v>
      </c>
      <c r="AH48" s="36" t="s">
        <v>315</v>
      </c>
      <c r="AI48" s="33" t="s">
        <v>298</v>
      </c>
      <c r="AJ48" s="35">
        <f ca="1">IFERROR(PA[[#This Row],[Breakdown Time]]*PA[[#This Row],[Plant Equivalent Weightage]],"")</f>
        <v>0.38888548839581738</v>
      </c>
      <c r="AK48" s="38">
        <v>7.12</v>
      </c>
      <c r="AL48" s="51">
        <f>IFERROR((_xlfn.XLOOKUP($G48,'Modelling New'!D:D,'Modelling New'!$O:$O)*PA[[#This Row],[Lost PoA(kWh/m2)]]*PA[[#This Row],[DC Capacity Affected (kW)]]),"")</f>
        <v>5809.9884155134505</v>
      </c>
      <c r="AM48" s="33"/>
      <c r="AN48" s="33"/>
      <c r="AO48" s="33"/>
      <c r="AP48" s="33"/>
    </row>
    <row r="49" spans="1:42">
      <c r="A49" s="30">
        <v>48</v>
      </c>
      <c r="B49" s="31">
        <v>45784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219</v>
      </c>
      <c r="F49" s="33" t="s">
        <v>219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0.25486111111111109</v>
      </c>
      <c r="J49" s="122">
        <v>0.75277777777777777</v>
      </c>
      <c r="K49" s="35">
        <f>IFERROR((PA[[#This Row],[Sunset Time (POA&lt;20 W/m2)]]-PA[[#This Row],[Sunrise Time (POA&gt;20 W/m2)]])*24,"")</f>
        <v>11.95</v>
      </c>
      <c r="L49" s="33" t="s">
        <v>303</v>
      </c>
      <c r="M49" s="33" t="s">
        <v>294</v>
      </c>
      <c r="N49" s="33" t="s">
        <v>316</v>
      </c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304</v>
      </c>
      <c r="X49" s="41"/>
      <c r="Y49" s="347" t="s">
        <v>317</v>
      </c>
      <c r="Z49" s="42">
        <v>0.25486111111111109</v>
      </c>
      <c r="AA49" s="42">
        <v>0.25486111111111109</v>
      </c>
      <c r="AB49" s="42">
        <v>0.25486111111111109</v>
      </c>
      <c r="AC49" s="42">
        <v>0.75277777777777777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11.95</v>
      </c>
      <c r="AG49" s="44">
        <f>IFERROR((PA[[#This Row],[Work Completion time on fault]]-PA[[#This Row],[Fault Time]])*24,"")</f>
        <v>11.95</v>
      </c>
      <c r="AH49" s="36" t="s">
        <v>315</v>
      </c>
      <c r="AI49" s="33" t="s">
        <v>298</v>
      </c>
      <c r="AJ49" s="35">
        <f ca="1">IFERROR(PA[[#This Row],[Breakdown Time]]*PA[[#This Row],[Plant Equivalent Weightage]],"")</f>
        <v>0.38888548839581738</v>
      </c>
      <c r="AK49" s="38">
        <v>7.12</v>
      </c>
      <c r="AL49" s="51">
        <f>IFERROR((_xlfn.XLOOKUP($G49,'Modelling New'!D:D,'Modelling New'!$O:$O)*PA[[#This Row],[Lost PoA(kWh/m2)]]*PA[[#This Row],[DC Capacity Affected (kW)]]),"")</f>
        <v>5809.9884155134505</v>
      </c>
      <c r="AM49" s="349"/>
      <c r="AN49" s="349"/>
      <c r="AO49" s="349"/>
      <c r="AP49" s="349"/>
    </row>
    <row r="50" spans="1:42">
      <c r="A50" s="30">
        <v>49</v>
      </c>
      <c r="B50" s="31">
        <v>45784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219</v>
      </c>
      <c r="F50" s="33" t="s">
        <v>219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0.25486111111111109</v>
      </c>
      <c r="J50" s="122">
        <v>0.75277777777777777</v>
      </c>
      <c r="K50" s="35">
        <f>IFERROR((PA[[#This Row],[Sunset Time (POA&lt;20 W/m2)]]-PA[[#This Row],[Sunrise Time (POA&gt;20 W/m2)]])*24,"")</f>
        <v>11.95</v>
      </c>
      <c r="L50" s="33" t="s">
        <v>300</v>
      </c>
      <c r="M50" s="33" t="s">
        <v>294</v>
      </c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0" s="35">
        <f>IFERROR(_xlfn.XLOOKUP(PA[[#This Row],[Affected Equipment ]],'Basic Data'!N:N,'Basic Data'!Q:Q),"")</f>
        <v>4662.4750000000004</v>
      </c>
      <c r="V50" s="39">
        <f ca="1">IFERROR(_xlfn.XLOOKUP(PA[[#This Row],[Affected Equipment ]],'Basic Data'!N:N,'Basic Data'!R:R),"")</f>
        <v>0.11891035450140271</v>
      </c>
      <c r="W50" s="36" t="s">
        <v>304</v>
      </c>
      <c r="X50" s="41"/>
      <c r="Y50" s="347" t="s">
        <v>311</v>
      </c>
      <c r="Z50" s="42">
        <v>0.31527777777777777</v>
      </c>
      <c r="AA50" s="42">
        <v>0.31527777777777777</v>
      </c>
      <c r="AB50" s="42">
        <v>0.31527777777777777</v>
      </c>
      <c r="AC50" s="42">
        <v>0.43680555555555556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2.916666666666667</v>
      </c>
      <c r="AG50" s="44">
        <f>IFERROR((PA[[#This Row],[Work Completion time on fault]]-PA[[#This Row],[Fault Time]])*24,"")</f>
        <v>2.916666666666667</v>
      </c>
      <c r="AH50" s="348" t="s">
        <v>312</v>
      </c>
      <c r="AI50" s="33" t="s">
        <v>298</v>
      </c>
      <c r="AJ50" s="35">
        <f ca="1">IFERROR(PA[[#This Row],[Breakdown Time]]*PA[[#This Row],[Plant Equivalent Weightage]],"")</f>
        <v>0.34682186729575792</v>
      </c>
      <c r="AK50" s="38">
        <v>1.74</v>
      </c>
      <c r="AL50" s="51">
        <f>IFERROR((_xlfn.XLOOKUP($G50,'Modelling New'!D:D,'Modelling New'!$O:$O)*PA[[#This Row],[Lost PoA(kWh/m2)]]*PA[[#This Row],[DC Capacity Affected (kW)]]),"")</f>
        <v>5188.1241836608297</v>
      </c>
      <c r="AM50" s="349"/>
      <c r="AN50" s="349"/>
      <c r="AO50" s="349"/>
      <c r="AP50" s="349"/>
    </row>
    <row r="51" spans="1:42">
      <c r="A51" s="30">
        <v>50</v>
      </c>
      <c r="B51" s="31">
        <v>45784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219</v>
      </c>
      <c r="F51" s="33" t="s">
        <v>219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0.25486111111111109</v>
      </c>
      <c r="J51" s="122">
        <v>0.75277777777777777</v>
      </c>
      <c r="K51" s="35">
        <f>IFERROR((PA[[#This Row],[Sunset Time (POA&lt;20 W/m2)]]-PA[[#This Row],[Sunrise Time (POA&gt;20 W/m2)]])*24,"")</f>
        <v>11.95</v>
      </c>
      <c r="L51" s="33" t="s">
        <v>300</v>
      </c>
      <c r="M51" s="33" t="s">
        <v>294</v>
      </c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1" s="35">
        <f>IFERROR(_xlfn.XLOOKUP(PA[[#This Row],[Affected Equipment ]],'Basic Data'!N:N,'Basic Data'!Q:Q),"")</f>
        <v>4662.4750000000004</v>
      </c>
      <c r="V51" s="39">
        <f ca="1">IFERROR(_xlfn.XLOOKUP(PA[[#This Row],[Affected Equipment ]],'Basic Data'!N:N,'Basic Data'!R:R),"")</f>
        <v>0.11891035450140271</v>
      </c>
      <c r="W51" s="36" t="s">
        <v>304</v>
      </c>
      <c r="X51" s="41"/>
      <c r="Y51" s="347" t="s">
        <v>311</v>
      </c>
      <c r="Z51" s="42">
        <v>0.52013888888888893</v>
      </c>
      <c r="AA51" s="42">
        <v>0.52013888888888893</v>
      </c>
      <c r="AB51" s="42">
        <v>0.52013888888888893</v>
      </c>
      <c r="AC51" s="42">
        <v>0.52638888888888891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0.14999999999999947</v>
      </c>
      <c r="AG51" s="44">
        <f>IFERROR((PA[[#This Row],[Work Completion time on fault]]-PA[[#This Row],[Fault Time]])*24,"")</f>
        <v>0.14999999999999947</v>
      </c>
      <c r="AH51" s="348" t="s">
        <v>312</v>
      </c>
      <c r="AI51" s="33" t="s">
        <v>298</v>
      </c>
      <c r="AJ51" s="35">
        <f ca="1">IFERROR(PA[[#This Row],[Breakdown Time]]*PA[[#This Row],[Plant Equivalent Weightage]],"")</f>
        <v>1.7836553175210344E-2</v>
      </c>
      <c r="AK51" s="38">
        <v>0.16590530000000001</v>
      </c>
      <c r="AL51" s="51">
        <f>IFERROR((_xlfn.XLOOKUP($G51,'Modelling New'!D:D,'Modelling New'!$O:$O)*PA[[#This Row],[Lost PoA(kWh/m2)]]*PA[[#This Row],[DC Capacity Affected (kW)]]),"")</f>
        <v>494.67660869396843</v>
      </c>
      <c r="AM51" s="349"/>
      <c r="AN51" s="349"/>
      <c r="AO51" s="349"/>
      <c r="AP51" s="349"/>
    </row>
    <row r="52" spans="1:42">
      <c r="A52" s="30">
        <v>51</v>
      </c>
      <c r="B52" s="31">
        <v>45784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219</v>
      </c>
      <c r="F52" s="33" t="s">
        <v>219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0.25486111111111109</v>
      </c>
      <c r="J52" s="122">
        <v>0.75277777777777777</v>
      </c>
      <c r="K52" s="35">
        <f>IFERROR((PA[[#This Row],[Sunset Time (POA&lt;20 W/m2)]]-PA[[#This Row],[Sunrise Time (POA&gt;20 W/m2)]])*24,"")</f>
        <v>11.95</v>
      </c>
      <c r="L52" s="33" t="s">
        <v>300</v>
      </c>
      <c r="M52" s="33" t="s">
        <v>294</v>
      </c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2" s="35">
        <f>IFERROR(_xlfn.XLOOKUP(PA[[#This Row],[Affected Equipment ]],'Basic Data'!N:N,'Basic Data'!Q:Q),"")</f>
        <v>4662.4750000000004</v>
      </c>
      <c r="V52" s="39">
        <f ca="1">IFERROR(_xlfn.XLOOKUP(PA[[#This Row],[Affected Equipment ]],'Basic Data'!N:N,'Basic Data'!R:R),"")</f>
        <v>0.11891035450140271</v>
      </c>
      <c r="W52" s="36" t="s">
        <v>304</v>
      </c>
      <c r="X52" s="41"/>
      <c r="Y52" s="347" t="s">
        <v>311</v>
      </c>
      <c r="Z52" s="42">
        <v>0.54305555555555551</v>
      </c>
      <c r="AA52" s="42">
        <v>0.54305555555555551</v>
      </c>
      <c r="AB52" s="42">
        <v>0.54305555555555551</v>
      </c>
      <c r="AC52" s="42">
        <v>0.56527777777777777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0.5333333333333341</v>
      </c>
      <c r="AG52" s="44">
        <f>IFERROR((PA[[#This Row],[Work Completion time on fault]]-PA[[#This Row],[Fault Time]])*24,"")</f>
        <v>0.5333333333333341</v>
      </c>
      <c r="AH52" s="348" t="s">
        <v>312</v>
      </c>
      <c r="AI52" s="33" t="s">
        <v>298</v>
      </c>
      <c r="AJ52" s="35">
        <f ca="1">IFERROR(PA[[#This Row],[Breakdown Time]]*PA[[#This Row],[Plant Equivalent Weightage]],"")</f>
        <v>6.3418855734081542E-2</v>
      </c>
      <c r="AK52" s="38">
        <v>0.50135470000000004</v>
      </c>
      <c r="AL52" s="51">
        <f>IFERROR((_xlfn.XLOOKUP($G52,'Modelling New'!D:D,'Modelling New'!$O:$O)*PA[[#This Row],[Lost PoA(kWh/m2)]]*PA[[#This Row],[DC Capacity Affected (kW)]]),"")</f>
        <v>1494.8795653230002</v>
      </c>
      <c r="AM52" s="33"/>
      <c r="AN52" s="33"/>
      <c r="AO52" s="33"/>
      <c r="AP52" s="33"/>
    </row>
    <row r="53" spans="1:42">
      <c r="A53" s="30">
        <v>52</v>
      </c>
      <c r="B53" s="31">
        <v>45784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219</v>
      </c>
      <c r="F53" s="33" t="s">
        <v>219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0.25486111111111109</v>
      </c>
      <c r="J53" s="122">
        <v>0.75277777777777777</v>
      </c>
      <c r="K53" s="35">
        <f>IFERROR((PA[[#This Row],[Sunset Time (POA&lt;20 W/m2)]]-PA[[#This Row],[Sunrise Time (POA&gt;20 W/m2)]])*24,"")</f>
        <v>11.95</v>
      </c>
      <c r="L53" s="33" t="s">
        <v>300</v>
      </c>
      <c r="M53" s="33" t="s">
        <v>294</v>
      </c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3" s="35">
        <f>IFERROR(_xlfn.XLOOKUP(PA[[#This Row],[Affected Equipment ]],'Basic Data'!N:N,'Basic Data'!Q:Q),"")</f>
        <v>4662.4750000000004</v>
      </c>
      <c r="V53" s="39">
        <f ca="1">IFERROR(_xlfn.XLOOKUP(PA[[#This Row],[Affected Equipment ]],'Basic Data'!N:N,'Basic Data'!R:R),"")</f>
        <v>0.11891035450140271</v>
      </c>
      <c r="W53" s="36" t="s">
        <v>304</v>
      </c>
      <c r="X53" s="41"/>
      <c r="Y53" s="347" t="s">
        <v>311</v>
      </c>
      <c r="Z53" s="42">
        <v>0.72430555555555554</v>
      </c>
      <c r="AA53" s="42">
        <v>0.72430555555555554</v>
      </c>
      <c r="AB53" s="42">
        <v>0.72430555555555554</v>
      </c>
      <c r="AC53" s="42">
        <v>0.75277777777777777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0.68333333333333357</v>
      </c>
      <c r="AG53" s="44">
        <f>IFERROR((PA[[#This Row],[Work Completion time on fault]]-PA[[#This Row],[Fault Time]])*24,"")</f>
        <v>0.68333333333333357</v>
      </c>
      <c r="AH53" s="348" t="s">
        <v>312</v>
      </c>
      <c r="AI53" s="33" t="s">
        <v>298</v>
      </c>
      <c r="AJ53" s="35">
        <f ca="1">IFERROR(PA[[#This Row],[Breakdown Time]]*PA[[#This Row],[Plant Equivalent Weightage]],"")</f>
        <v>8.1255408909291879E-2</v>
      </c>
      <c r="AK53" s="38">
        <v>5.3963999999999998E-2</v>
      </c>
      <c r="AL53" s="51">
        <f>IFERROR((_xlfn.XLOOKUP($G53,'Modelling New'!D:D,'Modelling New'!$O:$O)*PA[[#This Row],[Lost PoA(kWh/m2)]]*PA[[#This Row],[DC Capacity Affected (kW)]]),"")</f>
        <v>160.90341002705344</v>
      </c>
      <c r="AM53" s="33"/>
      <c r="AN53" s="33"/>
      <c r="AO53" s="33"/>
      <c r="AP53" s="33"/>
    </row>
    <row r="54" spans="1:42">
      <c r="A54" s="30">
        <v>53</v>
      </c>
      <c r="B54" s="31">
        <v>45785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219</v>
      </c>
      <c r="F54" s="33" t="s">
        <v>219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0.25763888888888886</v>
      </c>
      <c r="J54" s="122">
        <v>0.75277777777777777</v>
      </c>
      <c r="K54" s="35">
        <f>IFERROR((PA[[#This Row],[Sunset Time (POA&lt;20 W/m2)]]-PA[[#This Row],[Sunrise Time (POA&gt;20 W/m2)]])*24,"")</f>
        <v>11.883333333333333</v>
      </c>
      <c r="L54" s="33" t="s">
        <v>300</v>
      </c>
      <c r="M54" s="33" t="s">
        <v>294</v>
      </c>
      <c r="N54" s="33"/>
      <c r="O54" s="36"/>
      <c r="P54" s="36"/>
      <c r="Q54" s="349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4" s="35">
        <f>IFERROR(_xlfn.XLOOKUP(PA[[#This Row],[Affected Equipment ]],'Basic Data'!N:N,'Basic Data'!Q:Q),"")</f>
        <v>4662.4750000000004</v>
      </c>
      <c r="V54" s="39">
        <f ca="1">IFERROR(_xlfn.XLOOKUP(PA[[#This Row],[Affected Equipment ]],'Basic Data'!N:N,'Basic Data'!R:R),"")</f>
        <v>0.11891035450140271</v>
      </c>
      <c r="W54" s="36" t="s">
        <v>304</v>
      </c>
      <c r="X54" s="41"/>
      <c r="Y54" s="347" t="s">
        <v>311</v>
      </c>
      <c r="Z54" s="42">
        <v>0.35069444444444442</v>
      </c>
      <c r="AA54" s="42">
        <v>0.35069444444444442</v>
      </c>
      <c r="AB54" s="42">
        <v>0.35069444444444442</v>
      </c>
      <c r="AC54" s="42">
        <v>0.38333333333333336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0.78333333333333455</v>
      </c>
      <c r="AG54" s="44">
        <f>IFERROR((PA[[#This Row],[Work Completion time on fault]]-PA[[#This Row],[Fault Time]])*24,"")</f>
        <v>0.78333333333333455</v>
      </c>
      <c r="AH54" s="348" t="s">
        <v>312</v>
      </c>
      <c r="AI54" s="33" t="s">
        <v>298</v>
      </c>
      <c r="AJ54" s="35">
        <f ca="1">IFERROR(PA[[#This Row],[Breakdown Time]]*PA[[#This Row],[Plant Equivalent Weightage]],"")</f>
        <v>9.3146444359432271E-2</v>
      </c>
      <c r="AK54" s="36">
        <v>0.359659065</v>
      </c>
      <c r="AL54" s="51">
        <f>IFERROR((_xlfn.XLOOKUP($G54,'Modelling New'!D:D,'Modelling New'!$O:$O)*PA[[#This Row],[Lost PoA(kWh/m2)]]*PA[[#This Row],[DC Capacity Affected (kW)]]),"")</f>
        <v>1072.3884442524954</v>
      </c>
      <c r="AM54" s="349"/>
      <c r="AN54" s="349"/>
      <c r="AO54" s="349"/>
      <c r="AP54" s="349"/>
    </row>
    <row r="55" spans="1:42">
      <c r="A55" s="30">
        <v>54</v>
      </c>
      <c r="B55" s="31">
        <v>45785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219</v>
      </c>
      <c r="F55" s="33" t="s">
        <v>219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0.25763888888888886</v>
      </c>
      <c r="J55" s="122">
        <v>0.75277777777777777</v>
      </c>
      <c r="K55" s="35">
        <f>IFERROR((PA[[#This Row],[Sunset Time (POA&lt;20 W/m2)]]-PA[[#This Row],[Sunrise Time (POA&gt;20 W/m2)]])*24,"")</f>
        <v>11.883333333333333</v>
      </c>
      <c r="L55" s="33" t="s">
        <v>300</v>
      </c>
      <c r="M55" s="33" t="s">
        <v>299</v>
      </c>
      <c r="N55" s="33"/>
      <c r="O55" s="36"/>
      <c r="P55" s="36"/>
      <c r="Q55" s="349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55" s="35">
        <f>IFERROR(_xlfn.XLOOKUP(PA[[#This Row],[Affected Equipment ]],'Basic Data'!N:N,'Basic Data'!Q:Q),"")</f>
        <v>4662.4750000000004</v>
      </c>
      <c r="V55" s="39">
        <f ca="1">IFERROR(_xlfn.XLOOKUP(PA[[#This Row],[Affected Equipment ]],'Basic Data'!N:N,'Basic Data'!R:R),"")</f>
        <v>0.11891035450140271</v>
      </c>
      <c r="W55" s="36" t="s">
        <v>304</v>
      </c>
      <c r="X55" s="41"/>
      <c r="Y55" s="347" t="s">
        <v>311</v>
      </c>
      <c r="Z55" s="42">
        <v>0.33402777777777776</v>
      </c>
      <c r="AA55" s="42">
        <v>0.33402777777777776</v>
      </c>
      <c r="AB55" s="42">
        <v>0.33402777777777776</v>
      </c>
      <c r="AC55" s="42">
        <v>0.42152777777777778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2.1000000000000005</v>
      </c>
      <c r="AG55" s="44">
        <f>IFERROR((PA[[#This Row],[Work Completion time on fault]]-PA[[#This Row],[Fault Time]])*24,"")</f>
        <v>2.1000000000000005</v>
      </c>
      <c r="AH55" s="348" t="s">
        <v>312</v>
      </c>
      <c r="AI55" s="33" t="s">
        <v>298</v>
      </c>
      <c r="AJ55" s="35">
        <f ca="1">IFERROR(PA[[#This Row],[Breakdown Time]]*PA[[#This Row],[Plant Equivalent Weightage]],"")</f>
        <v>0.24971174445294575</v>
      </c>
      <c r="AK55" s="36">
        <v>1.09785</v>
      </c>
      <c r="AL55" s="51">
        <f>IFERROR((_xlfn.XLOOKUP($G55,'Modelling New'!D:D,'Modelling New'!$O:$O)*PA[[#This Row],[Lost PoA(kWh/m2)]]*PA[[#This Row],[DC Capacity Affected (kW)]]),"")</f>
        <v>3273.4380086391043</v>
      </c>
      <c r="AM55" s="33"/>
      <c r="AN55" s="33"/>
      <c r="AO55" s="33"/>
      <c r="AP55" s="33"/>
    </row>
    <row r="56" spans="1:42">
      <c r="A56" s="30">
        <v>55</v>
      </c>
      <c r="B56" s="31">
        <v>45785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219</v>
      </c>
      <c r="F56" s="33" t="s">
        <v>219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0.25763888888888886</v>
      </c>
      <c r="J56" s="122">
        <v>0.75277777777777777</v>
      </c>
      <c r="K56" s="35">
        <f>IFERROR((PA[[#This Row],[Sunset Time (POA&lt;20 W/m2)]]-PA[[#This Row],[Sunrise Time (POA&gt;20 W/m2)]])*24,"")</f>
        <v>11.883333333333333</v>
      </c>
      <c r="L56" s="33" t="s">
        <v>303</v>
      </c>
      <c r="M56" s="33" t="s">
        <v>294</v>
      </c>
      <c r="N56" s="33" t="s">
        <v>313</v>
      </c>
      <c r="O56" s="36"/>
      <c r="P56" s="36"/>
      <c r="Q56" s="349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304</v>
      </c>
      <c r="X56" s="40"/>
      <c r="Y56" s="347" t="s">
        <v>318</v>
      </c>
      <c r="Z56" s="42">
        <v>0.25763888888888886</v>
      </c>
      <c r="AA56" s="42">
        <v>0.25763888888888886</v>
      </c>
      <c r="AB56" s="42">
        <v>0.25763888888888886</v>
      </c>
      <c r="AC56" s="42">
        <v>0.625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8.8166666666666664</v>
      </c>
      <c r="AG56" s="44">
        <f>IFERROR((PA[[#This Row],[Work Completion time on fault]]-PA[[#This Row],[Fault Time]])*24,"")</f>
        <v>8.8166666666666664</v>
      </c>
      <c r="AH56" s="348" t="s">
        <v>312</v>
      </c>
      <c r="AI56" s="33" t="s">
        <v>298</v>
      </c>
      <c r="AJ56" s="35">
        <f ca="1">IFERROR(PA[[#This Row],[Breakdown Time]]*PA[[#This Row],[Plant Equivalent Weightage]],"")</f>
        <v>0.28691830315395733</v>
      </c>
      <c r="AK56" s="36">
        <v>6.57</v>
      </c>
      <c r="AL56" s="51">
        <f>IFERROR((_xlfn.XLOOKUP($G56,'Modelling New'!D:D,'Modelling New'!$O:$O)*PA[[#This Row],[Lost PoA(kWh/m2)]]*PA[[#This Row],[DC Capacity Affected (kW)]]),"")</f>
        <v>5361.1831306072145</v>
      </c>
      <c r="AM56" s="33"/>
      <c r="AN56" s="33"/>
      <c r="AO56" s="33"/>
      <c r="AP56" s="33"/>
    </row>
    <row r="57" spans="1:42">
      <c r="A57" s="30">
        <v>56</v>
      </c>
      <c r="B57" s="31">
        <v>45785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219</v>
      </c>
      <c r="F57" s="33" t="s">
        <v>219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0.25763888888888886</v>
      </c>
      <c r="J57" s="122">
        <v>0.75277777777777777</v>
      </c>
      <c r="K57" s="35">
        <f>IFERROR((PA[[#This Row],[Sunset Time (POA&lt;20 W/m2)]]-PA[[#This Row],[Sunrise Time (POA&gt;20 W/m2)]])*24,"")</f>
        <v>11.883333333333333</v>
      </c>
      <c r="L57" s="33" t="s">
        <v>303</v>
      </c>
      <c r="M57" s="33" t="s">
        <v>294</v>
      </c>
      <c r="N57" s="33" t="s">
        <v>316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304</v>
      </c>
      <c r="X57" s="40"/>
      <c r="Y57" s="347" t="s">
        <v>319</v>
      </c>
      <c r="Z57" s="42">
        <v>0.25763888888888886</v>
      </c>
      <c r="AA57" s="42">
        <v>0.25763888888888886</v>
      </c>
      <c r="AB57" s="42">
        <v>0.25763888888888886</v>
      </c>
      <c r="AC57" s="42">
        <v>0.625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8.8166666666666664</v>
      </c>
      <c r="AG57" s="44">
        <f>IFERROR((PA[[#This Row],[Work Completion time on fault]]-PA[[#This Row],[Fault Time]])*24,"")</f>
        <v>8.8166666666666664</v>
      </c>
      <c r="AH57" s="348" t="s">
        <v>312</v>
      </c>
      <c r="AI57" s="33" t="s">
        <v>298</v>
      </c>
      <c r="AJ57" s="35">
        <f ca="1">IFERROR(PA[[#This Row],[Breakdown Time]]*PA[[#This Row],[Plant Equivalent Weightage]],"")</f>
        <v>0.28691830315395733</v>
      </c>
      <c r="AK57" s="36">
        <v>6.57</v>
      </c>
      <c r="AL57" s="51">
        <f>IFERROR((_xlfn.XLOOKUP($G57,'Modelling New'!D:D,'Modelling New'!$O:$O)*PA[[#This Row],[Lost PoA(kWh/m2)]]*PA[[#This Row],[DC Capacity Affected (kW)]]),"")</f>
        <v>5361.1831306072145</v>
      </c>
      <c r="AM57" s="33"/>
      <c r="AN57" s="33"/>
      <c r="AO57" s="33"/>
      <c r="AP57" s="33"/>
    </row>
    <row r="58" spans="1:42">
      <c r="A58" s="30">
        <v>57</v>
      </c>
      <c r="B58" s="31">
        <v>45785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219</v>
      </c>
      <c r="F58" s="33" t="s">
        <v>219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0.25763888888888886</v>
      </c>
      <c r="J58" s="122">
        <v>0.75277777777777777</v>
      </c>
      <c r="K58" s="35">
        <f>IFERROR((PA[[#This Row],[Sunset Time (POA&lt;20 W/m2)]]-PA[[#This Row],[Sunrise Time (POA&gt;20 W/m2)]])*24,"")</f>
        <v>11.883333333333333</v>
      </c>
      <c r="L58" s="33" t="s">
        <v>303</v>
      </c>
      <c r="M58" s="33" t="s">
        <v>294</v>
      </c>
      <c r="N58" s="33" t="s">
        <v>320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304</v>
      </c>
      <c r="X58" s="40"/>
      <c r="Y58" s="347" t="s">
        <v>321</v>
      </c>
      <c r="Z58" s="42">
        <v>0.25763888888888886</v>
      </c>
      <c r="AA58" s="42">
        <v>0.25763888888888886</v>
      </c>
      <c r="AB58" s="42">
        <v>0.25763888888888886</v>
      </c>
      <c r="AC58" s="42">
        <v>0.75277777777777777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11.883333333333333</v>
      </c>
      <c r="AG58" s="44">
        <f>IFERROR((PA[[#This Row],[Work Completion time on fault]]-PA[[#This Row],[Fault Time]])*24,"")</f>
        <v>11.883333333333333</v>
      </c>
      <c r="AH58" s="36" t="s">
        <v>315</v>
      </c>
      <c r="AI58" s="33" t="s">
        <v>298</v>
      </c>
      <c r="AJ58" s="35">
        <f ca="1">IFERROR(PA[[#This Row],[Breakdown Time]]*PA[[#This Row],[Plant Equivalent Weightage]],"")</f>
        <v>0.38671597381620332</v>
      </c>
      <c r="AK58" s="36">
        <v>5.5956636766666659</v>
      </c>
      <c r="AL58" s="51">
        <f>IFERROR((_xlfn.XLOOKUP($G58,'Modelling New'!D:D,'Modelling New'!$O:$O)*PA[[#This Row],[Lost PoA(kWh/m2)]]*PA[[#This Row],[DC Capacity Affected (kW)]]),"")</f>
        <v>4566.1153284470129</v>
      </c>
      <c r="AM58" s="33"/>
      <c r="AN58" s="33"/>
      <c r="AO58" s="33"/>
      <c r="AP58" s="33"/>
    </row>
    <row r="59" spans="1:42">
      <c r="A59" s="30">
        <v>58</v>
      </c>
      <c r="B59" s="31">
        <v>45785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219</v>
      </c>
      <c r="F59" s="33" t="s">
        <v>219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0.25763888888888886</v>
      </c>
      <c r="J59" s="122">
        <v>0.75277777777777777</v>
      </c>
      <c r="K59" s="35">
        <f>IFERROR((PA[[#This Row],[Sunset Time (POA&lt;20 W/m2)]]-PA[[#This Row],[Sunrise Time (POA&gt;20 W/m2)]])*24,"")</f>
        <v>11.883333333333333</v>
      </c>
      <c r="L59" s="33" t="s">
        <v>303</v>
      </c>
      <c r="M59" s="33" t="s">
        <v>294</v>
      </c>
      <c r="N59" s="33" t="s">
        <v>322</v>
      </c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9" s="35">
        <f>IFERROR(_xlfn.XLOOKUP(PA[[#This Row],[Affected Equipment ]],'Basic Data'!N:N,'Basic Data'!Q:Q),"")</f>
        <v>1276</v>
      </c>
      <c r="V59" s="39">
        <f ca="1">IFERROR(_xlfn.XLOOKUP(PA[[#This Row],[Affected Equipment ]],'Basic Data'!N:N,'Basic Data'!R:R),"")</f>
        <v>3.2542718694210659E-2</v>
      </c>
      <c r="W59" s="36" t="s">
        <v>304</v>
      </c>
      <c r="X59" s="40"/>
      <c r="Y59" s="347" t="s">
        <v>323</v>
      </c>
      <c r="Z59" s="42">
        <v>0.25763888888888886</v>
      </c>
      <c r="AA59" s="42">
        <v>0.25763888888888886</v>
      </c>
      <c r="AB59" s="42">
        <v>0.25763888888888886</v>
      </c>
      <c r="AC59" s="42">
        <v>0.75277777777777777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11.883333333333333</v>
      </c>
      <c r="AG59" s="44">
        <f>IFERROR((PA[[#This Row],[Work Completion time on fault]]-PA[[#This Row],[Fault Time]])*24,"")</f>
        <v>11.883333333333333</v>
      </c>
      <c r="AH59" s="36" t="s">
        <v>315</v>
      </c>
      <c r="AI59" s="33" t="s">
        <v>298</v>
      </c>
      <c r="AJ59" s="35">
        <f ca="1">IFERROR(PA[[#This Row],[Breakdown Time]]*PA[[#This Row],[Plant Equivalent Weightage]],"")</f>
        <v>0.38671597381620332</v>
      </c>
      <c r="AK59" s="36">
        <v>5.5956636766666659</v>
      </c>
      <c r="AL59" s="51">
        <f>IFERROR((_xlfn.XLOOKUP($G59,'Modelling New'!D:D,'Modelling New'!$O:$O)*PA[[#This Row],[Lost PoA(kWh/m2)]]*PA[[#This Row],[DC Capacity Affected (kW)]]),"")</f>
        <v>4566.1153284470129</v>
      </c>
      <c r="AM59" s="33"/>
      <c r="AN59" s="33"/>
      <c r="AO59" s="33"/>
      <c r="AP59" s="33"/>
    </row>
    <row r="60" spans="1:42">
      <c r="A60" s="30">
        <v>59</v>
      </c>
      <c r="B60" s="31">
        <v>45786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219</v>
      </c>
      <c r="F60" s="33" t="s">
        <v>219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0.26597222222222222</v>
      </c>
      <c r="J60" s="122">
        <v>0.76736111111111116</v>
      </c>
      <c r="K60" s="35">
        <f>IFERROR((PA[[#This Row],[Sunset Time (POA&lt;20 W/m2)]]-PA[[#This Row],[Sunrise Time (POA&gt;20 W/m2)]])*24,"")</f>
        <v>12.033333333333333</v>
      </c>
      <c r="L60" s="33" t="s">
        <v>303</v>
      </c>
      <c r="M60" s="33" t="s">
        <v>294</v>
      </c>
      <c r="N60" s="33" t="s">
        <v>313</v>
      </c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0" s="35">
        <f>IFERROR(_xlfn.XLOOKUP(PA[[#This Row],[Affected Equipment ]],'Basic Data'!N:N,'Basic Data'!Q:Q),"")</f>
        <v>1276</v>
      </c>
      <c r="V60" s="39">
        <f ca="1">IFERROR(_xlfn.XLOOKUP(PA[[#This Row],[Affected Equipment ]],'Basic Data'!N:N,'Basic Data'!R:R),"")</f>
        <v>3.2542718694210659E-2</v>
      </c>
      <c r="W60" s="36" t="s">
        <v>304</v>
      </c>
      <c r="X60" s="40"/>
      <c r="Y60" s="347" t="s">
        <v>318</v>
      </c>
      <c r="Z60" s="42">
        <v>0.26597222222222222</v>
      </c>
      <c r="AA60" s="42">
        <v>0.26597222222222222</v>
      </c>
      <c r="AB60" s="42">
        <v>0.26597222222222222</v>
      </c>
      <c r="AC60" s="42">
        <v>0.76736111111111116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12.033333333333333</v>
      </c>
      <c r="AG60" s="44">
        <f>IFERROR((PA[[#This Row],[Work Completion time on fault]]-PA[[#This Row],[Fault Time]])*24,"")</f>
        <v>12.033333333333333</v>
      </c>
      <c r="AH60" s="36" t="s">
        <v>315</v>
      </c>
      <c r="AI60" s="33" t="s">
        <v>298</v>
      </c>
      <c r="AJ60" s="35">
        <f ca="1">IFERROR(PA[[#This Row],[Breakdown Time]]*PA[[#This Row],[Plant Equivalent Weightage]],"")</f>
        <v>0.39159738162033492</v>
      </c>
      <c r="AK60" s="36">
        <v>7.02</v>
      </c>
      <c r="AL60" s="51">
        <f>IFERROR((_xlfn.XLOOKUP($G60,'Modelling New'!D:D,'Modelling New'!$O:$O)*PA[[#This Row],[Lost PoA(kWh/m2)]]*PA[[#This Row],[DC Capacity Affected (kW)]]),"")</f>
        <v>5728.3874546214074</v>
      </c>
      <c r="AM60" s="33"/>
      <c r="AN60" s="33"/>
      <c r="AO60" s="33"/>
      <c r="AP60" s="33"/>
    </row>
    <row r="61" spans="1:42">
      <c r="A61" s="30">
        <v>60</v>
      </c>
      <c r="B61" s="31">
        <v>45787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219</v>
      </c>
      <c r="F61" s="33" t="s">
        <v>219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0.25486111111111109</v>
      </c>
      <c r="J61" s="122">
        <v>0.7729166666666667</v>
      </c>
      <c r="K61" s="35">
        <f>IFERROR((PA[[#This Row],[Sunset Time (POA&lt;20 W/m2)]]-PA[[#This Row],[Sunrise Time (POA&gt;20 W/m2)]])*24,"")</f>
        <v>12.433333333333334</v>
      </c>
      <c r="L61" s="33" t="s">
        <v>303</v>
      </c>
      <c r="M61" s="33" t="s">
        <v>294</v>
      </c>
      <c r="N61" s="33" t="s">
        <v>313</v>
      </c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1" s="35">
        <f>IFERROR(_xlfn.XLOOKUP(PA[[#This Row],[Affected Equipment ]],'Basic Data'!N:N,'Basic Data'!Q:Q),"")</f>
        <v>1276</v>
      </c>
      <c r="V61" s="39">
        <f ca="1">IFERROR(_xlfn.XLOOKUP(PA[[#This Row],[Affected Equipment ]],'Basic Data'!N:N,'Basic Data'!R:R),"")</f>
        <v>3.2542718694210659E-2</v>
      </c>
      <c r="W61" s="36" t="s">
        <v>304</v>
      </c>
      <c r="X61" s="40"/>
      <c r="Y61" s="347" t="s">
        <v>319</v>
      </c>
      <c r="Z61" s="42">
        <v>0.25486111111111109</v>
      </c>
      <c r="AA61" s="42">
        <v>0.25486111111111109</v>
      </c>
      <c r="AB61" s="42">
        <v>0.25486111111111109</v>
      </c>
      <c r="AC61" s="42">
        <v>0.7729166666666667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12.433333333333334</v>
      </c>
      <c r="AG61" s="44">
        <f>IFERROR((PA[[#This Row],[Work Completion time on fault]]-PA[[#This Row],[Fault Time]])*24,"")</f>
        <v>12.433333333333334</v>
      </c>
      <c r="AH61" s="36" t="s">
        <v>315</v>
      </c>
      <c r="AI61" s="33" t="s">
        <v>298</v>
      </c>
      <c r="AJ61" s="35">
        <f ca="1">IFERROR(PA[[#This Row],[Breakdown Time]]*PA[[#This Row],[Plant Equivalent Weightage]],"")</f>
        <v>0.40461446909801918</v>
      </c>
      <c r="AK61" s="36">
        <v>6.01</v>
      </c>
      <c r="AL61" s="51">
        <f>IFERROR((_xlfn.XLOOKUP($G61,'Modelling New'!D:D,'Modelling New'!$O:$O)*PA[[#This Row],[Lost PoA(kWh/m2)]]*PA[[#This Row],[DC Capacity Affected (kW)]]),"")</f>
        <v>4904.2177496117747</v>
      </c>
      <c r="AM61" s="33"/>
      <c r="AN61" s="33"/>
      <c r="AO61" s="33"/>
      <c r="AP61" s="33"/>
    </row>
    <row r="62" spans="1:42">
      <c r="A62" s="30">
        <v>61</v>
      </c>
      <c r="B62" s="31">
        <v>45787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219</v>
      </c>
      <c r="F62" s="33" t="s">
        <v>219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0.25486111111111109</v>
      </c>
      <c r="J62" s="122">
        <v>0.7729166666666667</v>
      </c>
      <c r="K62" s="35">
        <f>IFERROR((PA[[#This Row],[Sunset Time (POA&lt;20 W/m2)]]-PA[[#This Row],[Sunrise Time (POA&gt;20 W/m2)]])*24,"")</f>
        <v>12.433333333333334</v>
      </c>
      <c r="L62" s="33" t="s">
        <v>303</v>
      </c>
      <c r="M62" s="33" t="s">
        <v>294</v>
      </c>
      <c r="N62" s="33" t="s">
        <v>316</v>
      </c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2" s="35">
        <f>IFERROR(_xlfn.XLOOKUP(PA[[#This Row],[Affected Equipment ]],'Basic Data'!N:N,'Basic Data'!Q:Q),"")</f>
        <v>1276</v>
      </c>
      <c r="V62" s="39">
        <f ca="1">IFERROR(_xlfn.XLOOKUP(PA[[#This Row],[Affected Equipment ]],'Basic Data'!N:N,'Basic Data'!R:R),"")</f>
        <v>3.2542718694210659E-2</v>
      </c>
      <c r="W62" s="36" t="s">
        <v>304</v>
      </c>
      <c r="X62" s="40"/>
      <c r="Y62" s="347" t="s">
        <v>318</v>
      </c>
      <c r="Z62" s="42">
        <v>0.25486111111111109</v>
      </c>
      <c r="AA62" s="42">
        <v>0.25486111111111109</v>
      </c>
      <c r="AB62" s="42">
        <v>0.25486111111111109</v>
      </c>
      <c r="AC62" s="42">
        <v>0.7729166666666667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12.433333333333334</v>
      </c>
      <c r="AG62" s="44">
        <f>IFERROR((PA[[#This Row],[Work Completion time on fault]]-PA[[#This Row],[Fault Time]])*24,"")</f>
        <v>12.433333333333334</v>
      </c>
      <c r="AH62" s="36" t="s">
        <v>315</v>
      </c>
      <c r="AI62" s="33" t="s">
        <v>298</v>
      </c>
      <c r="AJ62" s="35">
        <f ca="1">IFERROR(PA[[#This Row],[Breakdown Time]]*PA[[#This Row],[Plant Equivalent Weightage]],"")</f>
        <v>0.40461446909801918</v>
      </c>
      <c r="AK62" s="36">
        <v>6.01</v>
      </c>
      <c r="AL62" s="51">
        <f>IFERROR((_xlfn.XLOOKUP($G62,'Modelling New'!D:D,'Modelling New'!$O:$O)*PA[[#This Row],[Lost PoA(kWh/m2)]]*PA[[#This Row],[DC Capacity Affected (kW)]]),"")</f>
        <v>4904.2177496117747</v>
      </c>
      <c r="AM62" s="33"/>
      <c r="AN62" s="33"/>
      <c r="AO62" s="33"/>
      <c r="AP62" s="33"/>
    </row>
    <row r="63" spans="1:42">
      <c r="A63" s="30">
        <v>62</v>
      </c>
      <c r="B63" s="31">
        <v>45788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219</v>
      </c>
      <c r="F63" s="33" t="s">
        <v>219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0.26180555555555557</v>
      </c>
      <c r="J63" s="122">
        <v>0.76041666666666663</v>
      </c>
      <c r="K63" s="35">
        <f>IFERROR((PA[[#This Row],[Sunset Time (POA&lt;20 W/m2)]]-PA[[#This Row],[Sunrise Time (POA&gt;20 W/m2)]])*24,"")</f>
        <v>11.966666666666665</v>
      </c>
      <c r="L63" s="33" t="s">
        <v>303</v>
      </c>
      <c r="M63" s="33" t="s">
        <v>294</v>
      </c>
      <c r="N63" s="33" t="s">
        <v>313</v>
      </c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3" s="35">
        <f>IFERROR(_xlfn.XLOOKUP(PA[[#This Row],[Affected Equipment ]],'Basic Data'!N:N,'Basic Data'!Q:Q),"")</f>
        <v>1276</v>
      </c>
      <c r="V63" s="39">
        <f ca="1">IFERROR(_xlfn.XLOOKUP(PA[[#This Row],[Affected Equipment ]],'Basic Data'!N:N,'Basic Data'!R:R),"")</f>
        <v>3.2542718694210659E-2</v>
      </c>
      <c r="W63" s="36" t="s">
        <v>304</v>
      </c>
      <c r="X63" s="40"/>
      <c r="Y63" s="347" t="s">
        <v>324</v>
      </c>
      <c r="Z63" s="42">
        <v>0.26180555555555557</v>
      </c>
      <c r="AA63" s="42">
        <v>0.26180555555555557</v>
      </c>
      <c r="AB63" s="42">
        <v>0.26180555555555557</v>
      </c>
      <c r="AC63" s="42">
        <v>0.76041666666666663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11.966666666666665</v>
      </c>
      <c r="AG63" s="44">
        <f>IFERROR((PA[[#This Row],[Work Completion time on fault]]-PA[[#This Row],[Fault Time]])*24,"")</f>
        <v>11.966666666666665</v>
      </c>
      <c r="AH63" s="36" t="s">
        <v>315</v>
      </c>
      <c r="AI63" s="33" t="s">
        <v>298</v>
      </c>
      <c r="AJ63" s="35">
        <f ca="1">IFERROR(PA[[#This Row],[Breakdown Time]]*PA[[#This Row],[Plant Equivalent Weightage]],"")</f>
        <v>0.38942786704072085</v>
      </c>
      <c r="AK63" s="36">
        <v>6.45</v>
      </c>
      <c r="AL63" s="51">
        <f>IFERROR((_xlfn.XLOOKUP($G63,'Modelling New'!D:D,'Modelling New'!$O:$O)*PA[[#This Row],[Lost PoA(kWh/m2)]]*PA[[#This Row],[DC Capacity Affected (kW)]]),"")</f>
        <v>5263.2619775367639</v>
      </c>
      <c r="AM63" s="33"/>
      <c r="AN63" s="33"/>
      <c r="AO63" s="33"/>
      <c r="AP63" s="33"/>
    </row>
    <row r="64" spans="1:42">
      <c r="A64" s="30">
        <v>63</v>
      </c>
      <c r="B64" s="31">
        <v>45788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219</v>
      </c>
      <c r="F64" s="33" t="s">
        <v>219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0.26180555555555557</v>
      </c>
      <c r="J64" s="122">
        <v>0.76041666666666663</v>
      </c>
      <c r="K64" s="35">
        <f>IFERROR((PA[[#This Row],[Sunset Time (POA&lt;20 W/m2)]]-PA[[#This Row],[Sunrise Time (POA&gt;20 W/m2)]])*24,"")</f>
        <v>11.966666666666665</v>
      </c>
      <c r="L64" s="33" t="s">
        <v>303</v>
      </c>
      <c r="M64" s="33" t="s">
        <v>294</v>
      </c>
      <c r="N64" s="33" t="s">
        <v>316</v>
      </c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4" s="35">
        <f>IFERROR(_xlfn.XLOOKUP(PA[[#This Row],[Affected Equipment ]],'Basic Data'!N:N,'Basic Data'!Q:Q),"")</f>
        <v>1276</v>
      </c>
      <c r="V64" s="39">
        <f ca="1">IFERROR(_xlfn.XLOOKUP(PA[[#This Row],[Affected Equipment ]],'Basic Data'!N:N,'Basic Data'!R:R),"")</f>
        <v>3.2542718694210659E-2</v>
      </c>
      <c r="W64" s="36" t="s">
        <v>304</v>
      </c>
      <c r="X64" s="40"/>
      <c r="Y64" s="347" t="s">
        <v>325</v>
      </c>
      <c r="Z64" s="42">
        <v>0.26180555555555557</v>
      </c>
      <c r="AA64" s="42">
        <v>0.26180555555555557</v>
      </c>
      <c r="AB64" s="42">
        <v>0.26180555555555557</v>
      </c>
      <c r="AC64" s="42">
        <v>0.76041666666666663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11.966666666666665</v>
      </c>
      <c r="AG64" s="44">
        <f>IFERROR((PA[[#This Row],[Work Completion time on fault]]-PA[[#This Row],[Fault Time]])*24,"")</f>
        <v>11.966666666666665</v>
      </c>
      <c r="AH64" s="36" t="s">
        <v>315</v>
      </c>
      <c r="AI64" s="33" t="s">
        <v>298</v>
      </c>
      <c r="AJ64" s="35">
        <f ca="1">IFERROR(PA[[#This Row],[Breakdown Time]]*PA[[#This Row],[Plant Equivalent Weightage]],"")</f>
        <v>0.38942786704072085</v>
      </c>
      <c r="AK64" s="36">
        <v>6.45</v>
      </c>
      <c r="AL64" s="51">
        <f>IFERROR((_xlfn.XLOOKUP($G64,'Modelling New'!D:D,'Modelling New'!$O:$O)*PA[[#This Row],[Lost PoA(kWh/m2)]]*PA[[#This Row],[DC Capacity Affected (kW)]]),"")</f>
        <v>5263.2619775367639</v>
      </c>
      <c r="AM64" s="33"/>
      <c r="AN64" s="33"/>
      <c r="AO64" s="33"/>
      <c r="AP64" s="33"/>
    </row>
    <row r="65" spans="1:42">
      <c r="A65" s="30">
        <v>64</v>
      </c>
      <c r="B65" s="31">
        <v>45789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219</v>
      </c>
      <c r="F65" s="33" t="s">
        <v>219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0.26041666666666669</v>
      </c>
      <c r="J65" s="122">
        <v>0.74027777777777781</v>
      </c>
      <c r="K65" s="35">
        <f>IFERROR((PA[[#This Row],[Sunset Time (POA&lt;20 W/m2)]]-PA[[#This Row],[Sunrise Time (POA&gt;20 W/m2)]])*24,"")</f>
        <v>11.516666666666667</v>
      </c>
      <c r="L65" s="33" t="s">
        <v>303</v>
      </c>
      <c r="M65" s="33" t="s">
        <v>294</v>
      </c>
      <c r="N65" s="33" t="s">
        <v>313</v>
      </c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5" s="35">
        <f>IFERROR(_xlfn.XLOOKUP(PA[[#This Row],[Affected Equipment ]],'Basic Data'!N:N,'Basic Data'!Q:Q),"")</f>
        <v>1276</v>
      </c>
      <c r="V65" s="39">
        <f ca="1">IFERROR(_xlfn.XLOOKUP(PA[[#This Row],[Affected Equipment ]],'Basic Data'!N:N,'Basic Data'!R:R),"")</f>
        <v>3.2542718694210659E-2</v>
      </c>
      <c r="W65" s="36" t="s">
        <v>304</v>
      </c>
      <c r="X65" s="40"/>
      <c r="Y65" s="347" t="s">
        <v>318</v>
      </c>
      <c r="Z65" s="42">
        <v>0.26041666666666669</v>
      </c>
      <c r="AA65" s="42">
        <v>0.26041666666666669</v>
      </c>
      <c r="AB65" s="42">
        <v>0.26041666666666669</v>
      </c>
      <c r="AC65" s="42">
        <v>0.74027777777777781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11.516666666666667</v>
      </c>
      <c r="AG65" s="44">
        <f>IFERROR((PA[[#This Row],[Work Completion time on fault]]-PA[[#This Row],[Fault Time]])*24,"")</f>
        <v>11.516666666666667</v>
      </c>
      <c r="AH65" s="36" t="s">
        <v>315</v>
      </c>
      <c r="AI65" s="33" t="s">
        <v>298</v>
      </c>
      <c r="AJ65" s="35">
        <f ca="1">IFERROR(PA[[#This Row],[Breakdown Time]]*PA[[#This Row],[Plant Equivalent Weightage]],"")</f>
        <v>0.37478364362832611</v>
      </c>
      <c r="AK65" s="36">
        <v>2.62</v>
      </c>
      <c r="AL65" s="51">
        <f>IFERROR((_xlfn.XLOOKUP($G65,'Modelling New'!D:D,'Modelling New'!$O:$O)*PA[[#This Row],[Lost PoA(kWh/m2)]]*PA[[#This Row],[DC Capacity Affected (kW)]]),"")</f>
        <v>2137.9451753715225</v>
      </c>
      <c r="AM65" s="33"/>
      <c r="AN65" s="33"/>
      <c r="AO65" s="33"/>
      <c r="AP65" s="33"/>
    </row>
    <row r="66" spans="1:42">
      <c r="A66" s="30">
        <v>65</v>
      </c>
      <c r="B66" s="31">
        <v>45789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219</v>
      </c>
      <c r="F66" s="33" t="s">
        <v>219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0.26041666666666669</v>
      </c>
      <c r="J66" s="122">
        <v>0.74027777777777781</v>
      </c>
      <c r="K66" s="35">
        <f>IFERROR((PA[[#This Row],[Sunset Time (POA&lt;20 W/m2)]]-PA[[#This Row],[Sunrise Time (POA&gt;20 W/m2)]])*24,"")</f>
        <v>11.516666666666667</v>
      </c>
      <c r="L66" s="33" t="s">
        <v>303</v>
      </c>
      <c r="M66" s="33" t="s">
        <v>294</v>
      </c>
      <c r="N66" s="33" t="s">
        <v>316</v>
      </c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6" s="35">
        <f>IFERROR(_xlfn.XLOOKUP(PA[[#This Row],[Affected Equipment ]],'Basic Data'!N:N,'Basic Data'!Q:Q),"")</f>
        <v>1276</v>
      </c>
      <c r="V66" s="39">
        <f ca="1">IFERROR(_xlfn.XLOOKUP(PA[[#This Row],[Affected Equipment ]],'Basic Data'!N:N,'Basic Data'!R:R),"")</f>
        <v>3.2542718694210659E-2</v>
      </c>
      <c r="W66" s="36" t="s">
        <v>304</v>
      </c>
      <c r="X66" s="40"/>
      <c r="Y66" s="347" t="s">
        <v>318</v>
      </c>
      <c r="Z66" s="42">
        <v>0.26041666666666669</v>
      </c>
      <c r="AA66" s="42">
        <v>0.26041666666666669</v>
      </c>
      <c r="AB66" s="42">
        <v>0.26041666666666669</v>
      </c>
      <c r="AC66" s="42">
        <v>0.74027777777777781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11.516666666666667</v>
      </c>
      <c r="AG66" s="44">
        <f>IFERROR((PA[[#This Row],[Work Completion time on fault]]-PA[[#This Row],[Fault Time]])*24,"")</f>
        <v>11.516666666666667</v>
      </c>
      <c r="AH66" s="36" t="s">
        <v>315</v>
      </c>
      <c r="AI66" s="33" t="s">
        <v>298</v>
      </c>
      <c r="AJ66" s="35">
        <f ca="1">IFERROR(PA[[#This Row],[Breakdown Time]]*PA[[#This Row],[Plant Equivalent Weightage]],"")</f>
        <v>0.37478364362832611</v>
      </c>
      <c r="AK66" s="36">
        <v>2.62</v>
      </c>
      <c r="AL66" s="51">
        <f>IFERROR((_xlfn.XLOOKUP($G66,'Modelling New'!D:D,'Modelling New'!$O:$O)*PA[[#This Row],[Lost PoA(kWh/m2)]]*PA[[#This Row],[DC Capacity Affected (kW)]]),"")</f>
        <v>2137.9451753715225</v>
      </c>
      <c r="AM66" s="33"/>
      <c r="AN66" s="33"/>
      <c r="AO66" s="33"/>
      <c r="AP66" s="33"/>
    </row>
    <row r="67" spans="1:42">
      <c r="A67" s="30">
        <v>66</v>
      </c>
      <c r="B67" s="31">
        <v>45789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219</v>
      </c>
      <c r="F67" s="33" t="s">
        <v>219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0.26041666666666669</v>
      </c>
      <c r="J67" s="122">
        <v>0.74027777777777781</v>
      </c>
      <c r="K67" s="35">
        <f>IFERROR((PA[[#This Row],[Sunset Time (POA&lt;20 W/m2)]]-PA[[#This Row],[Sunrise Time (POA&gt;20 W/m2)]])*24,"")</f>
        <v>11.516666666666667</v>
      </c>
      <c r="L67" s="33" t="s">
        <v>303</v>
      </c>
      <c r="M67" s="33" t="s">
        <v>299</v>
      </c>
      <c r="N67" s="33" t="s">
        <v>322</v>
      </c>
      <c r="O67" s="36" t="s">
        <v>326</v>
      </c>
      <c r="P67" s="36" t="s">
        <v>327</v>
      </c>
      <c r="Q67" s="33"/>
      <c r="R67" s="32">
        <f>IF((PA[[#This Row],[String Type(If String BD)]]&amp;PA[[#This Row],[Equipment (If any BD other than PV  array and inv)]])="",1,0)</f>
        <v>0</v>
      </c>
      <c r="S67" s="32">
        <f>IF(PA[[#This Row],[String Type(If String BD)]]="",1,0)</f>
        <v>0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7" s="35">
        <f>IFERROR(_xlfn.XLOOKUP(PA[[#This Row],[Affected Equipment ]],'Basic Data'!N:N,'Basic Data'!Q:Q),"")</f>
        <v>15.95</v>
      </c>
      <c r="V67" s="39">
        <f ca="1">IFERROR(_xlfn.XLOOKUP(PA[[#This Row],[Affected Equipment ]],'Basic Data'!N:N,'Basic Data'!R:R),"")</f>
        <v>4.0678398367763324E-4</v>
      </c>
      <c r="W67" s="36" t="s">
        <v>328</v>
      </c>
      <c r="X67" s="40"/>
      <c r="Y67" s="350" t="s">
        <v>329</v>
      </c>
      <c r="Z67" s="42">
        <v>0.26041666666666669</v>
      </c>
      <c r="AA67" s="42">
        <v>0.26041666666666669</v>
      </c>
      <c r="AB67" s="42">
        <v>0.26041666666666669</v>
      </c>
      <c r="AC67" s="42">
        <v>0.68055555555555558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10.083333333333334</v>
      </c>
      <c r="AG67" s="44">
        <f>IFERROR((PA[[#This Row],[Work Completion time on fault]]-PA[[#This Row],[Fault Time]])*24,"")</f>
        <v>10.083333333333334</v>
      </c>
      <c r="AH67" s="36" t="s">
        <v>330</v>
      </c>
      <c r="AI67" s="33" t="s">
        <v>298</v>
      </c>
      <c r="AJ67" s="35">
        <f ca="1">IFERROR(PA[[#This Row],[Breakdown Time]]*PA[[#This Row],[Plant Equivalent Weightage]],"")</f>
        <v>4.1017385020828022E-3</v>
      </c>
      <c r="AK67" s="36">
        <v>2.2944166666666668</v>
      </c>
      <c r="AL67" s="51">
        <f>IFERROR((_xlfn.XLOOKUP($G67,'Modelling New'!D:D,'Modelling New'!$O:$O)*PA[[#This Row],[Lost PoA(kWh/m2)]]*PA[[#This Row],[DC Capacity Affected (kW)]]),"")</f>
        <v>23.403325585839749</v>
      </c>
      <c r="AM67" s="33"/>
      <c r="AN67" s="33"/>
      <c r="AO67" s="33"/>
      <c r="AP67" s="33"/>
    </row>
    <row r="68" spans="1:42">
      <c r="A68" s="30">
        <v>67</v>
      </c>
      <c r="B68" s="31">
        <v>45789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219</v>
      </c>
      <c r="F68" s="33" t="s">
        <v>219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0.26041666666666669</v>
      </c>
      <c r="J68" s="122">
        <v>0.74027777777777781</v>
      </c>
      <c r="K68" s="35">
        <f>IFERROR((PA[[#This Row],[Sunset Time (POA&lt;20 W/m2)]]-PA[[#This Row],[Sunrise Time (POA&gt;20 W/m2)]])*24,"")</f>
        <v>11.516666666666667</v>
      </c>
      <c r="L68" s="33" t="s">
        <v>303</v>
      </c>
      <c r="M68" s="33" t="s">
        <v>299</v>
      </c>
      <c r="N68" s="33" t="s">
        <v>322</v>
      </c>
      <c r="O68" s="36" t="s">
        <v>331</v>
      </c>
      <c r="P68" s="36" t="s">
        <v>327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328</v>
      </c>
      <c r="X68" s="40"/>
      <c r="Y68" s="350" t="s">
        <v>329</v>
      </c>
      <c r="Z68" s="42">
        <v>0.26041666666666669</v>
      </c>
      <c r="AA68" s="42">
        <v>0.26041666666666669</v>
      </c>
      <c r="AB68" s="42">
        <v>0.26041666666666669</v>
      </c>
      <c r="AC68" s="42">
        <v>0.6958333333333333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10.45</v>
      </c>
      <c r="AG68" s="44">
        <f>IFERROR((PA[[#This Row],[Work Completion time on fault]]-PA[[#This Row],[Fault Time]])*24,"")</f>
        <v>10.45</v>
      </c>
      <c r="AH68" s="36" t="s">
        <v>330</v>
      </c>
      <c r="AI68" s="33" t="s">
        <v>298</v>
      </c>
      <c r="AJ68" s="35">
        <f ca="1">IFERROR(PA[[#This Row],[Breakdown Time]]*PA[[#This Row],[Plant Equivalent Weightage]],"")</f>
        <v>4.2508926294312667E-3</v>
      </c>
      <c r="AK68" s="36">
        <v>2.4308333333333332</v>
      </c>
      <c r="AL68" s="51">
        <f>IFERROR((_xlfn.XLOOKUP($G68,'Modelling New'!D:D,'Modelling New'!$O:$O)*PA[[#This Row],[Lost PoA(kWh/m2)]]*PA[[#This Row],[DC Capacity Affected (kW)]]),"")</f>
        <v>24.794791971050934</v>
      </c>
      <c r="AM68" s="33"/>
      <c r="AN68" s="33"/>
      <c r="AO68" s="33"/>
      <c r="AP68" s="33"/>
    </row>
    <row r="69" spans="1:42">
      <c r="A69" s="30">
        <v>68</v>
      </c>
      <c r="B69" s="31">
        <v>45790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219</v>
      </c>
      <c r="F69" s="33" t="s">
        <v>219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0.2951388888888889</v>
      </c>
      <c r="J69" s="122">
        <v>0.76944444444444449</v>
      </c>
      <c r="K69" s="35">
        <f>IFERROR((PA[[#This Row],[Sunset Time (POA&lt;20 W/m2)]]-PA[[#This Row],[Sunrise Time (POA&gt;20 W/m2)]])*24,"")</f>
        <v>11.383333333333335</v>
      </c>
      <c r="L69" s="33" t="s">
        <v>303</v>
      </c>
      <c r="M69" s="33" t="s">
        <v>294</v>
      </c>
      <c r="N69" s="33" t="s">
        <v>313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304</v>
      </c>
      <c r="X69" s="40"/>
      <c r="Y69" s="347" t="s">
        <v>318</v>
      </c>
      <c r="Z69" s="42">
        <v>0.2951388888888889</v>
      </c>
      <c r="AA69" s="42">
        <v>0.2951388888888889</v>
      </c>
      <c r="AB69" s="42">
        <v>0.2951388888888889</v>
      </c>
      <c r="AC69" s="42">
        <v>0.76944444444444449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11.383333333333335</v>
      </c>
      <c r="AG69" s="44">
        <f>IFERROR((PA[[#This Row],[Work Completion time on fault]]-PA[[#This Row],[Fault Time]])*24,"")</f>
        <v>11.383333333333335</v>
      </c>
      <c r="AH69" s="36" t="s">
        <v>315</v>
      </c>
      <c r="AI69" s="33" t="s">
        <v>298</v>
      </c>
      <c r="AJ69" s="35">
        <f ca="1">IFERROR(PA[[#This Row],[Breakdown Time]]*PA[[#This Row],[Plant Equivalent Weightage]],"")</f>
        <v>0.37044461446909804</v>
      </c>
      <c r="AK69" s="36">
        <v>3.18</v>
      </c>
      <c r="AL69" s="51">
        <f>IFERROR((_xlfn.XLOOKUP($G69,'Modelling New'!D:D,'Modelling New'!$O:$O)*PA[[#This Row],[Lost PoA(kWh/m2)]]*PA[[#This Row],[DC Capacity Affected (kW)]]),"")</f>
        <v>2594.9105563669623</v>
      </c>
      <c r="AM69" s="33"/>
      <c r="AN69" s="33"/>
      <c r="AO69" s="33"/>
      <c r="AP69" s="33"/>
    </row>
    <row r="70" spans="1:42">
      <c r="A70" s="30">
        <v>69</v>
      </c>
      <c r="B70" s="31">
        <v>45790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219</v>
      </c>
      <c r="F70" s="33" t="s">
        <v>219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0.2951388888888889</v>
      </c>
      <c r="J70" s="122">
        <v>0.76944444444444449</v>
      </c>
      <c r="K70" s="35">
        <f>IFERROR((PA[[#This Row],[Sunset Time (POA&lt;20 W/m2)]]-PA[[#This Row],[Sunrise Time (POA&gt;20 W/m2)]])*24,"")</f>
        <v>11.383333333333335</v>
      </c>
      <c r="L70" s="33" t="s">
        <v>303</v>
      </c>
      <c r="M70" s="33" t="s">
        <v>294</v>
      </c>
      <c r="N70" s="33" t="s">
        <v>316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304</v>
      </c>
      <c r="X70" s="40"/>
      <c r="Y70" s="347" t="s">
        <v>319</v>
      </c>
      <c r="Z70" s="42">
        <v>0.2951388888888889</v>
      </c>
      <c r="AA70" s="42">
        <v>0.2951388888888889</v>
      </c>
      <c r="AB70" s="42">
        <v>0.2951388888888889</v>
      </c>
      <c r="AC70" s="42">
        <v>0.76944444444444449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11.383333333333335</v>
      </c>
      <c r="AG70" s="44">
        <f>IFERROR((PA[[#This Row],[Work Completion time on fault]]-PA[[#This Row],[Fault Time]])*24,"")</f>
        <v>11.383333333333335</v>
      </c>
      <c r="AH70" s="36" t="s">
        <v>315</v>
      </c>
      <c r="AI70" s="33" t="s">
        <v>298</v>
      </c>
      <c r="AJ70" s="35">
        <f ca="1">IFERROR(PA[[#This Row],[Breakdown Time]]*PA[[#This Row],[Plant Equivalent Weightage]],"")</f>
        <v>0.37044461446909804</v>
      </c>
      <c r="AK70" s="36">
        <v>3.18</v>
      </c>
      <c r="AL70" s="51">
        <f>IFERROR((_xlfn.XLOOKUP($G70,'Modelling New'!D:D,'Modelling New'!$O:$O)*PA[[#This Row],[Lost PoA(kWh/m2)]]*PA[[#This Row],[DC Capacity Affected (kW)]]),"")</f>
        <v>2594.9105563669623</v>
      </c>
      <c r="AM70" s="33"/>
      <c r="AN70" s="33"/>
      <c r="AO70" s="33"/>
      <c r="AP70" s="33"/>
    </row>
    <row r="71" spans="1:42">
      <c r="A71" s="30">
        <v>70</v>
      </c>
      <c r="B71" s="31">
        <v>45791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219</v>
      </c>
      <c r="F71" s="33" t="s">
        <v>219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0.25416666666666665</v>
      </c>
      <c r="J71" s="122">
        <v>0.76458333333333328</v>
      </c>
      <c r="K71" s="35">
        <f>IFERROR((PA[[#This Row],[Sunset Time (POA&lt;20 W/m2)]]-PA[[#This Row],[Sunrise Time (POA&gt;20 W/m2)]])*24,"")</f>
        <v>12.25</v>
      </c>
      <c r="L71" s="33" t="s">
        <v>303</v>
      </c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 t="s">
        <v>304</v>
      </c>
      <c r="X71" s="40"/>
      <c r="Y71" s="350" t="s">
        <v>332</v>
      </c>
      <c r="Z71" s="42">
        <v>0.25416666666666665</v>
      </c>
      <c r="AA71" s="42">
        <v>0.25416666666666665</v>
      </c>
      <c r="AB71" s="42">
        <v>0.25416666666666665</v>
      </c>
      <c r="AC71" s="42">
        <v>0.76458333333333328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12.25</v>
      </c>
      <c r="AG71" s="44">
        <f>IFERROR((PA[[#This Row],[Work Completion time on fault]]-PA[[#This Row],[Fault Time]])*24,"")</f>
        <v>12.25</v>
      </c>
      <c r="AH71" s="36" t="s">
        <v>315</v>
      </c>
      <c r="AI71" s="33" t="s">
        <v>298</v>
      </c>
      <c r="AJ71" s="35" t="str">
        <f>IFERROR(PA[[#This Row],[Breakdown Time]]*PA[[#This Row],[Plant Equivalent Weightage]],"")</f>
        <v/>
      </c>
      <c r="AK71" s="36">
        <v>4.1500000000000004</v>
      </c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>
        <v>45792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219</v>
      </c>
      <c r="F72" s="33" t="s">
        <v>219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0.25555555555555554</v>
      </c>
      <c r="J72" s="122">
        <v>0.76944444444444449</v>
      </c>
      <c r="K72" s="35">
        <f>IFERROR((PA[[#This Row],[Sunset Time (POA&lt;20 W/m2)]]-PA[[#This Row],[Sunrise Time (POA&gt;20 W/m2)]])*24,"")</f>
        <v>12.333333333333336</v>
      </c>
      <c r="L72" s="33" t="s">
        <v>303</v>
      </c>
      <c r="M72" s="33" t="s">
        <v>294</v>
      </c>
      <c r="N72" s="33" t="s">
        <v>313</v>
      </c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72" s="35">
        <f>IFERROR(_xlfn.XLOOKUP(PA[[#This Row],[Affected Equipment ]],'Basic Data'!N:N,'Basic Data'!Q:Q),"")</f>
        <v>1276</v>
      </c>
      <c r="V72" s="39">
        <f ca="1">IFERROR(_xlfn.XLOOKUP(PA[[#This Row],[Affected Equipment ]],'Basic Data'!N:N,'Basic Data'!R:R),"")</f>
        <v>3.2542718694210659E-2</v>
      </c>
      <c r="W72" s="36" t="s">
        <v>304</v>
      </c>
      <c r="X72" s="40"/>
      <c r="Y72" s="350" t="s">
        <v>332</v>
      </c>
      <c r="Z72" s="42">
        <v>0.25555555555555554</v>
      </c>
      <c r="AA72" s="42">
        <v>0.25555555555555554</v>
      </c>
      <c r="AB72" s="42">
        <v>0.25555555555555554</v>
      </c>
      <c r="AC72" s="42">
        <v>0.44166666666666665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4.4666666666666668</v>
      </c>
      <c r="AG72" s="44">
        <f>IFERROR((PA[[#This Row],[Work Completion time on fault]]-PA[[#This Row],[Fault Time]])*24,"")</f>
        <v>4.4666666666666668</v>
      </c>
      <c r="AH72" s="36" t="s">
        <v>333</v>
      </c>
      <c r="AI72" s="33" t="s">
        <v>298</v>
      </c>
      <c r="AJ72" s="35">
        <f ca="1">IFERROR(PA[[#This Row],[Breakdown Time]]*PA[[#This Row],[Plant Equivalent Weightage]],"")</f>
        <v>0.14535747683414094</v>
      </c>
      <c r="AK72" s="36">
        <v>1.5696166666666667</v>
      </c>
      <c r="AL72" s="51">
        <f>IFERROR((_xlfn.XLOOKUP($G72,'Modelling New'!D:D,'Modelling New'!$O:$O)*PA[[#This Row],[Lost PoA(kWh/m2)]]*PA[[#This Row],[DC Capacity Affected (kW)]]),"")</f>
        <v>1280.8222823216533</v>
      </c>
      <c r="AM72" s="33"/>
      <c r="AN72" s="33"/>
      <c r="AO72" s="33"/>
      <c r="AP72" s="33"/>
    </row>
    <row r="73" spans="1:42">
      <c r="A73" s="30">
        <v>72</v>
      </c>
      <c r="B73" s="31">
        <v>45792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219</v>
      </c>
      <c r="F73" s="33" t="s">
        <v>219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0.25555555555555554</v>
      </c>
      <c r="J73" s="122">
        <v>0.76944444444444449</v>
      </c>
      <c r="K73" s="35">
        <f>IFERROR((PA[[#This Row],[Sunset Time (POA&lt;20 W/m2)]]-PA[[#This Row],[Sunrise Time (POA&gt;20 W/m2)]])*24,"")</f>
        <v>12.333333333333336</v>
      </c>
      <c r="L73" s="33" t="s">
        <v>303</v>
      </c>
      <c r="M73" s="33" t="s">
        <v>294</v>
      </c>
      <c r="N73" s="33" t="s">
        <v>316</v>
      </c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3" s="35">
        <f>IFERROR(_xlfn.XLOOKUP(PA[[#This Row],[Affected Equipment ]],'Basic Data'!N:N,'Basic Data'!Q:Q),"")</f>
        <v>1276</v>
      </c>
      <c r="V73" s="39">
        <f ca="1">IFERROR(_xlfn.XLOOKUP(PA[[#This Row],[Affected Equipment ]],'Basic Data'!N:N,'Basic Data'!R:R),"")</f>
        <v>3.2542718694210659E-2</v>
      </c>
      <c r="W73" s="36" t="s">
        <v>304</v>
      </c>
      <c r="X73" s="40"/>
      <c r="Y73" s="350" t="s">
        <v>332</v>
      </c>
      <c r="Z73" s="42">
        <v>0.25555555555555554</v>
      </c>
      <c r="AA73" s="42">
        <v>0.25555555555555554</v>
      </c>
      <c r="AB73" s="42">
        <v>0.25555555555555554</v>
      </c>
      <c r="AC73" s="42">
        <v>0.4513888888888889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4.7000000000000011</v>
      </c>
      <c r="AG73" s="44">
        <f>IFERROR((PA[[#This Row],[Work Completion time on fault]]-PA[[#This Row],[Fault Time]])*24,"")</f>
        <v>4.7000000000000011</v>
      </c>
      <c r="AH73" s="36" t="s">
        <v>333</v>
      </c>
      <c r="AI73" s="33" t="s">
        <v>298</v>
      </c>
      <c r="AJ73" s="35">
        <f ca="1">IFERROR(PA[[#This Row],[Breakdown Time]]*PA[[#This Row],[Plant Equivalent Weightage]],"")</f>
        <v>0.15295077786279013</v>
      </c>
      <c r="AK73" s="36">
        <v>1.7781666666666667</v>
      </c>
      <c r="AL73" s="51">
        <f>IFERROR((_xlfn.XLOOKUP($G73,'Modelling New'!D:D,'Modelling New'!$O:$O)*PA[[#This Row],[Lost PoA(kWh/m2)]]*PA[[#This Row],[DC Capacity Affected (kW)]]),"")</f>
        <v>1451.0010862620086</v>
      </c>
      <c r="AM73" s="33"/>
      <c r="AN73" s="33"/>
      <c r="AO73" s="33"/>
      <c r="AP73" s="33"/>
    </row>
    <row r="74" spans="1:42">
      <c r="A74" s="30">
        <v>73</v>
      </c>
      <c r="B74" s="31">
        <v>45792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219</v>
      </c>
      <c r="F74" s="33" t="s">
        <v>219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0.25555555555555554</v>
      </c>
      <c r="J74" s="122">
        <v>0.76944444444444449</v>
      </c>
      <c r="K74" s="35">
        <f>IFERROR((PA[[#This Row],[Sunset Time (POA&lt;20 W/m2)]]-PA[[#This Row],[Sunrise Time (POA&gt;20 W/m2)]])*24,"")</f>
        <v>12.333333333333336</v>
      </c>
      <c r="L74" s="33" t="s">
        <v>303</v>
      </c>
      <c r="M74" s="33" t="s">
        <v>294</v>
      </c>
      <c r="N74" s="33" t="s">
        <v>320</v>
      </c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4" s="35">
        <f>IFERROR(_xlfn.XLOOKUP(PA[[#This Row],[Affected Equipment ]],'Basic Data'!N:N,'Basic Data'!Q:Q),"")</f>
        <v>1276</v>
      </c>
      <c r="V74" s="39">
        <f ca="1">IFERROR(_xlfn.XLOOKUP(PA[[#This Row],[Affected Equipment ]],'Basic Data'!N:N,'Basic Data'!R:R),"")</f>
        <v>3.2542718694210659E-2</v>
      </c>
      <c r="W74" s="36" t="s">
        <v>304</v>
      </c>
      <c r="X74" s="40"/>
      <c r="Y74" s="350" t="s">
        <v>332</v>
      </c>
      <c r="Z74" s="42">
        <v>0.25555555555555554</v>
      </c>
      <c r="AA74" s="42">
        <v>0.25555555555555554</v>
      </c>
      <c r="AB74" s="42">
        <v>0.25555555555555554</v>
      </c>
      <c r="AC74" s="42">
        <v>0.46250000000000002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4.9666666666666677</v>
      </c>
      <c r="AG74" s="44">
        <f>IFERROR((PA[[#This Row],[Work Completion time on fault]]-PA[[#This Row],[Fault Time]])*24,"")</f>
        <v>4.9666666666666677</v>
      </c>
      <c r="AH74" s="36" t="s">
        <v>333</v>
      </c>
      <c r="AI74" s="33" t="s">
        <v>298</v>
      </c>
      <c r="AJ74" s="35">
        <f ca="1">IFERROR(PA[[#This Row],[Breakdown Time]]*PA[[#This Row],[Plant Equivalent Weightage]],"")</f>
        <v>0.16162883618124632</v>
      </c>
      <c r="AK74" s="36">
        <v>1.99705</v>
      </c>
      <c r="AL74" s="51">
        <f>IFERROR((_xlfn.XLOOKUP($G74,'Modelling New'!D:D,'Modelling New'!$O:$O)*PA[[#This Row],[Lost PoA(kWh/m2)]]*PA[[#This Row],[DC Capacity Affected (kW)]]),"")</f>
        <v>1629.6119894945418</v>
      </c>
      <c r="AM74" s="33"/>
      <c r="AN74" s="33"/>
      <c r="AO74" s="33"/>
      <c r="AP74" s="33"/>
    </row>
    <row r="75" spans="1:42">
      <c r="A75" s="30">
        <v>74</v>
      </c>
      <c r="B75" s="31">
        <v>45792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219</v>
      </c>
      <c r="F75" s="33" t="s">
        <v>219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0.25555555555555554</v>
      </c>
      <c r="J75" s="122">
        <v>0.76944444444444449</v>
      </c>
      <c r="K75" s="35">
        <f>IFERROR((PA[[#This Row],[Sunset Time (POA&lt;20 W/m2)]]-PA[[#This Row],[Sunrise Time (POA&gt;20 W/m2)]])*24,"")</f>
        <v>12.333333333333336</v>
      </c>
      <c r="L75" s="33" t="s">
        <v>303</v>
      </c>
      <c r="M75" s="33" t="s">
        <v>294</v>
      </c>
      <c r="N75" s="33" t="s">
        <v>322</v>
      </c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5" s="35">
        <f>IFERROR(_xlfn.XLOOKUP(PA[[#This Row],[Affected Equipment ]],'Basic Data'!N:N,'Basic Data'!Q:Q),"")</f>
        <v>1276</v>
      </c>
      <c r="V75" s="39">
        <f ca="1">IFERROR(_xlfn.XLOOKUP(PA[[#This Row],[Affected Equipment ]],'Basic Data'!N:N,'Basic Data'!R:R),"")</f>
        <v>3.2542718694210659E-2</v>
      </c>
      <c r="W75" s="36" t="s">
        <v>304</v>
      </c>
      <c r="X75" s="40"/>
      <c r="Y75" s="350" t="s">
        <v>332</v>
      </c>
      <c r="Z75" s="42">
        <v>0.25555555555555554</v>
      </c>
      <c r="AA75" s="42">
        <v>0.25555555555555554</v>
      </c>
      <c r="AB75" s="42">
        <v>0.25555555555555554</v>
      </c>
      <c r="AC75" s="42">
        <v>0.47222222222222221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5.2</v>
      </c>
      <c r="AG75" s="44">
        <f>IFERROR((PA[[#This Row],[Work Completion time on fault]]-PA[[#This Row],[Fault Time]])*24,"")</f>
        <v>5.2</v>
      </c>
      <c r="AH75" s="36" t="s">
        <v>333</v>
      </c>
      <c r="AI75" s="33" t="s">
        <v>298</v>
      </c>
      <c r="AJ75" s="35">
        <f ca="1">IFERROR(PA[[#This Row],[Breakdown Time]]*PA[[#This Row],[Plant Equivalent Weightage]],"")</f>
        <v>0.16922213720989543</v>
      </c>
      <c r="AK75" s="36">
        <v>2.1839166666666667</v>
      </c>
      <c r="AL75" s="51">
        <f>IFERROR((_xlfn.XLOOKUP($G75,'Modelling New'!D:D,'Modelling New'!$O:$O)*PA[[#This Row],[Lost PoA(kWh/m2)]]*PA[[#This Row],[DC Capacity Affected (kW)]]),"")</f>
        <v>1782.0969850814722</v>
      </c>
      <c r="AM75" s="33"/>
      <c r="AN75" s="33"/>
      <c r="AO75" s="33"/>
      <c r="AP75" s="33"/>
    </row>
    <row r="76" spans="1:42">
      <c r="A76" s="30">
        <v>75</v>
      </c>
      <c r="B76" s="31">
        <v>45792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219</v>
      </c>
      <c r="F76" s="33" t="s">
        <v>219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0.25555555555555554</v>
      </c>
      <c r="J76" s="122">
        <v>0.76944444444444449</v>
      </c>
      <c r="K76" s="35">
        <f>IFERROR((PA[[#This Row],[Sunset Time (POA&lt;20 W/m2)]]-PA[[#This Row],[Sunrise Time (POA&gt;20 W/m2)]])*24,"")</f>
        <v>12.333333333333336</v>
      </c>
      <c r="L76" s="33" t="s">
        <v>303</v>
      </c>
      <c r="M76" s="33" t="s">
        <v>294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6" s="35">
        <f>IFERROR(_xlfn.XLOOKUP(PA[[#This Row],[Affected Equipment ]],'Basic Data'!N:N,'Basic Data'!Q:Q),"")</f>
        <v>5104</v>
      </c>
      <c r="V76" s="39">
        <f ca="1">IFERROR(_xlfn.XLOOKUP(PA[[#This Row],[Affected Equipment ]],'Basic Data'!N:N,'Basic Data'!R:R),"")</f>
        <v>0.13017087477684264</v>
      </c>
      <c r="W76" s="36" t="s">
        <v>295</v>
      </c>
      <c r="X76" s="40"/>
      <c r="Y76" s="347" t="s">
        <v>334</v>
      </c>
      <c r="Z76" s="46">
        <v>0.49305555555555558</v>
      </c>
      <c r="AA76" s="46">
        <v>0.49305555555555558</v>
      </c>
      <c r="AB76" s="46">
        <v>0.49305555555555558</v>
      </c>
      <c r="AC76" s="46">
        <v>0.50694444444444442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0.33333333333333215</v>
      </c>
      <c r="AG76" s="44">
        <f>IFERROR((PA[[#This Row],[Work Completion time on fault]]-PA[[#This Row],[Fault Time]])*24,"")</f>
        <v>0.33333333333333215</v>
      </c>
      <c r="AH76" s="36" t="s">
        <v>297</v>
      </c>
      <c r="AI76" s="33" t="s">
        <v>298</v>
      </c>
      <c r="AJ76" s="35">
        <f ca="1">IFERROR(PA[[#This Row],[Breakdown Time]]*PA[[#This Row],[Plant Equivalent Weightage]],"")</f>
        <v>4.3390291592280722E-2</v>
      </c>
      <c r="AK76" s="36">
        <v>0.24315000000000001</v>
      </c>
      <c r="AL76" s="51">
        <f>IFERROR((_xlfn.XLOOKUP($G76,'Modelling New'!D:D,'Modelling New'!$O:$O)*PA[[#This Row],[Lost PoA(kWh/m2)]]*PA[[#This Row],[DC Capacity Affected (kW)]]),"")</f>
        <v>793.65094563600883</v>
      </c>
      <c r="AM76" s="33"/>
      <c r="AN76" s="33"/>
      <c r="AO76" s="33"/>
      <c r="AP76" s="33"/>
    </row>
    <row r="77" spans="1:42">
      <c r="A77" s="30">
        <v>76</v>
      </c>
      <c r="B77" s="31">
        <v>45792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219</v>
      </c>
      <c r="F77" s="33" t="s">
        <v>219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0.25555555555555554</v>
      </c>
      <c r="J77" s="122">
        <v>0.76944444444444449</v>
      </c>
      <c r="K77" s="35">
        <f>IFERROR((PA[[#This Row],[Sunset Time (POA&lt;20 W/m2)]]-PA[[#This Row],[Sunrise Time (POA&gt;20 W/m2)]])*24,"")</f>
        <v>12.333333333333336</v>
      </c>
      <c r="L77" s="33" t="s">
        <v>303</v>
      </c>
      <c r="M77" s="33" t="s">
        <v>299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7" s="35">
        <f>IFERROR(_xlfn.XLOOKUP(PA[[#This Row],[Affected Equipment ]],'Basic Data'!N:N,'Basic Data'!Q:Q),"")</f>
        <v>5104</v>
      </c>
      <c r="V77" s="39">
        <f ca="1">IFERROR(_xlfn.XLOOKUP(PA[[#This Row],[Affected Equipment ]],'Basic Data'!N:N,'Basic Data'!R:R),"")</f>
        <v>0.13017087477684264</v>
      </c>
      <c r="W77" s="36" t="s">
        <v>295</v>
      </c>
      <c r="X77" s="40"/>
      <c r="Y77" s="347" t="s">
        <v>334</v>
      </c>
      <c r="Z77" s="46">
        <v>0.49305555555555558</v>
      </c>
      <c r="AA77" s="46">
        <v>0.49305555555555558</v>
      </c>
      <c r="AB77" s="46">
        <v>0.49305555555555558</v>
      </c>
      <c r="AC77" s="46">
        <v>0.50694444444444442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0.33333333333333215</v>
      </c>
      <c r="AG77" s="44">
        <f>IFERROR((PA[[#This Row],[Work Completion time on fault]]-PA[[#This Row],[Fault Time]])*24,"")</f>
        <v>0.33333333333333215</v>
      </c>
      <c r="AH77" s="36" t="s">
        <v>297</v>
      </c>
      <c r="AI77" s="33" t="s">
        <v>298</v>
      </c>
      <c r="AJ77" s="35">
        <f ca="1">IFERROR(PA[[#This Row],[Breakdown Time]]*PA[[#This Row],[Plant Equivalent Weightage]],"")</f>
        <v>4.3390291592280722E-2</v>
      </c>
      <c r="AK77" s="36">
        <v>0.24315000000000001</v>
      </c>
      <c r="AL77" s="51">
        <f>IFERROR((_xlfn.XLOOKUP($G77,'Modelling New'!D:D,'Modelling New'!$O:$O)*PA[[#This Row],[Lost PoA(kWh/m2)]]*PA[[#This Row],[DC Capacity Affected (kW)]]),"")</f>
        <v>793.65094563600883</v>
      </c>
      <c r="AM77" s="33"/>
      <c r="AN77" s="33"/>
      <c r="AO77" s="33"/>
      <c r="AP77" s="33"/>
    </row>
    <row r="78" spans="1:42">
      <c r="A78" s="30">
        <v>77</v>
      </c>
      <c r="B78" s="31">
        <v>45793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219</v>
      </c>
      <c r="F78" s="33" t="s">
        <v>219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0.76597222222222228</v>
      </c>
      <c r="K78" s="35">
        <f>IFERROR((PA[[#This Row],[Sunset Time (POA&lt;20 W/m2)]]-PA[[#This Row],[Sunrise Time (POA&gt;20 W/m2)]])*24,"")</f>
        <v>12.250000000000002</v>
      </c>
      <c r="L78" s="33" t="s">
        <v>303</v>
      </c>
      <c r="M78" s="33" t="s">
        <v>294</v>
      </c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8" s="35">
        <f>IFERROR(_xlfn.XLOOKUP(PA[[#This Row],[Affected Equipment ]],'Basic Data'!N:N,'Basic Data'!Q:Q),"")</f>
        <v>5104</v>
      </c>
      <c r="V78" s="39">
        <f ca="1">IFERROR(_xlfn.XLOOKUP(PA[[#This Row],[Affected Equipment ]],'Basic Data'!N:N,'Basic Data'!R:R),"")</f>
        <v>0.13017087477684264</v>
      </c>
      <c r="W78" s="36" t="s">
        <v>295</v>
      </c>
      <c r="X78" s="40"/>
      <c r="Y78" s="347" t="s">
        <v>334</v>
      </c>
      <c r="Z78" s="46">
        <v>0.49444444444444446</v>
      </c>
      <c r="AA78" s="46">
        <v>0.49444444444444446</v>
      </c>
      <c r="AB78" s="46">
        <v>0.49444444444444446</v>
      </c>
      <c r="AC78" s="46">
        <v>0.50486111111111109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0.24999999999999911</v>
      </c>
      <c r="AG78" s="44">
        <f>IFERROR((PA[[#This Row],[Work Completion time on fault]]-PA[[#This Row],[Fault Time]])*24,"")</f>
        <v>0.24999999999999911</v>
      </c>
      <c r="AH78" s="36" t="s">
        <v>297</v>
      </c>
      <c r="AI78" s="33" t="s">
        <v>298</v>
      </c>
      <c r="AJ78" s="35">
        <f ca="1">IFERROR(PA[[#This Row],[Breakdown Time]]*PA[[#This Row],[Plant Equivalent Weightage]],"")</f>
        <v>3.2542718694210541E-2</v>
      </c>
      <c r="AK78" s="36">
        <v>0.26469999999999999</v>
      </c>
      <c r="AL78" s="51">
        <f>IFERROR((_xlfn.XLOOKUP($G78,'Modelling New'!D:D,'Modelling New'!$O:$O)*PA[[#This Row],[Lost PoA(kWh/m2)]]*PA[[#This Row],[DC Capacity Affected (kW)]]),"")</f>
        <v>863.99097392494957</v>
      </c>
      <c r="AM78" s="33"/>
      <c r="AN78" s="33"/>
      <c r="AO78" s="33"/>
      <c r="AP78" s="33"/>
    </row>
    <row r="79" spans="1:42">
      <c r="A79" s="30">
        <v>78</v>
      </c>
      <c r="B79" s="31">
        <v>45793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219</v>
      </c>
      <c r="F79" s="33" t="s">
        <v>219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0.25555555555555554</v>
      </c>
      <c r="J79" s="122">
        <v>0.76597222222222228</v>
      </c>
      <c r="K79" s="35">
        <f>IFERROR((PA[[#This Row],[Sunset Time (POA&lt;20 W/m2)]]-PA[[#This Row],[Sunrise Time (POA&gt;20 W/m2)]])*24,"")</f>
        <v>12.250000000000002</v>
      </c>
      <c r="L79" s="33" t="s">
        <v>303</v>
      </c>
      <c r="M79" s="33" t="s">
        <v>299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9" s="35">
        <f>IFERROR(_xlfn.XLOOKUP(PA[[#This Row],[Affected Equipment ]],'Basic Data'!N:N,'Basic Data'!Q:Q),"")</f>
        <v>5104</v>
      </c>
      <c r="V79" s="39">
        <f ca="1">IFERROR(_xlfn.XLOOKUP(PA[[#This Row],[Affected Equipment ]],'Basic Data'!N:N,'Basic Data'!R:R),"")</f>
        <v>0.13017087477684264</v>
      </c>
      <c r="W79" s="36" t="s">
        <v>295</v>
      </c>
      <c r="X79" s="40"/>
      <c r="Y79" s="347" t="s">
        <v>334</v>
      </c>
      <c r="Z79" s="46">
        <v>0.49444444444444446</v>
      </c>
      <c r="AA79" s="46">
        <v>0.49444444444444446</v>
      </c>
      <c r="AB79" s="46">
        <v>0.49444444444444446</v>
      </c>
      <c r="AC79" s="46">
        <v>0.50486111111111109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0.24999999999999911</v>
      </c>
      <c r="AG79" s="44">
        <f>IFERROR((PA[[#This Row],[Work Completion time on fault]]-PA[[#This Row],[Fault Time]])*24,"")</f>
        <v>0.24999999999999911</v>
      </c>
      <c r="AH79" s="36" t="s">
        <v>297</v>
      </c>
      <c r="AI79" s="33" t="s">
        <v>298</v>
      </c>
      <c r="AJ79" s="35">
        <f ca="1">IFERROR(PA[[#This Row],[Breakdown Time]]*PA[[#This Row],[Plant Equivalent Weightage]],"")</f>
        <v>3.2542718694210541E-2</v>
      </c>
      <c r="AK79" s="36">
        <v>0.26469999999999999</v>
      </c>
      <c r="AL79" s="51">
        <f>IFERROR((_xlfn.XLOOKUP($G79,'Modelling New'!D:D,'Modelling New'!$O:$O)*PA[[#This Row],[Lost PoA(kWh/m2)]]*PA[[#This Row],[DC Capacity Affected (kW)]]),"")</f>
        <v>863.99097392494957</v>
      </c>
      <c r="AM79" s="33"/>
      <c r="AN79" s="33"/>
      <c r="AO79" s="33"/>
      <c r="AP79" s="33"/>
    </row>
    <row r="80" spans="1:42">
      <c r="A80" s="30">
        <v>79</v>
      </c>
      <c r="B80" s="31">
        <v>45793</v>
      </c>
      <c r="C80" s="32">
        <f>YEAR(PA[[#This Row],[Date]])+IF(MONTH(PA[[#This Row],[Date]])&gt;=4,1,0)</f>
        <v>2026</v>
      </c>
      <c r="D80" s="32">
        <f>YEAR(PA[[#This Row],[Date]])</f>
        <v>2025</v>
      </c>
      <c r="E80" s="33" t="s">
        <v>219</v>
      </c>
      <c r="F80" s="33" t="s">
        <v>219</v>
      </c>
      <c r="G80" s="196">
        <f>PA[[#This Row],[Date]]-DAY(PA[[#This Row],[Date]])+1</f>
        <v>45778</v>
      </c>
      <c r="H80" s="32">
        <f>DAY(EOMONTH(PA[[#This Row],[Month Year]],0))</f>
        <v>31</v>
      </c>
      <c r="I80" s="122">
        <v>0.25555555555555554</v>
      </c>
      <c r="J80" s="122">
        <v>0.76597222222222228</v>
      </c>
      <c r="K80" s="35">
        <f>IFERROR((PA[[#This Row],[Sunset Time (POA&lt;20 W/m2)]]-PA[[#This Row],[Sunrise Time (POA&gt;20 W/m2)]])*24,"")</f>
        <v>12.250000000000002</v>
      </c>
      <c r="L80" s="33" t="s">
        <v>303</v>
      </c>
      <c r="M80" s="33" t="s">
        <v>294</v>
      </c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0" s="35">
        <f>IFERROR(_xlfn.XLOOKUP(PA[[#This Row],[Affected Equipment ]],'Basic Data'!N:N,'Basic Data'!Q:Q),"")</f>
        <v>5104</v>
      </c>
      <c r="V80" s="39">
        <f ca="1">IFERROR(_xlfn.XLOOKUP(PA[[#This Row],[Affected Equipment ]],'Basic Data'!N:N,'Basic Data'!R:R),"")</f>
        <v>0.13017087477684264</v>
      </c>
      <c r="W80" s="36" t="s">
        <v>295</v>
      </c>
      <c r="X80" s="40"/>
      <c r="Y80" s="347" t="s">
        <v>334</v>
      </c>
      <c r="Z80" s="46">
        <v>0.51944444444444449</v>
      </c>
      <c r="AA80" s="46">
        <v>0.51944444444444449</v>
      </c>
      <c r="AB80" s="46">
        <v>0.51944444444444449</v>
      </c>
      <c r="AC80" s="46">
        <v>0.53402777777777777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0.34999999999999876</v>
      </c>
      <c r="AG80" s="44">
        <f>IFERROR((PA[[#This Row],[Work Completion time on fault]]-PA[[#This Row],[Fault Time]])*24,"")</f>
        <v>0.34999999999999876</v>
      </c>
      <c r="AH80" s="36" t="s">
        <v>297</v>
      </c>
      <c r="AI80" s="33" t="s">
        <v>298</v>
      </c>
      <c r="AJ80" s="35">
        <f ca="1">IFERROR(PA[[#This Row],[Breakdown Time]]*PA[[#This Row],[Plant Equivalent Weightage]],"")</f>
        <v>4.5559806171894764E-2</v>
      </c>
      <c r="AK80" s="36">
        <v>0.37036666666666668</v>
      </c>
      <c r="AL80" s="51">
        <f>IFERROR((_xlfn.XLOOKUP($G80,'Modelling New'!D:D,'Modelling New'!$O:$O)*PA[[#This Row],[Lost PoA(kWh/m2)]]*PA[[#This Row],[DC Capacity Affected (kW)]]),"")</f>
        <v>1208.8910352953174</v>
      </c>
      <c r="AM80" s="33"/>
      <c r="AN80" s="33"/>
      <c r="AO80" s="33"/>
      <c r="AP80" s="33"/>
    </row>
    <row r="81" spans="1:42">
      <c r="A81" s="30">
        <v>80</v>
      </c>
      <c r="B81" s="31">
        <v>45793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219</v>
      </c>
      <c r="F81" s="33" t="s">
        <v>219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0.25555555555555554</v>
      </c>
      <c r="J81" s="122">
        <v>0.76597222222222228</v>
      </c>
      <c r="K81" s="35">
        <f>IFERROR((PA[[#This Row],[Sunset Time (POA&lt;20 W/m2)]]-PA[[#This Row],[Sunrise Time (POA&gt;20 W/m2)]])*24,"")</f>
        <v>12.250000000000002</v>
      </c>
      <c r="L81" s="33" t="s">
        <v>303</v>
      </c>
      <c r="M81" s="33" t="s">
        <v>299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1" s="35">
        <f>IFERROR(_xlfn.XLOOKUP(PA[[#This Row],[Affected Equipment ]],'Basic Data'!N:N,'Basic Data'!Q:Q),"")</f>
        <v>5104</v>
      </c>
      <c r="V81" s="39">
        <f ca="1">IFERROR(_xlfn.XLOOKUP(PA[[#This Row],[Affected Equipment ]],'Basic Data'!N:N,'Basic Data'!R:R),"")</f>
        <v>0.13017087477684264</v>
      </c>
      <c r="W81" s="36" t="s">
        <v>295</v>
      </c>
      <c r="X81" s="40"/>
      <c r="Y81" s="347" t="s">
        <v>334</v>
      </c>
      <c r="Z81" s="46">
        <v>0.51944444444444449</v>
      </c>
      <c r="AA81" s="46">
        <v>0.51944444444444449</v>
      </c>
      <c r="AB81" s="46">
        <v>0.51944444444444449</v>
      </c>
      <c r="AC81" s="46">
        <v>0.53402777777777777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0.34999999999999876</v>
      </c>
      <c r="AG81" s="44">
        <f>IFERROR((PA[[#This Row],[Work Completion time on fault]]-PA[[#This Row],[Fault Time]])*24,"")</f>
        <v>0.34999999999999876</v>
      </c>
      <c r="AH81" s="36" t="s">
        <v>297</v>
      </c>
      <c r="AI81" s="33" t="s">
        <v>298</v>
      </c>
      <c r="AJ81" s="35">
        <f ca="1">IFERROR(PA[[#This Row],[Breakdown Time]]*PA[[#This Row],[Plant Equivalent Weightage]],"")</f>
        <v>4.5559806171894764E-2</v>
      </c>
      <c r="AK81" s="36">
        <v>0.37036666666666668</v>
      </c>
      <c r="AL81" s="51">
        <f>IFERROR((_xlfn.XLOOKUP($G81,'Modelling New'!D:D,'Modelling New'!$O:$O)*PA[[#This Row],[Lost PoA(kWh/m2)]]*PA[[#This Row],[DC Capacity Affected (kW)]]),"")</f>
        <v>1208.8910352953174</v>
      </c>
      <c r="AM81" s="33"/>
      <c r="AN81" s="33"/>
      <c r="AO81" s="33"/>
      <c r="AP81" s="33"/>
    </row>
    <row r="82" spans="1:42">
      <c r="A82" s="30">
        <v>81</v>
      </c>
      <c r="B82" s="31">
        <v>45793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219</v>
      </c>
      <c r="F82" s="33" t="s">
        <v>219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0.25555555555555554</v>
      </c>
      <c r="J82" s="122">
        <v>0.76597222222222228</v>
      </c>
      <c r="K82" s="35">
        <f>IFERROR((PA[[#This Row],[Sunset Time (POA&lt;20 W/m2)]]-PA[[#This Row],[Sunrise Time (POA&gt;20 W/m2)]])*24,"")</f>
        <v>12.250000000000002</v>
      </c>
      <c r="L82" s="33" t="s">
        <v>303</v>
      </c>
      <c r="M82" s="33" t="s">
        <v>294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2" s="35">
        <f>IFERROR(_xlfn.XLOOKUP(PA[[#This Row],[Affected Equipment ]],'Basic Data'!N:N,'Basic Data'!Q:Q),"")</f>
        <v>5104</v>
      </c>
      <c r="V82" s="39">
        <f ca="1">IFERROR(_xlfn.XLOOKUP(PA[[#This Row],[Affected Equipment ]],'Basic Data'!N:N,'Basic Data'!R:R),"")</f>
        <v>0.13017087477684264</v>
      </c>
      <c r="W82" s="36" t="s">
        <v>304</v>
      </c>
      <c r="X82" s="40"/>
      <c r="Y82" s="347" t="s">
        <v>335</v>
      </c>
      <c r="Z82" s="46">
        <v>0.54027777777777775</v>
      </c>
      <c r="AA82" s="46">
        <v>0.54027777777777775</v>
      </c>
      <c r="AB82" s="46">
        <v>0.54027777777777775</v>
      </c>
      <c r="AC82" s="46">
        <v>0.54513888888888884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" t="s">
        <v>336</v>
      </c>
      <c r="AI82" s="33" t="s">
        <v>298</v>
      </c>
      <c r="AJ82" s="35">
        <f ca="1">IFERROR(PA[[#This Row],[Breakdown Time]]*PA[[#This Row],[Plant Equivalent Weightage]],"")</f>
        <v>1.5186602057298253E-2</v>
      </c>
      <c r="AK82" s="36">
        <v>6.2933333333333327E-2</v>
      </c>
      <c r="AL82" s="51">
        <f>IFERROR((_xlfn.XLOOKUP($G82,'Modelling New'!D:D,'Modelling New'!$O:$O)*PA[[#This Row],[Lost PoA(kWh/m2)]]*PA[[#This Row],[DC Capacity Affected (kW)]]),"")</f>
        <v>205.41681888556917</v>
      </c>
      <c r="AM82" s="33"/>
      <c r="AN82" s="33"/>
      <c r="AO82" s="33"/>
      <c r="AP82" s="33"/>
    </row>
    <row r="83" spans="1:42">
      <c r="A83" s="30">
        <v>82</v>
      </c>
      <c r="B83" s="31">
        <v>45793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219</v>
      </c>
      <c r="F83" s="33" t="s">
        <v>219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0.25555555555555554</v>
      </c>
      <c r="J83" s="122">
        <v>0.76597222222222228</v>
      </c>
      <c r="K83" s="35">
        <f>IFERROR((PA[[#This Row],[Sunset Time (POA&lt;20 W/m2)]]-PA[[#This Row],[Sunrise Time (POA&gt;20 W/m2)]])*24,"")</f>
        <v>12.250000000000002</v>
      </c>
      <c r="L83" s="33" t="s">
        <v>303</v>
      </c>
      <c r="M83" s="33" t="s">
        <v>294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3" s="35">
        <f>IFERROR(_xlfn.XLOOKUP(PA[[#This Row],[Affected Equipment ]],'Basic Data'!N:N,'Basic Data'!Q:Q),"")</f>
        <v>5104</v>
      </c>
      <c r="V83" s="39">
        <f ca="1">IFERROR(_xlfn.XLOOKUP(PA[[#This Row],[Affected Equipment ]],'Basic Data'!N:N,'Basic Data'!R:R),"")</f>
        <v>0.13017087477684264</v>
      </c>
      <c r="W83" s="36" t="s">
        <v>304</v>
      </c>
      <c r="X83" s="40"/>
      <c r="Y83" s="347" t="s">
        <v>335</v>
      </c>
      <c r="Z83" s="46">
        <v>0.55069444444444449</v>
      </c>
      <c r="AA83" s="46">
        <v>0.55069444444444449</v>
      </c>
      <c r="AB83" s="46">
        <v>0.55069444444444449</v>
      </c>
      <c r="AC83" s="46">
        <v>0.55555555555555558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0.11666666666666625</v>
      </c>
      <c r="AG83" s="44">
        <f>IFERROR((PA[[#This Row],[Work Completion time on fault]]-PA[[#This Row],[Fault Time]])*24,"")</f>
        <v>0.11666666666666625</v>
      </c>
      <c r="AH83" s="36" t="s">
        <v>336</v>
      </c>
      <c r="AI83" s="33" t="s">
        <v>298</v>
      </c>
      <c r="AJ83" s="35">
        <f ca="1">IFERROR(PA[[#This Row],[Breakdown Time]]*PA[[#This Row],[Plant Equivalent Weightage]],"")</f>
        <v>1.5186602057298253E-2</v>
      </c>
      <c r="AK83" s="36">
        <v>5.8099999999999999E-2</v>
      </c>
      <c r="AL83" s="51">
        <f>IFERROR((_xlfn.XLOOKUP($G83,'Modelling New'!D:D,'Modelling New'!$O:$O)*PA[[#This Row],[Lost PoA(kWh/m2)]]*PA[[#This Row],[DC Capacity Affected (kW)]]),"")</f>
        <v>189.64063311310758</v>
      </c>
      <c r="AM83" s="33"/>
      <c r="AN83" s="33"/>
      <c r="AO83" s="33"/>
      <c r="AP83" s="33"/>
    </row>
    <row r="84" spans="1:42">
      <c r="A84" s="30">
        <v>83</v>
      </c>
      <c r="B84" s="31">
        <v>45793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219</v>
      </c>
      <c r="F84" s="33" t="s">
        <v>219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0.25555555555555554</v>
      </c>
      <c r="J84" s="122">
        <v>0.76597222222222228</v>
      </c>
      <c r="K84" s="35">
        <f>IFERROR((PA[[#This Row],[Sunset Time (POA&lt;20 W/m2)]]-PA[[#This Row],[Sunrise Time (POA&gt;20 W/m2)]])*24,"")</f>
        <v>12.250000000000002</v>
      </c>
      <c r="L84" s="33" t="s">
        <v>303</v>
      </c>
      <c r="M84" s="33" t="s">
        <v>294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4" s="35">
        <f>IFERROR(_xlfn.XLOOKUP(PA[[#This Row],[Affected Equipment ]],'Basic Data'!N:N,'Basic Data'!Q:Q),"")</f>
        <v>5104</v>
      </c>
      <c r="V84" s="39">
        <f ca="1">IFERROR(_xlfn.XLOOKUP(PA[[#This Row],[Affected Equipment ]],'Basic Data'!N:N,'Basic Data'!R:R),"")</f>
        <v>0.13017087477684264</v>
      </c>
      <c r="W84" s="36" t="s">
        <v>304</v>
      </c>
      <c r="X84" s="40"/>
      <c r="Y84" s="347" t="s">
        <v>335</v>
      </c>
      <c r="Z84" s="46">
        <v>0.57499999999999996</v>
      </c>
      <c r="AA84" s="46">
        <v>0.57499999999999996</v>
      </c>
      <c r="AB84" s="46">
        <v>0.57499999999999996</v>
      </c>
      <c r="AC84" s="46">
        <v>0.58819444444444446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0.31666666666666821</v>
      </c>
      <c r="AG84" s="44">
        <f>IFERROR((PA[[#This Row],[Work Completion time on fault]]-PA[[#This Row],[Fault Time]])*24,"")</f>
        <v>0.31666666666666821</v>
      </c>
      <c r="AH84" s="36" t="s">
        <v>336</v>
      </c>
      <c r="AI84" s="33" t="s">
        <v>298</v>
      </c>
      <c r="AJ84" s="35">
        <f ca="1">IFERROR(PA[[#This Row],[Breakdown Time]]*PA[[#This Row],[Plant Equivalent Weightage]],"")</f>
        <v>4.1220777012667034E-2</v>
      </c>
      <c r="AK84" s="36">
        <v>7.9683333333333328E-2</v>
      </c>
      <c r="AL84" s="51">
        <f>IFERROR((_xlfn.XLOOKUP($G84,'Modelling New'!D:D,'Modelling New'!$O:$O)*PA[[#This Row],[Lost PoA(kWh/m2)]]*PA[[#This Row],[DC Capacity Affected (kW)]]),"")</f>
        <v>260.08946268323791</v>
      </c>
      <c r="AM84" s="33"/>
      <c r="AN84" s="33"/>
      <c r="AO84" s="33"/>
      <c r="AP84" s="33"/>
    </row>
    <row r="85" spans="1:42">
      <c r="A85" s="30">
        <v>84</v>
      </c>
      <c r="B85" s="31">
        <v>45794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219</v>
      </c>
      <c r="F85" s="33" t="s">
        <v>219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0.2638888888888889</v>
      </c>
      <c r="J85" s="122">
        <v>0.74236111111111114</v>
      </c>
      <c r="K85" s="35">
        <f>IFERROR((PA[[#This Row],[Sunset Time (POA&lt;20 W/m2)]]-PA[[#This Row],[Sunrise Time (POA&gt;20 W/m2)]])*24,"")</f>
        <v>11.483333333333334</v>
      </c>
      <c r="L85" s="33" t="s">
        <v>303</v>
      </c>
      <c r="M85" s="33" t="s">
        <v>294</v>
      </c>
      <c r="N85" s="33" t="s">
        <v>313</v>
      </c>
      <c r="O85" s="36" t="s">
        <v>337</v>
      </c>
      <c r="P85" s="36" t="s">
        <v>327</v>
      </c>
      <c r="Q85" s="33"/>
      <c r="R85" s="32">
        <f>IF((PA[[#This Row],[String Type(If String BD)]]&amp;PA[[#This Row],[Equipment (If any BD other than PV  array and inv)]])="",1,0)</f>
        <v>0</v>
      </c>
      <c r="S85" s="32">
        <f>IF(PA[[#This Row],[String Type(If String BD)]]="",1,0)</f>
        <v>0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85" s="35">
        <f>IFERROR(_xlfn.XLOOKUP(PA[[#This Row],[Affected Equipment ]],'Basic Data'!N:N,'Basic Data'!Q:Q),"")</f>
        <v>15.95</v>
      </c>
      <c r="V85" s="39">
        <f ca="1">IFERROR(_xlfn.XLOOKUP(PA[[#This Row],[Affected Equipment ]],'Basic Data'!N:N,'Basic Data'!R:R),"")</f>
        <v>4.0678398367763324E-4</v>
      </c>
      <c r="W85" s="36" t="s">
        <v>328</v>
      </c>
      <c r="X85" s="40"/>
      <c r="Y85" s="350" t="s">
        <v>329</v>
      </c>
      <c r="Z85" s="46">
        <v>0.2638888888888889</v>
      </c>
      <c r="AA85" s="46">
        <v>0.2638888888888889</v>
      </c>
      <c r="AB85" s="46">
        <v>0.2638888888888889</v>
      </c>
      <c r="AC85" s="46">
        <v>0.68055555555555558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10</v>
      </c>
      <c r="AG85" s="44">
        <f>IFERROR((PA[[#This Row],[Work Completion time on fault]]-PA[[#This Row],[Fault Time]])*24,"")</f>
        <v>10</v>
      </c>
      <c r="AH85" s="36" t="s">
        <v>330</v>
      </c>
      <c r="AI85" s="33" t="s">
        <v>298</v>
      </c>
      <c r="AJ85" s="35">
        <f ca="1">IFERROR(PA[[#This Row],[Breakdown Time]]*PA[[#This Row],[Plant Equivalent Weightage]],"")</f>
        <v>4.0678398367763324E-3</v>
      </c>
      <c r="AK85" s="36">
        <v>5.0788648716666671</v>
      </c>
      <c r="AL85" s="51">
        <f>IFERROR((_xlfn.XLOOKUP($G85,'Modelling New'!D:D,'Modelling New'!$O:$O)*PA[[#This Row],[Lost PoA(kWh/m2)]]*PA[[#This Row],[DC Capacity Affected (kW)]]),"")</f>
        <v>51.80503172110523</v>
      </c>
      <c r="AM85" s="33"/>
      <c r="AN85" s="33"/>
      <c r="AO85" s="33"/>
      <c r="AP85" s="33"/>
    </row>
    <row r="86" spans="1:42">
      <c r="A86" s="30">
        <v>85</v>
      </c>
      <c r="B86" s="31">
        <v>45795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219</v>
      </c>
      <c r="F86" s="33" t="s">
        <v>219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0.25486111111111109</v>
      </c>
      <c r="J86" s="122">
        <v>0.76666666666666672</v>
      </c>
      <c r="K86" s="35">
        <f>IFERROR((PA[[#This Row],[Sunset Time (POA&lt;20 W/m2)]]-PA[[#This Row],[Sunrise Time (POA&gt;20 W/m2)]])*24,"")</f>
        <v>12.283333333333335</v>
      </c>
      <c r="L86" s="33" t="s">
        <v>303</v>
      </c>
      <c r="M86" s="33" t="s">
        <v>294</v>
      </c>
      <c r="N86" s="33" t="s">
        <v>316</v>
      </c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86" s="35">
        <f>IFERROR(_xlfn.XLOOKUP(PA[[#This Row],[Affected Equipment ]],'Basic Data'!N:N,'Basic Data'!Q:Q),"")</f>
        <v>1276</v>
      </c>
      <c r="V86" s="39">
        <f ca="1">IFERROR(_xlfn.XLOOKUP(PA[[#This Row],[Affected Equipment ]],'Basic Data'!N:N,'Basic Data'!R:R),"")</f>
        <v>3.2542718694210659E-2</v>
      </c>
      <c r="W86" s="36" t="s">
        <v>304</v>
      </c>
      <c r="X86" s="40"/>
      <c r="Y86" s="347" t="s">
        <v>338</v>
      </c>
      <c r="Z86" s="46">
        <v>0.4777777777777778</v>
      </c>
      <c r="AA86" s="46">
        <v>0.4777777777777778</v>
      </c>
      <c r="AB86" s="46">
        <v>0.4777777777777778</v>
      </c>
      <c r="AC86" s="46">
        <v>0.48333333333333334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0.13333333333333286</v>
      </c>
      <c r="AG86" s="44">
        <f>IFERROR((PA[[#This Row],[Work Completion time on fault]]-PA[[#This Row],[Fault Time]])*24,"")</f>
        <v>0.13333333333333286</v>
      </c>
      <c r="AH86" s="36" t="s">
        <v>336</v>
      </c>
      <c r="AI86" s="33" t="s">
        <v>298</v>
      </c>
      <c r="AJ86" s="35">
        <f ca="1">IFERROR(PA[[#This Row],[Breakdown Time]]*PA[[#This Row],[Plant Equivalent Weightage]],"")</f>
        <v>4.3390291592280729E-3</v>
      </c>
      <c r="AK86" s="36">
        <v>0.12085816666666667</v>
      </c>
      <c r="AL86" s="51">
        <f>IFERROR((_xlfn.XLOOKUP($G86,'Modelling New'!D:D,'Modelling New'!$O:$O)*PA[[#This Row],[Lost PoA(kWh/m2)]]*PA[[#This Row],[DC Capacity Affected (kW)]]),"")</f>
        <v>98.621425316506631</v>
      </c>
      <c r="AM86" s="33"/>
      <c r="AN86" s="33"/>
      <c r="AO86" s="33"/>
      <c r="AP86" s="33"/>
    </row>
    <row r="87" spans="1:42">
      <c r="A87" s="30">
        <v>86</v>
      </c>
      <c r="B87" s="31">
        <v>45795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219</v>
      </c>
      <c r="F87" s="33" t="s">
        <v>219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0.25486111111111109</v>
      </c>
      <c r="J87" s="122">
        <v>0.76666666666666672</v>
      </c>
      <c r="K87" s="35">
        <f>IFERROR((PA[[#This Row],[Sunset Time (POA&lt;20 W/m2)]]-PA[[#This Row],[Sunrise Time (POA&gt;20 W/m2)]])*24,"")</f>
        <v>12.283333333333335</v>
      </c>
      <c r="L87" s="33" t="s">
        <v>303</v>
      </c>
      <c r="M87" s="33" t="s">
        <v>294</v>
      </c>
      <c r="N87" s="33" t="s">
        <v>320</v>
      </c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87" s="35">
        <f>IFERROR(_xlfn.XLOOKUP(PA[[#This Row],[Affected Equipment ]],'Basic Data'!N:N,'Basic Data'!Q:Q),"")</f>
        <v>1276</v>
      </c>
      <c r="V87" s="39">
        <f ca="1">IFERROR(_xlfn.XLOOKUP(PA[[#This Row],[Affected Equipment ]],'Basic Data'!N:N,'Basic Data'!R:R),"")</f>
        <v>3.2542718694210659E-2</v>
      </c>
      <c r="W87" s="36" t="s">
        <v>304</v>
      </c>
      <c r="X87" s="40"/>
      <c r="Y87" s="347" t="s">
        <v>339</v>
      </c>
      <c r="Z87" s="46">
        <v>0.4777777777777778</v>
      </c>
      <c r="AA87" s="46">
        <v>0.4777777777777778</v>
      </c>
      <c r="AB87" s="46">
        <v>0.4777777777777778</v>
      </c>
      <c r="AC87" s="46">
        <v>0.48333333333333334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0.13333333333333286</v>
      </c>
      <c r="AG87" s="44">
        <f>IFERROR((PA[[#This Row],[Work Completion time on fault]]-PA[[#This Row],[Fault Time]])*24,"")</f>
        <v>0.13333333333333286</v>
      </c>
      <c r="AH87" s="36" t="s">
        <v>336</v>
      </c>
      <c r="AI87" s="33" t="s">
        <v>298</v>
      </c>
      <c r="AJ87" s="35">
        <f ca="1">IFERROR(PA[[#This Row],[Breakdown Time]]*PA[[#This Row],[Plant Equivalent Weightage]],"")</f>
        <v>4.3390291592280729E-3</v>
      </c>
      <c r="AK87" s="36">
        <v>0.12085816666666667</v>
      </c>
      <c r="AL87" s="51">
        <f>IFERROR((_xlfn.XLOOKUP($G87,'Modelling New'!D:D,'Modelling New'!$O:$O)*PA[[#This Row],[Lost PoA(kWh/m2)]]*PA[[#This Row],[DC Capacity Affected (kW)]]),"")</f>
        <v>98.621425316506631</v>
      </c>
      <c r="AM87" s="33"/>
      <c r="AN87" s="33"/>
      <c r="AO87" s="33"/>
      <c r="AP87" s="33"/>
    </row>
    <row r="88" spans="1:42">
      <c r="A88" s="30">
        <v>87</v>
      </c>
      <c r="B88" s="31">
        <v>45795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219</v>
      </c>
      <c r="F88" s="33" t="s">
        <v>219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0.25486111111111109</v>
      </c>
      <c r="J88" s="122">
        <v>0.76666666666666672</v>
      </c>
      <c r="K88" s="35">
        <f>IFERROR((PA[[#This Row],[Sunset Time (POA&lt;20 W/m2)]]-PA[[#This Row],[Sunrise Time (POA&gt;20 W/m2)]])*24,"")</f>
        <v>12.283333333333335</v>
      </c>
      <c r="L88" s="33" t="s">
        <v>303</v>
      </c>
      <c r="M88" s="33" t="s">
        <v>294</v>
      </c>
      <c r="N88" s="33" t="s">
        <v>322</v>
      </c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88" s="35">
        <f>IFERROR(_xlfn.XLOOKUP(PA[[#This Row],[Affected Equipment ]],'Basic Data'!N:N,'Basic Data'!Q:Q),"")</f>
        <v>1276</v>
      </c>
      <c r="V88" s="39">
        <f ca="1">IFERROR(_xlfn.XLOOKUP(PA[[#This Row],[Affected Equipment ]],'Basic Data'!N:N,'Basic Data'!R:R),"")</f>
        <v>3.2542718694210659E-2</v>
      </c>
      <c r="W88" s="36" t="s">
        <v>304</v>
      </c>
      <c r="X88" s="40"/>
      <c r="Y88" s="347" t="s">
        <v>340</v>
      </c>
      <c r="Z88" s="46">
        <v>0.4777777777777778</v>
      </c>
      <c r="AA88" s="46">
        <v>0.4777777777777778</v>
      </c>
      <c r="AB88" s="46">
        <v>0.4777777777777778</v>
      </c>
      <c r="AC88" s="46">
        <v>0.48333333333333334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0.13333333333333286</v>
      </c>
      <c r="AG88" s="44">
        <f>IFERROR((PA[[#This Row],[Work Completion time on fault]]-PA[[#This Row],[Fault Time]])*24,"")</f>
        <v>0.13333333333333286</v>
      </c>
      <c r="AH88" s="36" t="s">
        <v>336</v>
      </c>
      <c r="AI88" s="33" t="s">
        <v>298</v>
      </c>
      <c r="AJ88" s="35">
        <f ca="1">IFERROR(PA[[#This Row],[Breakdown Time]]*PA[[#This Row],[Plant Equivalent Weightage]],"")</f>
        <v>4.3390291592280729E-3</v>
      </c>
      <c r="AK88" s="36">
        <v>0.12085816666666667</v>
      </c>
      <c r="AL88" s="51">
        <f>IFERROR((_xlfn.XLOOKUP($G88,'Modelling New'!D:D,'Modelling New'!$O:$O)*PA[[#This Row],[Lost PoA(kWh/m2)]]*PA[[#This Row],[DC Capacity Affected (kW)]]),"")</f>
        <v>98.621425316506631</v>
      </c>
      <c r="AM88" s="33"/>
      <c r="AN88" s="33"/>
      <c r="AO88" s="33"/>
      <c r="AP88" s="33"/>
    </row>
    <row r="89" spans="1:42">
      <c r="A89" s="30">
        <v>88</v>
      </c>
      <c r="B89" s="31">
        <v>45796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219</v>
      </c>
      <c r="F89" s="33" t="s">
        <v>219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0.25416666666666665</v>
      </c>
      <c r="J89" s="122">
        <v>0.76736111111111116</v>
      </c>
      <c r="K89" s="35">
        <f>IFERROR((PA[[#This Row],[Sunset Time (POA&lt;20 W/m2)]]-PA[[#This Row],[Sunrise Time (POA&gt;20 W/m2)]])*24,"")</f>
        <v>12.316666666666668</v>
      </c>
      <c r="L89" s="33" t="s">
        <v>303</v>
      </c>
      <c r="M89" s="33" t="s">
        <v>294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304</v>
      </c>
      <c r="X89" s="40"/>
      <c r="Y89" s="347" t="s">
        <v>335</v>
      </c>
      <c r="Z89" s="46">
        <v>0.50138888888888888</v>
      </c>
      <c r="AA89" s="46">
        <v>0.50138888888888888</v>
      </c>
      <c r="AB89" s="46">
        <v>0.50138888888888888</v>
      </c>
      <c r="AC89" s="46">
        <v>0.50555555555555554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9.9999999999999645E-2</v>
      </c>
      <c r="AG89" s="44">
        <f>IFERROR((PA[[#This Row],[Work Completion time on fault]]-PA[[#This Row],[Fault Time]])*24,"")</f>
        <v>9.9999999999999645E-2</v>
      </c>
      <c r="AH89" s="36" t="s">
        <v>336</v>
      </c>
      <c r="AI89" s="33" t="s">
        <v>298</v>
      </c>
      <c r="AJ89" s="35">
        <f ca="1">IFERROR(PA[[#This Row],[Breakdown Time]]*PA[[#This Row],[Plant Equivalent Weightage]],"")</f>
        <v>1.3017087477684217E-2</v>
      </c>
      <c r="AK89" s="36">
        <v>0.10349033333333334</v>
      </c>
      <c r="AL89" s="51">
        <f>IFERROR((_xlfn.XLOOKUP($G89,'Modelling New'!D:D,'Modelling New'!$O:$O)*PA[[#This Row],[Lost PoA(kWh/m2)]]*PA[[#This Row],[DC Capacity Affected (kW)]]),"")</f>
        <v>337.79642572151249</v>
      </c>
      <c r="AM89" s="33"/>
      <c r="AN89" s="33"/>
      <c r="AO89" s="33"/>
      <c r="AP89" s="33"/>
    </row>
    <row r="90" spans="1:42">
      <c r="A90" s="30">
        <v>89</v>
      </c>
      <c r="B90" s="31">
        <v>45799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219</v>
      </c>
      <c r="F90" s="33" t="s">
        <v>219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0.25138888888888888</v>
      </c>
      <c r="J90" s="122">
        <v>0.76388888888888884</v>
      </c>
      <c r="K90" s="35">
        <f>IFERROR((PA[[#This Row],[Sunset Time (POA&lt;20 W/m2)]]-PA[[#This Row],[Sunrise Time (POA&gt;20 W/m2)]])*24,"")</f>
        <v>12.299999999999999</v>
      </c>
      <c r="L90" s="33" t="s">
        <v>300</v>
      </c>
      <c r="M90" s="33" t="s">
        <v>294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0" s="35">
        <f>IFERROR(_xlfn.XLOOKUP(PA[[#This Row],[Affected Equipment ]],'Basic Data'!N:N,'Basic Data'!Q:Q),"")</f>
        <v>4662.4750000000004</v>
      </c>
      <c r="V90" s="39">
        <f ca="1">IFERROR(_xlfn.XLOOKUP(PA[[#This Row],[Affected Equipment ]],'Basic Data'!N:N,'Basic Data'!R:R),"")</f>
        <v>0.11891035450140271</v>
      </c>
      <c r="W90" s="36" t="s">
        <v>304</v>
      </c>
      <c r="X90" s="40"/>
      <c r="Y90" s="40" t="s">
        <v>341</v>
      </c>
      <c r="Z90" s="46">
        <v>0.3298611111111111</v>
      </c>
      <c r="AA90" s="46">
        <v>0.3298611111111111</v>
      </c>
      <c r="AB90" s="46">
        <v>0.3298611111111111</v>
      </c>
      <c r="AC90" s="46">
        <v>0.34097222222222223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0.26666666666666705</v>
      </c>
      <c r="AG90" s="44">
        <f>IFERROR((PA[[#This Row],[Work Completion time on fault]]-PA[[#This Row],[Fault Time]])*24,"")</f>
        <v>0.26666666666666705</v>
      </c>
      <c r="AH90" s="348" t="s">
        <v>312</v>
      </c>
      <c r="AI90" s="33" t="s">
        <v>298</v>
      </c>
      <c r="AJ90" s="35">
        <f ca="1">IFERROR(PA[[#This Row],[Breakdown Time]]*PA[[#This Row],[Plant Equivalent Weightage]],"")</f>
        <v>3.1709427867040771E-2</v>
      </c>
      <c r="AK90" s="36">
        <v>9.3576000000000006E-2</v>
      </c>
      <c r="AL90" s="51">
        <f>IFERROR((_xlfn.XLOOKUP($G90,'Modelling New'!D:D,'Modelling New'!$O:$O)*PA[[#This Row],[Lost PoA(kWh/m2)]]*PA[[#This Row],[DC Capacity Affected (kW)]]),"")</f>
        <v>279.01374058060105</v>
      </c>
      <c r="AM90" s="33"/>
      <c r="AN90" s="33"/>
      <c r="AO90" s="33"/>
      <c r="AP90" s="33"/>
    </row>
    <row r="91" spans="1:42">
      <c r="A91" s="30">
        <v>90</v>
      </c>
      <c r="B91" s="31">
        <v>45799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219</v>
      </c>
      <c r="F91" s="33" t="s">
        <v>219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0.25138888888888888</v>
      </c>
      <c r="J91" s="122">
        <v>0.76388888888888884</v>
      </c>
      <c r="K91" s="35">
        <f>IFERROR((PA[[#This Row],[Sunset Time (POA&lt;20 W/m2)]]-PA[[#This Row],[Sunrise Time (POA&gt;20 W/m2)]])*24,"")</f>
        <v>12.299999999999999</v>
      </c>
      <c r="L91" s="33" t="s">
        <v>300</v>
      </c>
      <c r="M91" s="33" t="s">
        <v>294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1" s="35">
        <f>IFERROR(_xlfn.XLOOKUP(PA[[#This Row],[Affected Equipment ]],'Basic Data'!N:N,'Basic Data'!Q:Q),"")</f>
        <v>4662.4750000000004</v>
      </c>
      <c r="V91" s="39">
        <f ca="1">IFERROR(_xlfn.XLOOKUP(PA[[#This Row],[Affected Equipment ]],'Basic Data'!N:N,'Basic Data'!R:R),"")</f>
        <v>0.11891035450140271</v>
      </c>
      <c r="W91" s="36" t="s">
        <v>304</v>
      </c>
      <c r="X91" s="40"/>
      <c r="Y91" s="40" t="s">
        <v>342</v>
      </c>
      <c r="Z91" s="46">
        <v>0.34791666666666665</v>
      </c>
      <c r="AA91" s="46">
        <v>0.34791666666666665</v>
      </c>
      <c r="AB91" s="46">
        <v>0.34791666666666665</v>
      </c>
      <c r="AC91" s="46">
        <v>0.35208333333333336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0.10000000000000098</v>
      </c>
      <c r="AG91" s="44">
        <f>IFERROR((PA[[#This Row],[Work Completion time on fault]]-PA[[#This Row],[Fault Time]])*24,"")</f>
        <v>0.10000000000000098</v>
      </c>
      <c r="AH91" s="348" t="s">
        <v>312</v>
      </c>
      <c r="AI91" s="33" t="s">
        <v>298</v>
      </c>
      <c r="AJ91" s="35">
        <f ca="1">IFERROR(PA[[#This Row],[Breakdown Time]]*PA[[#This Row],[Plant Equivalent Weightage]],"")</f>
        <v>1.1891035450140386E-2</v>
      </c>
      <c r="AK91" s="36">
        <v>2.7881666666666669E-2</v>
      </c>
      <c r="AL91" s="51">
        <f>IFERROR((_xlfn.XLOOKUP($G91,'Modelling New'!D:D,'Modelling New'!$O:$O)*PA[[#This Row],[Lost PoA(kWh/m2)]]*PA[[#This Row],[DC Capacity Affected (kW)]]),"")</f>
        <v>83.134223628795041</v>
      </c>
      <c r="AM91" s="33"/>
      <c r="AN91" s="33"/>
      <c r="AO91" s="33"/>
      <c r="AP91" s="33"/>
    </row>
    <row r="92" spans="1:42">
      <c r="A92" s="30">
        <v>91</v>
      </c>
      <c r="B92" s="31">
        <v>45799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219</v>
      </c>
      <c r="F92" s="33" t="s">
        <v>219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0.25138888888888888</v>
      </c>
      <c r="J92" s="122">
        <v>0.76388888888888884</v>
      </c>
      <c r="K92" s="35">
        <f>IFERROR((PA[[#This Row],[Sunset Time (POA&lt;20 W/m2)]]-PA[[#This Row],[Sunrise Time (POA&gt;20 W/m2)]])*24,"")</f>
        <v>12.299999999999999</v>
      </c>
      <c r="L92" s="33" t="s">
        <v>300</v>
      </c>
      <c r="M92" s="33" t="s">
        <v>294</v>
      </c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2" s="35">
        <f>IFERROR(_xlfn.XLOOKUP(PA[[#This Row],[Affected Equipment ]],'Basic Data'!N:N,'Basic Data'!Q:Q),"")</f>
        <v>4662.4750000000004</v>
      </c>
      <c r="V92" s="39">
        <f ca="1">IFERROR(_xlfn.XLOOKUP(PA[[#This Row],[Affected Equipment ]],'Basic Data'!N:N,'Basic Data'!R:R),"")</f>
        <v>0.11891035450140271</v>
      </c>
      <c r="W92" s="36" t="s">
        <v>304</v>
      </c>
      <c r="X92" s="40"/>
      <c r="Y92" s="40" t="s">
        <v>342</v>
      </c>
      <c r="Z92" s="46">
        <v>0.51875000000000004</v>
      </c>
      <c r="AA92" s="46">
        <v>0.51875000000000004</v>
      </c>
      <c r="AB92" s="46">
        <v>0.51875000000000004</v>
      </c>
      <c r="AC92" s="46">
        <v>0.52430555555555558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0.13333333333333286</v>
      </c>
      <c r="AG92" s="44">
        <f>IFERROR((PA[[#This Row],[Work Completion time on fault]]-PA[[#This Row],[Fault Time]])*24,"")</f>
        <v>0.13333333333333286</v>
      </c>
      <c r="AH92" s="348" t="s">
        <v>312</v>
      </c>
      <c r="AI92" s="33" t="s">
        <v>298</v>
      </c>
      <c r="AJ92" s="35">
        <f ca="1">IFERROR(PA[[#This Row],[Breakdown Time]]*PA[[#This Row],[Plant Equivalent Weightage]],"")</f>
        <v>1.5854713933520306E-2</v>
      </c>
      <c r="AK92" s="36">
        <v>0.10992632000000001</v>
      </c>
      <c r="AL92" s="51">
        <f>IFERROR((_xlfn.XLOOKUP($G92,'Modelling New'!D:D,'Modelling New'!$O:$O)*PA[[#This Row],[Lost PoA(kWh/m2)]]*PA[[#This Row],[DC Capacity Affected (kW)]]),"")</f>
        <v>327.76517196140179</v>
      </c>
      <c r="AM92" s="33"/>
      <c r="AN92" s="33"/>
      <c r="AO92" s="33"/>
      <c r="AP92" s="33"/>
    </row>
    <row r="93" spans="1:42">
      <c r="A93" s="30">
        <v>92</v>
      </c>
      <c r="B93" s="31">
        <v>45799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219</v>
      </c>
      <c r="F93" s="33" t="s">
        <v>219</v>
      </c>
      <c r="G93" s="196">
        <f>PA[[#This Row],[Date]]-DAY(PA[[#This Row],[Date]])+1</f>
        <v>45778</v>
      </c>
      <c r="H93" s="32">
        <f>DAY(EOMONTH(PA[[#This Row],[Month Year]],0))</f>
        <v>31</v>
      </c>
      <c r="I93" s="122">
        <v>0.25138888888888888</v>
      </c>
      <c r="J93" s="122">
        <v>0.76388888888888884</v>
      </c>
      <c r="K93" s="35">
        <f>IFERROR((PA[[#This Row],[Sunset Time (POA&lt;20 W/m2)]]-PA[[#This Row],[Sunrise Time (POA&gt;20 W/m2)]])*24,"")</f>
        <v>12.299999999999999</v>
      </c>
      <c r="L93" s="33" t="s">
        <v>300</v>
      </c>
      <c r="M93" s="33" t="s">
        <v>294</v>
      </c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3" s="35">
        <f>IFERROR(_xlfn.XLOOKUP(PA[[#This Row],[Affected Equipment ]],'Basic Data'!N:N,'Basic Data'!Q:Q),"")</f>
        <v>4662.4750000000004</v>
      </c>
      <c r="V93" s="39">
        <f ca="1">IFERROR(_xlfn.XLOOKUP(PA[[#This Row],[Affected Equipment ]],'Basic Data'!N:N,'Basic Data'!R:R),"")</f>
        <v>0.11891035450140271</v>
      </c>
      <c r="W93" s="36" t="s">
        <v>304</v>
      </c>
      <c r="X93" s="40"/>
      <c r="Y93" s="40" t="s">
        <v>342</v>
      </c>
      <c r="Z93" s="46">
        <v>0.54166666666666663</v>
      </c>
      <c r="AA93" s="46">
        <v>0.54166666666666663</v>
      </c>
      <c r="AB93" s="46">
        <v>0.54166666666666663</v>
      </c>
      <c r="AC93" s="46">
        <v>0.55486111111111114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0.31666666666666821</v>
      </c>
      <c r="AG93" s="44">
        <f>IFERROR((PA[[#This Row],[Work Completion time on fault]]-PA[[#This Row],[Fault Time]])*24,"")</f>
        <v>0.31666666666666821</v>
      </c>
      <c r="AH93" s="348" t="s">
        <v>312</v>
      </c>
      <c r="AI93" s="33" t="s">
        <v>298</v>
      </c>
      <c r="AJ93" s="35">
        <f ca="1">IFERROR(PA[[#This Row],[Breakdown Time]]*PA[[#This Row],[Plant Equivalent Weightage]],"")</f>
        <v>3.7654945592111043E-2</v>
      </c>
      <c r="AK93" s="36">
        <v>0.22343923833333335</v>
      </c>
      <c r="AL93" s="51">
        <f>IFERROR((_xlfn.XLOOKUP($G93,'Modelling New'!D:D,'Modelling New'!$O:$O)*PA[[#This Row],[Lost PoA(kWh/m2)]]*PA[[#This Row],[DC Capacity Affected (kW)]]),"")</f>
        <v>666.224434468921</v>
      </c>
      <c r="AM93" s="33"/>
      <c r="AN93" s="33"/>
      <c r="AO93" s="33"/>
      <c r="AP93" s="33"/>
    </row>
    <row r="94" spans="1:42">
      <c r="A94" s="30">
        <v>93</v>
      </c>
      <c r="B94" s="31">
        <v>45799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219</v>
      </c>
      <c r="F94" s="33" t="s">
        <v>219</v>
      </c>
      <c r="G94" s="196">
        <f>PA[[#This Row],[Date]]-DAY(PA[[#This Row],[Date]])+1</f>
        <v>45778</v>
      </c>
      <c r="H94" s="32">
        <f>DAY(EOMONTH(PA[[#This Row],[Month Year]],0))</f>
        <v>31</v>
      </c>
      <c r="I94" s="122">
        <v>0.25138888888888888</v>
      </c>
      <c r="J94" s="122">
        <v>0.76388888888888884</v>
      </c>
      <c r="K94" s="35">
        <f>IFERROR((PA[[#This Row],[Sunset Time (POA&lt;20 W/m2)]]-PA[[#This Row],[Sunrise Time (POA&gt;20 W/m2)]])*24,"")</f>
        <v>12.299999999999999</v>
      </c>
      <c r="L94" s="33" t="s">
        <v>300</v>
      </c>
      <c r="M94" s="33" t="s">
        <v>299</v>
      </c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4" s="35">
        <f>IFERROR(_xlfn.XLOOKUP(PA[[#This Row],[Affected Equipment ]],'Basic Data'!N:N,'Basic Data'!Q:Q),"")</f>
        <v>4662.4750000000004</v>
      </c>
      <c r="V94" s="39">
        <f ca="1">IFERROR(_xlfn.XLOOKUP(PA[[#This Row],[Affected Equipment ]],'Basic Data'!N:N,'Basic Data'!R:R),"")</f>
        <v>0.11891035450140271</v>
      </c>
      <c r="W94" s="36" t="s">
        <v>304</v>
      </c>
      <c r="X94" s="40"/>
      <c r="Y94" s="40" t="s">
        <v>343</v>
      </c>
      <c r="Z94" s="46">
        <v>0.33263888888888887</v>
      </c>
      <c r="AA94" s="46">
        <v>0.33263888888888887</v>
      </c>
      <c r="AB94" s="46">
        <v>0.33263888888888887</v>
      </c>
      <c r="AC94" s="46">
        <v>0.33750000000000002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0.11666666666666758</v>
      </c>
      <c r="AG94" s="44">
        <f>IFERROR((PA[[#This Row],[Work Completion time on fault]]-PA[[#This Row],[Fault Time]])*24,"")</f>
        <v>0.11666666666666758</v>
      </c>
      <c r="AH94" s="348" t="s">
        <v>312</v>
      </c>
      <c r="AI94" s="33" t="s">
        <v>298</v>
      </c>
      <c r="AJ94" s="35">
        <f ca="1">IFERROR(PA[[#This Row],[Breakdown Time]]*PA[[#This Row],[Plant Equivalent Weightage]],"")</f>
        <v>1.3872874691830425E-2</v>
      </c>
      <c r="AK94" s="36">
        <v>4.0204576666666672E-2</v>
      </c>
      <c r="AL94" s="51">
        <f>IFERROR((_xlfn.XLOOKUP($G94,'Modelling New'!D:D,'Modelling New'!$O:$O)*PA[[#This Row],[Lost PoA(kWh/m2)]]*PA[[#This Row],[DC Capacity Affected (kW)]]),"")</f>
        <v>119.87720488401106</v>
      </c>
      <c r="AM94" s="33"/>
      <c r="AN94" s="33"/>
      <c r="AO94" s="33"/>
      <c r="AP94" s="33"/>
    </row>
    <row r="95" spans="1:42">
      <c r="A95" s="30">
        <v>94</v>
      </c>
      <c r="B95" s="31">
        <v>45800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219</v>
      </c>
      <c r="F95" s="33" t="s">
        <v>219</v>
      </c>
      <c r="G95" s="196">
        <f>PA[[#This Row],[Date]]-DAY(PA[[#This Row],[Date]])+1</f>
        <v>45778</v>
      </c>
      <c r="H95" s="32">
        <f>DAY(EOMONTH(PA[[#This Row],[Month Year]],0))</f>
        <v>31</v>
      </c>
      <c r="I95" s="122">
        <v>0.25555555555555554</v>
      </c>
      <c r="J95" s="122">
        <v>0.71736111111111112</v>
      </c>
      <c r="K95" s="35">
        <f>IFERROR((PA[[#This Row],[Sunset Time (POA&lt;20 W/m2)]]-PA[[#This Row],[Sunrise Time (POA&gt;20 W/m2)]])*24,"")</f>
        <v>11.083333333333334</v>
      </c>
      <c r="L95" s="33" t="s">
        <v>303</v>
      </c>
      <c r="M95" s="33" t="s">
        <v>294</v>
      </c>
      <c r="N95" s="33" t="s">
        <v>313</v>
      </c>
      <c r="O95" s="36" t="s">
        <v>344</v>
      </c>
      <c r="P95" s="36" t="s">
        <v>327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350" t="s">
        <v>329</v>
      </c>
      <c r="Z95" s="46">
        <v>0.25555555555555554</v>
      </c>
      <c r="AA95" s="46">
        <v>0.25555555555555554</v>
      </c>
      <c r="AB95" s="46">
        <v>0.25555555555555554</v>
      </c>
      <c r="AC95" s="46">
        <v>0.67361111111111116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10.033333333333335</v>
      </c>
      <c r="AG95" s="44">
        <f>IFERROR((PA[[#This Row],[Work Completion time on fault]]-PA[[#This Row],[Fault Time]])*24,"")</f>
        <v>10.033333333333335</v>
      </c>
      <c r="AH95" s="36" t="s">
        <v>330</v>
      </c>
      <c r="AI95" s="33" t="s">
        <v>298</v>
      </c>
      <c r="AJ95" s="35">
        <f ca="1">IFERROR(PA[[#This Row],[Breakdown Time]]*PA[[#This Row],[Plant Equivalent Weightage]],"")</f>
        <v>4.0813993028989207E-3</v>
      </c>
      <c r="AK95" s="36">
        <v>3.6083676666666666</v>
      </c>
      <c r="AL95" s="51">
        <f>IFERROR((_xlfn.XLOOKUP($G95,'Modelling New'!D:D,'Modelling New'!$O:$O)*PA[[#This Row],[Lost PoA(kWh/m2)]]*PA[[#This Row],[DC Capacity Affected (kW)]]),"")</f>
        <v>36.805783606472318</v>
      </c>
      <c r="AM95" s="33"/>
      <c r="AN95" s="33"/>
      <c r="AO95" s="33"/>
      <c r="AP95" s="33"/>
    </row>
    <row r="96" spans="1:42">
      <c r="A96" s="30">
        <v>95</v>
      </c>
      <c r="B96" s="31">
        <v>45801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219</v>
      </c>
      <c r="F96" s="33" t="s">
        <v>219</v>
      </c>
      <c r="G96" s="196">
        <f>PA[[#This Row],[Date]]-DAY(PA[[#This Row],[Date]])+1</f>
        <v>45778</v>
      </c>
      <c r="H96" s="32">
        <f>DAY(EOMONTH(PA[[#This Row],[Month Year]],0))</f>
        <v>31</v>
      </c>
      <c r="I96" s="122">
        <v>0.26319444444444445</v>
      </c>
      <c r="J96" s="122">
        <v>0.73611111111111116</v>
      </c>
      <c r="K96" s="35">
        <f>IFERROR((PA[[#This Row],[Sunset Time (POA&lt;20 W/m2)]]-PA[[#This Row],[Sunrise Time (POA&gt;20 W/m2)]])*24,"")</f>
        <v>11.350000000000001</v>
      </c>
      <c r="L96" s="33" t="s">
        <v>300</v>
      </c>
      <c r="M96" s="33" t="s">
        <v>294</v>
      </c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6" s="35">
        <f>IFERROR(_xlfn.XLOOKUP(PA[[#This Row],[Affected Equipment ]],'Basic Data'!N:N,'Basic Data'!Q:Q),"")</f>
        <v>4662.4750000000004</v>
      </c>
      <c r="V96" s="39">
        <f ca="1">IFERROR(_xlfn.XLOOKUP(PA[[#This Row],[Affected Equipment ]],'Basic Data'!N:N,'Basic Data'!R:R),"")</f>
        <v>0.11891035450140271</v>
      </c>
      <c r="W96" s="36" t="s">
        <v>304</v>
      </c>
      <c r="X96" s="40"/>
      <c r="Y96" s="40" t="s">
        <v>341</v>
      </c>
      <c r="Z96" s="46">
        <v>0.32916666666666666</v>
      </c>
      <c r="AA96" s="46">
        <v>0.32916666666666666</v>
      </c>
      <c r="AB96" s="46">
        <v>0.32916666666666666</v>
      </c>
      <c r="AC96" s="46">
        <v>0.35208333333333336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0.55000000000000071</v>
      </c>
      <c r="AG96" s="44">
        <f>IFERROR((PA[[#This Row],[Work Completion time on fault]]-PA[[#This Row],[Fault Time]])*24,"")</f>
        <v>0.55000000000000071</v>
      </c>
      <c r="AH96" s="348" t="s">
        <v>312</v>
      </c>
      <c r="AI96" s="33" t="s">
        <v>298</v>
      </c>
      <c r="AJ96" s="35">
        <f ca="1">IFERROR(PA[[#This Row],[Breakdown Time]]*PA[[#This Row],[Plant Equivalent Weightage]],"")</f>
        <v>6.540069497577157E-2</v>
      </c>
      <c r="AK96" s="36">
        <v>7.8117851666666668E-2</v>
      </c>
      <c r="AL96" s="51">
        <f>IFERROR((_xlfn.XLOOKUP($G96,'Modelling New'!D:D,'Modelling New'!$O:$O)*PA[[#This Row],[Lost PoA(kWh/m2)]]*PA[[#This Row],[DC Capacity Affected (kW)]]),"")</f>
        <v>232.92248011923147</v>
      </c>
      <c r="AM96" s="33"/>
      <c r="AN96" s="33"/>
      <c r="AO96" s="33"/>
      <c r="AP96" s="33"/>
    </row>
    <row r="97" spans="1:42" ht="15" customHeight="1">
      <c r="A97" s="30">
        <v>96</v>
      </c>
      <c r="B97" s="31">
        <v>45801</v>
      </c>
      <c r="C97" s="334">
        <f>YEAR(PA[[#This Row],[Date]])+IF(MONTH(PA[[#This Row],[Date]])&gt;=4,1,0)</f>
        <v>2026</v>
      </c>
      <c r="D97" s="334">
        <f>YEAR(PA[[#This Row],[Date]])</f>
        <v>2025</v>
      </c>
      <c r="E97" s="335" t="s">
        <v>219</v>
      </c>
      <c r="F97" s="335" t="s">
        <v>219</v>
      </c>
      <c r="G97" s="336">
        <f>PA[[#This Row],[Date]]-DAY(PA[[#This Row],[Date]])+1</f>
        <v>45778</v>
      </c>
      <c r="H97" s="334">
        <f>DAY(EOMONTH(PA[[#This Row],[Month Year]],0))</f>
        <v>31</v>
      </c>
      <c r="I97" s="122">
        <v>0.26319444444444445</v>
      </c>
      <c r="J97" s="122">
        <v>0.73611111111111116</v>
      </c>
      <c r="K97" s="337">
        <f>IFERROR((PA[[#This Row],[Sunset Time (POA&lt;20 W/m2)]]-PA[[#This Row],[Sunrise Time (POA&gt;20 W/m2)]])*24,"")</f>
        <v>11.350000000000001</v>
      </c>
      <c r="L97" s="335" t="s">
        <v>300</v>
      </c>
      <c r="M97" s="335" t="s">
        <v>294</v>
      </c>
      <c r="N97" s="335"/>
      <c r="O97" s="338"/>
      <c r="P97" s="338"/>
      <c r="Q97" s="335"/>
      <c r="R97" s="334">
        <f>IF((PA[[#This Row],[String Type(If String BD)]]&amp;PA[[#This Row],[Equipment (If any BD other than PV  array and inv)]])="",1,0)</f>
        <v>1</v>
      </c>
      <c r="S97" s="334">
        <f>IF(PA[[#This Row],[String Type(If String BD)]]="",1,0)</f>
        <v>1</v>
      </c>
      <c r="T97" s="33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7" s="337">
        <f>IFERROR(_xlfn.XLOOKUP(PA[[#This Row],[Affected Equipment ]],'Basic Data'!N:N,'Basic Data'!Q:Q),"")</f>
        <v>4662.4750000000004</v>
      </c>
      <c r="V97" s="339">
        <f ca="1">IFERROR(_xlfn.XLOOKUP(PA[[#This Row],[Affected Equipment ]],'Basic Data'!N:N,'Basic Data'!R:R),"")</f>
        <v>0.11891035450140271</v>
      </c>
      <c r="W97" s="338" t="s">
        <v>304</v>
      </c>
      <c r="X97" s="340"/>
      <c r="Y97" s="40" t="s">
        <v>341</v>
      </c>
      <c r="Z97" s="46">
        <v>0.36875000000000002</v>
      </c>
      <c r="AA97" s="46">
        <v>0.36875000000000002</v>
      </c>
      <c r="AB97" s="46">
        <v>0.36875000000000002</v>
      </c>
      <c r="AC97" s="46">
        <v>0.37986111111111109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0.26666666666666572</v>
      </c>
      <c r="AG97" s="44">
        <f>IFERROR((PA[[#This Row],[Work Completion time on fault]]-PA[[#This Row],[Fault Time]])*24,"")</f>
        <v>0.26666666666666572</v>
      </c>
      <c r="AH97" s="348" t="s">
        <v>312</v>
      </c>
      <c r="AI97" s="33" t="s">
        <v>298</v>
      </c>
      <c r="AJ97" s="337">
        <f ca="1">IFERROR(PA[[#This Row],[Breakdown Time]]*PA[[#This Row],[Plant Equivalent Weightage]],"")</f>
        <v>3.1709427867040611E-2</v>
      </c>
      <c r="AK97" s="338">
        <v>7.1734646666666665E-2</v>
      </c>
      <c r="AL97" s="341">
        <f>IFERROR((_xlfn.XLOOKUP($G97,'Modelling New'!D:D,'Modelling New'!$O:$O)*PA[[#This Row],[Lost PoA(kWh/m2)]]*PA[[#This Row],[DC Capacity Affected (kW)]]),"")</f>
        <v>213.88980182626324</v>
      </c>
      <c r="AM97" s="33"/>
      <c r="AN97" s="33"/>
      <c r="AO97" s="33"/>
      <c r="AP97" s="33"/>
    </row>
    <row r="98" spans="1:42">
      <c r="A98" s="30">
        <v>97</v>
      </c>
      <c r="B98" s="31">
        <v>45801</v>
      </c>
      <c r="C98" s="32">
        <f>YEAR(PA[[#This Row],[Date]])+IF(MONTH(PA[[#This Row],[Date]])&gt;=4,1,0)</f>
        <v>2026</v>
      </c>
      <c r="D98" s="32">
        <f>YEAR(PA[[#This Row],[Date]])</f>
        <v>2025</v>
      </c>
      <c r="E98" s="33" t="s">
        <v>219</v>
      </c>
      <c r="F98" s="33" t="s">
        <v>219</v>
      </c>
      <c r="G98" s="196">
        <f>PA[[#This Row],[Date]]-DAY(PA[[#This Row],[Date]])+1</f>
        <v>45778</v>
      </c>
      <c r="H98" s="32">
        <f>DAY(EOMONTH(PA[[#This Row],[Month Year]],0))</f>
        <v>31</v>
      </c>
      <c r="I98" s="122">
        <v>0.26319444444444445</v>
      </c>
      <c r="J98" s="122">
        <v>0.73611111111111116</v>
      </c>
      <c r="K98" s="35">
        <f>IFERROR((PA[[#This Row],[Sunset Time (POA&lt;20 W/m2)]]-PA[[#This Row],[Sunrise Time (POA&gt;20 W/m2)]])*24,"")</f>
        <v>11.350000000000001</v>
      </c>
      <c r="L98" s="33" t="s">
        <v>300</v>
      </c>
      <c r="M98" s="33" t="s">
        <v>294</v>
      </c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8" s="35">
        <f>IFERROR(_xlfn.XLOOKUP(PA[[#This Row],[Affected Equipment ]],'Basic Data'!N:N,'Basic Data'!Q:Q),"")</f>
        <v>4662.4750000000004</v>
      </c>
      <c r="V98" s="39">
        <f ca="1">IFERROR(_xlfn.XLOOKUP(PA[[#This Row],[Affected Equipment ]],'Basic Data'!N:N,'Basic Data'!R:R),"")</f>
        <v>0.11891035450140271</v>
      </c>
      <c r="W98" s="36" t="s">
        <v>304</v>
      </c>
      <c r="X98" s="40"/>
      <c r="Y98" s="40" t="s">
        <v>341</v>
      </c>
      <c r="Z98" s="46">
        <v>0.41041666666666665</v>
      </c>
      <c r="AA98" s="46">
        <v>0.41041666666666665</v>
      </c>
      <c r="AB98" s="46">
        <v>0.41041666666666665</v>
      </c>
      <c r="AC98" s="46">
        <v>0.42083333333333334</v>
      </c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0.25000000000000044</v>
      </c>
      <c r="AG98" s="44">
        <f>IFERROR((PA[[#This Row],[Work Completion time on fault]]-PA[[#This Row],[Fault Time]])*24,"")</f>
        <v>0.25000000000000044</v>
      </c>
      <c r="AH98" s="348" t="s">
        <v>312</v>
      </c>
      <c r="AI98" s="33" t="s">
        <v>298</v>
      </c>
      <c r="AJ98" s="35">
        <f ca="1">IFERROR(PA[[#This Row],[Breakdown Time]]*PA[[#This Row],[Plant Equivalent Weightage]],"")</f>
        <v>2.9727588625350729E-2</v>
      </c>
      <c r="AK98" s="36">
        <v>0.11111287833333335</v>
      </c>
      <c r="AL98" s="51">
        <f>IFERROR((_xlfn.XLOOKUP($G98,'Modelling New'!D:D,'Modelling New'!$O:$O)*PA[[#This Row],[Lost PoA(kWh/m2)]]*PA[[#This Row],[DC Capacity Affected (kW)]]),"")</f>
        <v>331.30310988352301</v>
      </c>
      <c r="AM98" s="33"/>
      <c r="AN98" s="33"/>
      <c r="AO98" s="33"/>
      <c r="AP98" s="33"/>
    </row>
    <row r="99" spans="1:42">
      <c r="A99" s="30">
        <v>98</v>
      </c>
      <c r="B99" s="31">
        <v>45801</v>
      </c>
      <c r="C99" s="32">
        <f>YEAR(PA[[#This Row],[Date]])+IF(MONTH(PA[[#This Row],[Date]])&gt;=4,1,0)</f>
        <v>2026</v>
      </c>
      <c r="D99" s="32">
        <f>YEAR(PA[[#This Row],[Date]])</f>
        <v>2025</v>
      </c>
      <c r="E99" s="33" t="s">
        <v>219</v>
      </c>
      <c r="F99" s="33" t="s">
        <v>219</v>
      </c>
      <c r="G99" s="196">
        <f>PA[[#This Row],[Date]]-DAY(PA[[#This Row],[Date]])+1</f>
        <v>45778</v>
      </c>
      <c r="H99" s="32">
        <f>DAY(EOMONTH(PA[[#This Row],[Month Year]],0))</f>
        <v>31</v>
      </c>
      <c r="I99" s="122">
        <v>0.26319444444444445</v>
      </c>
      <c r="J99" s="122">
        <v>0.73611111111111116</v>
      </c>
      <c r="K99" s="35">
        <f>IFERROR((PA[[#This Row],[Sunset Time (POA&lt;20 W/m2)]]-PA[[#This Row],[Sunrise Time (POA&gt;20 W/m2)]])*24,"")</f>
        <v>11.350000000000001</v>
      </c>
      <c r="L99" s="33" t="s">
        <v>300</v>
      </c>
      <c r="M99" s="33" t="s">
        <v>299</v>
      </c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9" s="35">
        <f>IFERROR(_xlfn.XLOOKUP(PA[[#This Row],[Affected Equipment ]],'Basic Data'!N:N,'Basic Data'!Q:Q),"")</f>
        <v>4662.4750000000004</v>
      </c>
      <c r="V99" s="39">
        <f ca="1">IFERROR(_xlfn.XLOOKUP(PA[[#This Row],[Affected Equipment ]],'Basic Data'!N:N,'Basic Data'!R:R),"")</f>
        <v>0.11891035450140271</v>
      </c>
      <c r="W99" s="36" t="s">
        <v>304</v>
      </c>
      <c r="X99" s="40"/>
      <c r="Y99" s="40" t="s">
        <v>343</v>
      </c>
      <c r="Z99" s="46">
        <v>0.41666666666666669</v>
      </c>
      <c r="AA99" s="46">
        <v>0.41666666666666669</v>
      </c>
      <c r="AB99" s="46">
        <v>0.41666666666666669</v>
      </c>
      <c r="AC99" s="46">
        <v>0.42152777777777778</v>
      </c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0.11666666666666625</v>
      </c>
      <c r="AG99" s="44">
        <f>IFERROR((PA[[#This Row],[Work Completion time on fault]]-PA[[#This Row],[Fault Time]])*24,"")</f>
        <v>0.11666666666666625</v>
      </c>
      <c r="AH99" s="348" t="s">
        <v>312</v>
      </c>
      <c r="AI99" s="33" t="s">
        <v>298</v>
      </c>
      <c r="AJ99" s="35">
        <f ca="1">IFERROR(PA[[#This Row],[Breakdown Time]]*PA[[#This Row],[Plant Equivalent Weightage]],"")</f>
        <v>1.3872874691830267E-2</v>
      </c>
      <c r="AK99" s="36">
        <v>5.8793221666666666E-2</v>
      </c>
      <c r="AL99" s="51">
        <f>IFERROR((_xlfn.XLOOKUP($G99,'Modelling New'!D:D,'Modelling New'!$O:$O)*PA[[#This Row],[Lost PoA(kWh/m2)]]*PA[[#This Row],[DC Capacity Affected (kW)]]),"")</f>
        <v>175.30260641618688</v>
      </c>
      <c r="AM99" s="33"/>
      <c r="AN99" s="33"/>
      <c r="AO99" s="33"/>
      <c r="AP99" s="33"/>
    </row>
    <row r="100" spans="1:42">
      <c r="A100" s="30">
        <v>99</v>
      </c>
      <c r="B100" s="31">
        <v>45801</v>
      </c>
      <c r="C100" s="32">
        <f>YEAR(PA[[#This Row],[Date]])+IF(MONTH(PA[[#This Row],[Date]])&gt;=4,1,0)</f>
        <v>2026</v>
      </c>
      <c r="D100" s="32">
        <f>YEAR(PA[[#This Row],[Date]])</f>
        <v>2025</v>
      </c>
      <c r="E100" s="33" t="s">
        <v>219</v>
      </c>
      <c r="F100" s="33" t="s">
        <v>219</v>
      </c>
      <c r="G100" s="196">
        <f>PA[[#This Row],[Date]]-DAY(PA[[#This Row],[Date]])+1</f>
        <v>45778</v>
      </c>
      <c r="H100" s="32">
        <f>DAY(EOMONTH(PA[[#This Row],[Month Year]],0))</f>
        <v>31</v>
      </c>
      <c r="I100" s="122">
        <v>0.26319444444444445</v>
      </c>
      <c r="J100" s="122">
        <v>0.73611111111111116</v>
      </c>
      <c r="K100" s="35">
        <f>IFERROR((PA[[#This Row],[Sunset Time (POA&lt;20 W/m2)]]-PA[[#This Row],[Sunrise Time (POA&gt;20 W/m2)]])*24,"")</f>
        <v>11.350000000000001</v>
      </c>
      <c r="L100" s="33" t="s">
        <v>300</v>
      </c>
      <c r="M100" s="33" t="s">
        <v>294</v>
      </c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00" s="35">
        <f>IFERROR(_xlfn.XLOOKUP(PA[[#This Row],[Affected Equipment ]],'Basic Data'!N:N,'Basic Data'!Q:Q),"")</f>
        <v>4662.4750000000004</v>
      </c>
      <c r="V100" s="39">
        <f ca="1">IFERROR(_xlfn.XLOOKUP(PA[[#This Row],[Affected Equipment ]],'Basic Data'!N:N,'Basic Data'!R:R),"")</f>
        <v>0.11891035450140271</v>
      </c>
      <c r="W100" s="36" t="s">
        <v>345</v>
      </c>
      <c r="X100" s="40"/>
      <c r="Y100" s="40" t="s">
        <v>346</v>
      </c>
      <c r="Z100" s="46">
        <v>0.54374999999999996</v>
      </c>
      <c r="AA100" s="46">
        <v>0.54374999999999996</v>
      </c>
      <c r="AB100" s="46">
        <v>0.54374999999999996</v>
      </c>
      <c r="AC100" s="46">
        <v>0.56874999999999998</v>
      </c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0.60000000000000053</v>
      </c>
      <c r="AG100" s="44">
        <f>IFERROR((PA[[#This Row],[Work Completion time on fault]]-PA[[#This Row],[Fault Time]])*24,"")</f>
        <v>0.60000000000000053</v>
      </c>
      <c r="AH100" s="348" t="s">
        <v>347</v>
      </c>
      <c r="AI100" s="33" t="s">
        <v>298</v>
      </c>
      <c r="AJ100" s="35">
        <f ca="1">IFERROR(PA[[#This Row],[Breakdown Time]]*PA[[#This Row],[Plant Equivalent Weightage]],"")</f>
        <v>7.1346212700841682E-2</v>
      </c>
      <c r="AK100" s="36">
        <v>0.37614667166666665</v>
      </c>
      <c r="AL100" s="51">
        <f>IFERROR((_xlfn.XLOOKUP($G100,'Modelling New'!D:D,'Modelling New'!$O:$O)*PA[[#This Row],[Lost PoA(kWh/m2)]]*PA[[#This Row],[DC Capacity Affected (kW)]]),"")</f>
        <v>1121.5492206191741</v>
      </c>
      <c r="AM100" s="33"/>
      <c r="AN100" s="33"/>
      <c r="AO100" s="33"/>
      <c r="AP100" s="33"/>
    </row>
    <row r="101" spans="1:42">
      <c r="A101" s="30">
        <v>100</v>
      </c>
      <c r="B101" s="31">
        <v>45801</v>
      </c>
      <c r="C101" s="32">
        <f>YEAR(PA[[#This Row],[Date]])+IF(MONTH(PA[[#This Row],[Date]])&gt;=4,1,0)</f>
        <v>2026</v>
      </c>
      <c r="D101" s="32">
        <f>YEAR(PA[[#This Row],[Date]])</f>
        <v>2025</v>
      </c>
      <c r="E101" s="33" t="s">
        <v>219</v>
      </c>
      <c r="F101" s="33" t="s">
        <v>219</v>
      </c>
      <c r="G101" s="196">
        <f>PA[[#This Row],[Date]]-DAY(PA[[#This Row],[Date]])+1</f>
        <v>45778</v>
      </c>
      <c r="H101" s="32">
        <f>DAY(EOMONTH(PA[[#This Row],[Month Year]],0))</f>
        <v>31</v>
      </c>
      <c r="I101" s="122">
        <v>0.26319444444444445</v>
      </c>
      <c r="J101" s="122">
        <v>0.73611111111111116</v>
      </c>
      <c r="K101" s="35">
        <f>IFERROR((PA[[#This Row],[Sunset Time (POA&lt;20 W/m2)]]-PA[[#This Row],[Sunrise Time (POA&gt;20 W/m2)]])*24,"")</f>
        <v>11.350000000000001</v>
      </c>
      <c r="L101" s="33" t="s">
        <v>300</v>
      </c>
      <c r="M101" s="33" t="s">
        <v>299</v>
      </c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01" s="35">
        <f>IFERROR(_xlfn.XLOOKUP(PA[[#This Row],[Affected Equipment ]],'Basic Data'!N:N,'Basic Data'!Q:Q),"")</f>
        <v>4662.4750000000004</v>
      </c>
      <c r="V101" s="39">
        <f ca="1">IFERROR(_xlfn.XLOOKUP(PA[[#This Row],[Affected Equipment ]],'Basic Data'!N:N,'Basic Data'!R:R),"")</f>
        <v>0.11891035450140271</v>
      </c>
      <c r="W101" s="36" t="s">
        <v>345</v>
      </c>
      <c r="X101" s="40"/>
      <c r="Y101" s="40" t="s">
        <v>346</v>
      </c>
      <c r="Z101" s="46">
        <v>0.54374999999999996</v>
      </c>
      <c r="AA101" s="46">
        <v>0.54374999999999996</v>
      </c>
      <c r="AB101" s="46">
        <v>0.54374999999999996</v>
      </c>
      <c r="AC101" s="46">
        <v>0.56874999999999998</v>
      </c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0.60000000000000053</v>
      </c>
      <c r="AG101" s="44">
        <f>IFERROR((PA[[#This Row],[Work Completion time on fault]]-PA[[#This Row],[Fault Time]])*24,"")</f>
        <v>0.60000000000000053</v>
      </c>
      <c r="AH101" s="348" t="s">
        <v>347</v>
      </c>
      <c r="AI101" s="33" t="s">
        <v>298</v>
      </c>
      <c r="AJ101" s="35">
        <f ca="1">IFERROR(PA[[#This Row],[Breakdown Time]]*PA[[#This Row],[Plant Equivalent Weightage]],"")</f>
        <v>7.1346212700841682E-2</v>
      </c>
      <c r="AK101" s="36">
        <v>0.37614667166666665</v>
      </c>
      <c r="AL101" s="51">
        <f>IFERROR((_xlfn.XLOOKUP($G101,'Modelling New'!D:D,'Modelling New'!$O:$O)*PA[[#This Row],[Lost PoA(kWh/m2)]]*PA[[#This Row],[DC Capacity Affected (kW)]]),"")</f>
        <v>1121.5492206191741</v>
      </c>
      <c r="AM101" s="33"/>
      <c r="AN101" s="33"/>
      <c r="AO101" s="33"/>
      <c r="AP101" s="33"/>
    </row>
    <row r="102" spans="1:42">
      <c r="A102" s="30">
        <v>101</v>
      </c>
      <c r="B102" s="31">
        <v>45801</v>
      </c>
      <c r="C102" s="32">
        <f>YEAR(PA[[#This Row],[Date]])+IF(MONTH(PA[[#This Row],[Date]])&gt;=4,1,0)</f>
        <v>2026</v>
      </c>
      <c r="D102" s="32">
        <f>YEAR(PA[[#This Row],[Date]])</f>
        <v>2025</v>
      </c>
      <c r="E102" s="33" t="s">
        <v>219</v>
      </c>
      <c r="F102" s="33" t="s">
        <v>219</v>
      </c>
      <c r="G102" s="196">
        <f>PA[[#This Row],[Date]]-DAY(PA[[#This Row],[Date]])+1</f>
        <v>45778</v>
      </c>
      <c r="H102" s="32">
        <f>DAY(EOMONTH(PA[[#This Row],[Month Year]],0))</f>
        <v>31</v>
      </c>
      <c r="I102" s="122">
        <v>0.26319444444444445</v>
      </c>
      <c r="J102" s="122">
        <v>0.73611111111111116</v>
      </c>
      <c r="K102" s="35">
        <f>IFERROR((PA[[#This Row],[Sunset Time (POA&lt;20 W/m2)]]-PA[[#This Row],[Sunrise Time (POA&gt;20 W/m2)]])*24,"")</f>
        <v>11.350000000000001</v>
      </c>
      <c r="L102" s="33" t="s">
        <v>293</v>
      </c>
      <c r="M102" s="33" t="s">
        <v>294</v>
      </c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02" s="35">
        <f>IFERROR(_xlfn.XLOOKUP(PA[[#This Row],[Affected Equipment ]],'Basic Data'!N:N,'Basic Data'!Q:Q),"")</f>
        <v>6511.66</v>
      </c>
      <c r="V102" s="39">
        <f ca="1">IFERROR(_xlfn.XLOOKUP(PA[[#This Row],[Affected Equipment ]],'Basic Data'!N:N,'Basic Data'!R:R),"")</f>
        <v>0.1660714103545014</v>
      </c>
      <c r="W102" s="36" t="s">
        <v>345</v>
      </c>
      <c r="X102" s="40"/>
      <c r="Y102" s="40" t="s">
        <v>346</v>
      </c>
      <c r="Z102" s="46">
        <v>0.54374999999999996</v>
      </c>
      <c r="AA102" s="46">
        <v>0.54374999999999996</v>
      </c>
      <c r="AB102" s="46">
        <v>0.54374999999999996</v>
      </c>
      <c r="AC102" s="46">
        <v>0.57777777777777772</v>
      </c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0.81666666666666643</v>
      </c>
      <c r="AG102" s="44">
        <f>IFERROR((PA[[#This Row],[Work Completion time on fault]]-PA[[#This Row],[Fault Time]])*24,"")</f>
        <v>0.81666666666666643</v>
      </c>
      <c r="AH102" s="348" t="s">
        <v>347</v>
      </c>
      <c r="AI102" s="33" t="s">
        <v>298</v>
      </c>
      <c r="AJ102" s="35">
        <f ca="1">IFERROR(PA[[#This Row],[Breakdown Time]]*PA[[#This Row],[Plant Equivalent Weightage]],"")</f>
        <v>0.13562498512284277</v>
      </c>
      <c r="AK102" s="36">
        <v>0.42638682999999999</v>
      </c>
      <c r="AL102" s="51">
        <f>IFERROR((_xlfn.XLOOKUP($G102,'Modelling New'!D:D,'Modelling New'!$O:$O)*PA[[#This Row],[Lost PoA(kWh/m2)]]*PA[[#This Row],[DC Capacity Affected (kW)]]),"")</f>
        <v>1775.5793953220361</v>
      </c>
      <c r="AM102" s="33"/>
      <c r="AN102" s="33"/>
      <c r="AO102" s="33"/>
      <c r="AP102" s="33"/>
    </row>
    <row r="103" spans="1:42">
      <c r="A103" s="30">
        <v>102</v>
      </c>
      <c r="B103" s="31">
        <v>45801</v>
      </c>
      <c r="C103" s="32">
        <f>YEAR(PA[[#This Row],[Date]])+IF(MONTH(PA[[#This Row],[Date]])&gt;=4,1,0)</f>
        <v>2026</v>
      </c>
      <c r="D103" s="32">
        <f>YEAR(PA[[#This Row],[Date]])</f>
        <v>2025</v>
      </c>
      <c r="E103" s="33" t="s">
        <v>219</v>
      </c>
      <c r="F103" s="33" t="s">
        <v>219</v>
      </c>
      <c r="G103" s="196">
        <f>PA[[#This Row],[Date]]-DAY(PA[[#This Row],[Date]])+1</f>
        <v>45778</v>
      </c>
      <c r="H103" s="32">
        <f>DAY(EOMONTH(PA[[#This Row],[Month Year]],0))</f>
        <v>31</v>
      </c>
      <c r="I103" s="122">
        <v>0.26319444444444445</v>
      </c>
      <c r="J103" s="122">
        <v>0.73611111111111116</v>
      </c>
      <c r="K103" s="35">
        <f>IFERROR((PA[[#This Row],[Sunset Time (POA&lt;20 W/m2)]]-PA[[#This Row],[Sunrise Time (POA&gt;20 W/m2)]])*24,"")</f>
        <v>11.350000000000001</v>
      </c>
      <c r="L103" s="33" t="s">
        <v>293</v>
      </c>
      <c r="M103" s="33" t="s">
        <v>299</v>
      </c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03" s="35">
        <f>IFERROR(_xlfn.XLOOKUP(PA[[#This Row],[Affected Equipment ]],'Basic Data'!N:N,'Basic Data'!Q:Q),"")</f>
        <v>6495.8549999999996</v>
      </c>
      <c r="V103" s="39">
        <f ca="1">IFERROR(_xlfn.XLOOKUP(PA[[#This Row],[Affected Equipment ]],'Basic Data'!N:N,'Basic Data'!R:R),"")</f>
        <v>0.16566832440703902</v>
      </c>
      <c r="W103" s="36" t="s">
        <v>345</v>
      </c>
      <c r="X103" s="40"/>
      <c r="Y103" s="40" t="s">
        <v>346</v>
      </c>
      <c r="Z103" s="46">
        <v>0.54374999999999996</v>
      </c>
      <c r="AA103" s="46">
        <v>0.54374999999999996</v>
      </c>
      <c r="AB103" s="46">
        <v>0.54374999999999996</v>
      </c>
      <c r="AC103" s="46">
        <v>0.57777777777777772</v>
      </c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0.81666666666666643</v>
      </c>
      <c r="AG103" s="44">
        <f>IFERROR((PA[[#This Row],[Work Completion time on fault]]-PA[[#This Row],[Fault Time]])*24,"")</f>
        <v>0.81666666666666643</v>
      </c>
      <c r="AH103" s="348" t="s">
        <v>347</v>
      </c>
      <c r="AI103" s="33" t="s">
        <v>298</v>
      </c>
      <c r="AJ103" s="35">
        <f ca="1">IFERROR(PA[[#This Row],[Breakdown Time]]*PA[[#This Row],[Plant Equivalent Weightage]],"")</f>
        <v>0.1352957982657485</v>
      </c>
      <c r="AK103" s="36">
        <v>0.42638682999999999</v>
      </c>
      <c r="AL103" s="51">
        <f>IFERROR((_xlfn.XLOOKUP($G103,'Modelling New'!D:D,'Modelling New'!$O:$O)*PA[[#This Row],[Lost PoA(kWh/m2)]]*PA[[#This Row],[DC Capacity Affected (kW)]]),"")</f>
        <v>1771.2697365955264</v>
      </c>
      <c r="AM103" s="33"/>
      <c r="AN103" s="33"/>
      <c r="AO103" s="33"/>
      <c r="AP103" s="33"/>
    </row>
    <row r="104" spans="1:42">
      <c r="A104" s="30">
        <v>103</v>
      </c>
      <c r="B104" s="31">
        <v>45801</v>
      </c>
      <c r="C104" s="32">
        <f>YEAR(PA[[#This Row],[Date]])+IF(MONTH(PA[[#This Row],[Date]])&gt;=4,1,0)</f>
        <v>2026</v>
      </c>
      <c r="D104" s="32">
        <f>YEAR(PA[[#This Row],[Date]])</f>
        <v>2025</v>
      </c>
      <c r="E104" s="33" t="s">
        <v>219</v>
      </c>
      <c r="F104" s="33" t="s">
        <v>219</v>
      </c>
      <c r="G104" s="196">
        <f>PA[[#This Row],[Date]]-DAY(PA[[#This Row],[Date]])+1</f>
        <v>45778</v>
      </c>
      <c r="H104" s="32">
        <f>DAY(EOMONTH(PA[[#This Row],[Month Year]],0))</f>
        <v>31</v>
      </c>
      <c r="I104" s="122">
        <v>0.26319444444444445</v>
      </c>
      <c r="J104" s="122">
        <v>0.73611111111111116</v>
      </c>
      <c r="K104" s="35">
        <f>IFERROR((PA[[#This Row],[Sunset Time (POA&lt;20 W/m2)]]-PA[[#This Row],[Sunrise Time (POA&gt;20 W/m2)]])*24,"")</f>
        <v>11.350000000000001</v>
      </c>
      <c r="L104" s="33" t="s">
        <v>302</v>
      </c>
      <c r="M104" s="33" t="s">
        <v>294</v>
      </c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4" s="35">
        <f>IFERROR(_xlfn.XLOOKUP(PA[[#This Row],[Affected Equipment ]],'Basic Data'!N:N,'Basic Data'!Q:Q),"")</f>
        <v>6527.4649999999992</v>
      </c>
      <c r="V104" s="39">
        <f ca="1">IFERROR(_xlfn.XLOOKUP(PA[[#This Row],[Affected Equipment ]],'Basic Data'!N:N,'Basic Data'!R:R),"")</f>
        <v>0.16647449630196376</v>
      </c>
      <c r="W104" s="36" t="s">
        <v>345</v>
      </c>
      <c r="X104" s="40"/>
      <c r="Y104" s="40" t="s">
        <v>346</v>
      </c>
      <c r="Z104" s="46">
        <v>0.54374999999999996</v>
      </c>
      <c r="AA104" s="46">
        <v>0.54374999999999996</v>
      </c>
      <c r="AB104" s="46">
        <v>0.54374999999999996</v>
      </c>
      <c r="AC104" s="46">
        <v>0.5756944444444444</v>
      </c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0.76666666666666661</v>
      </c>
      <c r="AG104" s="44">
        <f>IFERROR((PA[[#This Row],[Work Completion time on fault]]-PA[[#This Row],[Fault Time]])*24,"")</f>
        <v>0.76666666666666661</v>
      </c>
      <c r="AH104" s="348" t="s">
        <v>347</v>
      </c>
      <c r="AI104" s="33" t="s">
        <v>298</v>
      </c>
      <c r="AJ104" s="35">
        <f ca="1">IFERROR(PA[[#This Row],[Breakdown Time]]*PA[[#This Row],[Plant Equivalent Weightage]],"")</f>
        <v>0.12763044716483887</v>
      </c>
      <c r="AK104" s="36">
        <v>0.41501597666666667</v>
      </c>
      <c r="AL104" s="51">
        <f>IFERROR((_xlfn.XLOOKUP($G104,'Modelling New'!D:D,'Modelling New'!$O:$O)*PA[[#This Row],[Lost PoA(kWh/m2)]]*PA[[#This Row],[DC Capacity Affected (kW)]]),"")</f>
        <v>1732.423100695363</v>
      </c>
      <c r="AM104" s="33"/>
      <c r="AN104" s="33"/>
      <c r="AO104" s="33"/>
      <c r="AP104" s="33"/>
    </row>
    <row r="105" spans="1:42">
      <c r="A105" s="30">
        <v>104</v>
      </c>
      <c r="B105" s="31">
        <v>45801</v>
      </c>
      <c r="C105" s="32">
        <f>YEAR(PA[[#This Row],[Date]])+IF(MONTH(PA[[#This Row],[Date]])&gt;=4,1,0)</f>
        <v>2026</v>
      </c>
      <c r="D105" s="32">
        <f>YEAR(PA[[#This Row],[Date]])</f>
        <v>2025</v>
      </c>
      <c r="E105" s="33" t="s">
        <v>219</v>
      </c>
      <c r="F105" s="33" t="s">
        <v>219</v>
      </c>
      <c r="G105" s="196">
        <f>PA[[#This Row],[Date]]-DAY(PA[[#This Row],[Date]])+1</f>
        <v>45778</v>
      </c>
      <c r="H105" s="32">
        <f>DAY(EOMONTH(PA[[#This Row],[Month Year]],0))</f>
        <v>31</v>
      </c>
      <c r="I105" s="122">
        <v>0.26319444444444445</v>
      </c>
      <c r="J105" s="122">
        <v>0.73611111111111116</v>
      </c>
      <c r="K105" s="35">
        <f>IFERROR((PA[[#This Row],[Sunset Time (POA&lt;20 W/m2)]]-PA[[#This Row],[Sunrise Time (POA&gt;20 W/m2)]])*24,"")</f>
        <v>11.350000000000001</v>
      </c>
      <c r="L105" s="33" t="s">
        <v>303</v>
      </c>
      <c r="M105" s="33" t="s">
        <v>294</v>
      </c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5" s="35">
        <f>IFERROR(_xlfn.XLOOKUP(PA[[#This Row],[Affected Equipment ]],'Basic Data'!N:N,'Basic Data'!Q:Q),"")</f>
        <v>5104</v>
      </c>
      <c r="V105" s="39">
        <f ca="1">IFERROR(_xlfn.XLOOKUP(PA[[#This Row],[Affected Equipment ]],'Basic Data'!N:N,'Basic Data'!R:R),"")</f>
        <v>0.13017087477684264</v>
      </c>
      <c r="W105" s="36" t="s">
        <v>345</v>
      </c>
      <c r="X105" s="40"/>
      <c r="Y105" s="40" t="s">
        <v>346</v>
      </c>
      <c r="Z105" s="46">
        <v>0.54374999999999996</v>
      </c>
      <c r="AA105" s="46">
        <v>0.54374999999999996</v>
      </c>
      <c r="AB105" s="46">
        <v>0.54374999999999996</v>
      </c>
      <c r="AC105" s="46">
        <v>0.56597222222222221</v>
      </c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0.5333333333333341</v>
      </c>
      <c r="AG105" s="44">
        <f>IFERROR((PA[[#This Row],[Work Completion time on fault]]-PA[[#This Row],[Fault Time]])*24,"")</f>
        <v>0.5333333333333341</v>
      </c>
      <c r="AH105" s="348" t="s">
        <v>347</v>
      </c>
      <c r="AI105" s="33" t="s">
        <v>298</v>
      </c>
      <c r="AJ105" s="35">
        <f ca="1">IFERROR(PA[[#This Row],[Breakdown Time]]*PA[[#This Row],[Plant Equivalent Weightage]],"")</f>
        <v>6.9424466547649513E-2</v>
      </c>
      <c r="AK105" s="36">
        <v>0.35819696666666667</v>
      </c>
      <c r="AL105" s="51">
        <f>IFERROR((_xlfn.XLOOKUP($G105,'Modelling New'!D:D,'Modelling New'!$O:$O)*PA[[#This Row],[Lost PoA(kWh/m2)]]*PA[[#This Row],[DC Capacity Affected (kW)]]),"")</f>
        <v>1169.1686667446018</v>
      </c>
      <c r="AM105" s="33"/>
      <c r="AN105" s="33"/>
      <c r="AO105" s="33"/>
      <c r="AP105" s="33"/>
    </row>
    <row r="106" spans="1:42">
      <c r="A106" s="30">
        <v>105</v>
      </c>
      <c r="B106" s="31">
        <v>45801</v>
      </c>
      <c r="C106" s="32">
        <f>YEAR(PA[[#This Row],[Date]])+IF(MONTH(PA[[#This Row],[Date]])&gt;=4,1,0)</f>
        <v>2026</v>
      </c>
      <c r="D106" s="32">
        <f>YEAR(PA[[#This Row],[Date]])</f>
        <v>2025</v>
      </c>
      <c r="E106" s="33" t="s">
        <v>219</v>
      </c>
      <c r="F106" s="33" t="s">
        <v>219</v>
      </c>
      <c r="G106" s="196">
        <f>PA[[#This Row],[Date]]-DAY(PA[[#This Row],[Date]])+1</f>
        <v>45778</v>
      </c>
      <c r="H106" s="32">
        <f>DAY(EOMONTH(PA[[#This Row],[Month Year]],0))</f>
        <v>31</v>
      </c>
      <c r="I106" s="122">
        <v>0.26319444444444445</v>
      </c>
      <c r="J106" s="122">
        <v>0.73611111111111116</v>
      </c>
      <c r="K106" s="35">
        <f>IFERROR((PA[[#This Row],[Sunset Time (POA&lt;20 W/m2)]]-PA[[#This Row],[Sunrise Time (POA&gt;20 W/m2)]])*24,"")</f>
        <v>11.350000000000001</v>
      </c>
      <c r="L106" s="33" t="s">
        <v>303</v>
      </c>
      <c r="M106" s="33" t="s">
        <v>299</v>
      </c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6" s="35">
        <f>IFERROR(_xlfn.XLOOKUP(PA[[#This Row],[Affected Equipment ]],'Basic Data'!N:N,'Basic Data'!Q:Q),"")</f>
        <v>5104</v>
      </c>
      <c r="V106" s="39">
        <f ca="1">IFERROR(_xlfn.XLOOKUP(PA[[#This Row],[Affected Equipment ]],'Basic Data'!N:N,'Basic Data'!R:R),"")</f>
        <v>0.13017087477684264</v>
      </c>
      <c r="W106" s="36" t="s">
        <v>345</v>
      </c>
      <c r="X106" s="40"/>
      <c r="Y106" s="40" t="s">
        <v>346</v>
      </c>
      <c r="Z106" s="46">
        <v>0.54374999999999996</v>
      </c>
      <c r="AA106" s="46">
        <v>0.54374999999999996</v>
      </c>
      <c r="AB106" s="46">
        <v>0.54374999999999996</v>
      </c>
      <c r="AC106" s="46">
        <v>0.56597222222222221</v>
      </c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0.5333333333333341</v>
      </c>
      <c r="AG106" s="44">
        <f>IFERROR((PA[[#This Row],[Work Completion time on fault]]-PA[[#This Row],[Fault Time]])*24,"")</f>
        <v>0.5333333333333341</v>
      </c>
      <c r="AH106" s="348" t="s">
        <v>347</v>
      </c>
      <c r="AI106" s="33" t="s">
        <v>298</v>
      </c>
      <c r="AJ106" s="35">
        <f ca="1">IFERROR(PA[[#This Row],[Breakdown Time]]*PA[[#This Row],[Plant Equivalent Weightage]],"")</f>
        <v>6.9424466547649513E-2</v>
      </c>
      <c r="AK106" s="36">
        <v>0.35819696666666667</v>
      </c>
      <c r="AL106" s="51">
        <f>IFERROR((_xlfn.XLOOKUP($G106,'Modelling New'!D:D,'Modelling New'!$O:$O)*PA[[#This Row],[Lost PoA(kWh/m2)]]*PA[[#This Row],[DC Capacity Affected (kW)]]),"")</f>
        <v>1169.1686667446018</v>
      </c>
      <c r="AM106" s="33"/>
      <c r="AN106" s="33"/>
      <c r="AO106" s="33"/>
      <c r="AP106" s="33"/>
    </row>
    <row r="107" spans="1:42">
      <c r="A107" s="30">
        <v>106</v>
      </c>
      <c r="B107" s="31">
        <v>45802</v>
      </c>
      <c r="C107" s="32">
        <f>YEAR(PA[[#This Row],[Date]])+IF(MONTH(PA[[#This Row],[Date]])&gt;=4,1,0)</f>
        <v>2026</v>
      </c>
      <c r="D107" s="32">
        <f>YEAR(PA[[#This Row],[Date]])</f>
        <v>2025</v>
      </c>
      <c r="E107" s="33" t="s">
        <v>219</v>
      </c>
      <c r="F107" s="33" t="s">
        <v>219</v>
      </c>
      <c r="G107" s="196">
        <f>PA[[#This Row],[Date]]-DAY(PA[[#This Row],[Date]])+1</f>
        <v>45778</v>
      </c>
      <c r="H107" s="32">
        <f>DAY(EOMONTH(PA[[#This Row],[Month Year]],0))</f>
        <v>31</v>
      </c>
      <c r="I107" s="122">
        <v>0.25277777777777777</v>
      </c>
      <c r="J107" s="122">
        <v>0.75972222222222219</v>
      </c>
      <c r="K107" s="35">
        <f>IFERROR((PA[[#This Row],[Sunset Time (POA&lt;20 W/m2)]]-PA[[#This Row],[Sunrise Time (POA&gt;20 W/m2)]])*24,"")</f>
        <v>12.166666666666666</v>
      </c>
      <c r="L107" s="33" t="s">
        <v>303</v>
      </c>
      <c r="M107" s="33" t="s">
        <v>294</v>
      </c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7" s="35">
        <f>IFERROR(_xlfn.XLOOKUP(PA[[#This Row],[Affected Equipment ]],'Basic Data'!N:N,'Basic Data'!Q:Q),"")</f>
        <v>5104</v>
      </c>
      <c r="V107" s="39">
        <f ca="1">IFERROR(_xlfn.XLOOKUP(PA[[#This Row],[Affected Equipment ]],'Basic Data'!N:N,'Basic Data'!R:R),"")</f>
        <v>0.13017087477684264</v>
      </c>
      <c r="W107" s="36" t="s">
        <v>295</v>
      </c>
      <c r="X107" s="40"/>
      <c r="Y107" s="347" t="s">
        <v>334</v>
      </c>
      <c r="Z107" s="46">
        <v>0.5131944444444444</v>
      </c>
      <c r="AA107" s="46">
        <v>0.5131944444444444</v>
      </c>
      <c r="AB107" s="46">
        <v>0.5131944444444444</v>
      </c>
      <c r="AC107" s="46">
        <v>0.53749999999999998</v>
      </c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0.58333333333333393</v>
      </c>
      <c r="AG107" s="44">
        <f>IFERROR((PA[[#This Row],[Work Completion time on fault]]-PA[[#This Row],[Fault Time]])*24,"")</f>
        <v>0.58333333333333393</v>
      </c>
      <c r="AH107" s="36" t="s">
        <v>297</v>
      </c>
      <c r="AI107" s="33" t="s">
        <v>298</v>
      </c>
      <c r="AJ107" s="35">
        <f ca="1">IFERROR(PA[[#This Row],[Breakdown Time]]*PA[[#This Row],[Plant Equivalent Weightage]],"")</f>
        <v>7.5933010286491617E-2</v>
      </c>
      <c r="AK107" s="36">
        <v>0.42487921499999998</v>
      </c>
      <c r="AL107" s="51">
        <f>IFERROR((_xlfn.XLOOKUP($G107,'Modelling New'!D:D,'Modelling New'!$O:$O)*PA[[#This Row],[Lost PoA(kWh/m2)]]*PA[[#This Row],[DC Capacity Affected (kW)]]),"")</f>
        <v>1386.8220882822743</v>
      </c>
      <c r="AM107" s="33"/>
      <c r="AN107" s="33"/>
      <c r="AO107" s="33"/>
      <c r="AP107" s="33"/>
    </row>
    <row r="108" spans="1:42">
      <c r="A108" s="30">
        <v>107</v>
      </c>
      <c r="B108" s="31">
        <v>45802</v>
      </c>
      <c r="C108" s="32">
        <f>YEAR(PA[[#This Row],[Date]])+IF(MONTH(PA[[#This Row],[Date]])&gt;=4,1,0)</f>
        <v>2026</v>
      </c>
      <c r="D108" s="32">
        <f>YEAR(PA[[#This Row],[Date]])</f>
        <v>2025</v>
      </c>
      <c r="E108" s="33" t="s">
        <v>219</v>
      </c>
      <c r="F108" s="33" t="s">
        <v>219</v>
      </c>
      <c r="G108" s="196">
        <f>PA[[#This Row],[Date]]-DAY(PA[[#This Row],[Date]])+1</f>
        <v>45778</v>
      </c>
      <c r="H108" s="32">
        <f>DAY(EOMONTH(PA[[#This Row],[Month Year]],0))</f>
        <v>31</v>
      </c>
      <c r="I108" s="122">
        <v>0.25277777777777777</v>
      </c>
      <c r="J108" s="122">
        <v>0.75972222222222219</v>
      </c>
      <c r="K108" s="35">
        <f>IFERROR((PA[[#This Row],[Sunset Time (POA&lt;20 W/m2)]]-PA[[#This Row],[Sunrise Time (POA&gt;20 W/m2)]])*24,"")</f>
        <v>12.166666666666666</v>
      </c>
      <c r="L108" s="33" t="s">
        <v>303</v>
      </c>
      <c r="M108" s="33" t="s">
        <v>299</v>
      </c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8" s="35">
        <f>IFERROR(_xlfn.XLOOKUP(PA[[#This Row],[Affected Equipment ]],'Basic Data'!N:N,'Basic Data'!Q:Q),"")</f>
        <v>5104</v>
      </c>
      <c r="V108" s="39">
        <f ca="1">IFERROR(_xlfn.XLOOKUP(PA[[#This Row],[Affected Equipment ]],'Basic Data'!N:N,'Basic Data'!R:R),"")</f>
        <v>0.13017087477684264</v>
      </c>
      <c r="W108" s="36" t="s">
        <v>295</v>
      </c>
      <c r="X108" s="40"/>
      <c r="Y108" s="347" t="s">
        <v>334</v>
      </c>
      <c r="Z108" s="46">
        <v>0.5131944444444444</v>
      </c>
      <c r="AA108" s="46">
        <v>0.5131944444444444</v>
      </c>
      <c r="AB108" s="46">
        <v>0.5131944444444444</v>
      </c>
      <c r="AC108" s="46">
        <v>0.53749999999999998</v>
      </c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0.58333333333333393</v>
      </c>
      <c r="AG108" s="44">
        <f>IFERROR((PA[[#This Row],[Work Completion time on fault]]-PA[[#This Row],[Fault Time]])*24,"")</f>
        <v>0.58333333333333393</v>
      </c>
      <c r="AH108" s="36" t="s">
        <v>297</v>
      </c>
      <c r="AI108" s="33" t="s">
        <v>298</v>
      </c>
      <c r="AJ108" s="35">
        <f ca="1">IFERROR(PA[[#This Row],[Breakdown Time]]*PA[[#This Row],[Plant Equivalent Weightage]],"")</f>
        <v>7.5933010286491617E-2</v>
      </c>
      <c r="AK108" s="36">
        <v>0.42487921499999998</v>
      </c>
      <c r="AL108" s="51">
        <f>IFERROR((_xlfn.XLOOKUP($G108,'Modelling New'!D:D,'Modelling New'!$O:$O)*PA[[#This Row],[Lost PoA(kWh/m2)]]*PA[[#This Row],[DC Capacity Affected (kW)]]),"")</f>
        <v>1386.8220882822743</v>
      </c>
      <c r="AM108" s="33"/>
      <c r="AN108" s="33"/>
      <c r="AO108" s="33"/>
      <c r="AP108" s="33"/>
    </row>
    <row r="109" spans="1:42">
      <c r="A109" s="30">
        <v>108</v>
      </c>
      <c r="B109" s="31">
        <v>45807</v>
      </c>
      <c r="C109" s="32">
        <f>YEAR(PA[[#This Row],[Date]])+IF(MONTH(PA[[#This Row],[Date]])&gt;=4,1,0)</f>
        <v>2026</v>
      </c>
      <c r="D109" s="32">
        <f>YEAR(PA[[#This Row],[Date]])</f>
        <v>2025</v>
      </c>
      <c r="E109" s="33" t="s">
        <v>219</v>
      </c>
      <c r="F109" s="33" t="s">
        <v>219</v>
      </c>
      <c r="G109" s="196">
        <f>PA[[#This Row],[Date]]-DAY(PA[[#This Row],[Date]])+1</f>
        <v>45778</v>
      </c>
      <c r="H109" s="32">
        <f>DAY(EOMONTH(PA[[#This Row],[Month Year]],0))</f>
        <v>31</v>
      </c>
      <c r="I109" s="122">
        <v>0.25416666666666665</v>
      </c>
      <c r="J109" s="122">
        <v>0.77083333333333337</v>
      </c>
      <c r="K109" s="35">
        <f>IFERROR((PA[[#This Row],[Sunset Time (POA&lt;20 W/m2)]]-PA[[#This Row],[Sunrise Time (POA&gt;20 W/m2)]])*24,"")</f>
        <v>12.400000000000002</v>
      </c>
      <c r="L109" s="33" t="s">
        <v>303</v>
      </c>
      <c r="M109" s="33" t="s">
        <v>294</v>
      </c>
      <c r="N109" s="33" t="s">
        <v>316</v>
      </c>
      <c r="O109" s="36" t="s">
        <v>344</v>
      </c>
      <c r="P109" s="36" t="s">
        <v>348</v>
      </c>
      <c r="Q109" s="33"/>
      <c r="R109" s="32">
        <f>IF((PA[[#This Row],[String Type(If String BD)]]&amp;PA[[#This Row],[Equipment (If any BD other than PV  array and inv)]])="",1,0)</f>
        <v>0</v>
      </c>
      <c r="S109" s="32">
        <f>IF(PA[[#This Row],[String Type(If String BD)]]="",1,0)</f>
        <v>0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09" s="35">
        <f>IFERROR(_xlfn.XLOOKUP(PA[[#This Row],[Affected Equipment ]],'Basic Data'!N:N,'Basic Data'!Q:Q),"")</f>
        <v>31.9</v>
      </c>
      <c r="V109" s="39">
        <f ca="1">IFERROR(_xlfn.XLOOKUP(PA[[#This Row],[Affected Equipment ]],'Basic Data'!N:N,'Basic Data'!R:R),"")</f>
        <v>8.1356796735526649E-4</v>
      </c>
      <c r="W109" s="36" t="s">
        <v>349</v>
      </c>
      <c r="X109" s="40"/>
      <c r="Y109" s="40" t="s">
        <v>350</v>
      </c>
      <c r="Z109" s="46">
        <v>0.25416666666666665</v>
      </c>
      <c r="AA109" s="46">
        <v>0.25416666666666665</v>
      </c>
      <c r="AB109" s="46">
        <v>0.25416666666666665</v>
      </c>
      <c r="AC109" s="46">
        <v>0.67013888888888884</v>
      </c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9.9833333333333325</v>
      </c>
      <c r="AG109" s="44">
        <f>IFERROR((PA[[#This Row],[Work Completion time on fault]]-PA[[#This Row],[Fault Time]])*24,"")</f>
        <v>9.9833333333333325</v>
      </c>
      <c r="AH109" s="36" t="s">
        <v>351</v>
      </c>
      <c r="AI109" s="33" t="s">
        <v>298</v>
      </c>
      <c r="AJ109" s="35">
        <f ca="1">IFERROR(PA[[#This Row],[Breakdown Time]]*PA[[#This Row],[Plant Equivalent Weightage]],"")</f>
        <v>8.1221202074300766E-3</v>
      </c>
      <c r="AK109" s="36">
        <v>3.1901918500000002</v>
      </c>
      <c r="AL109" s="51">
        <f>IFERROR((_xlfn.XLOOKUP($G109,'Modelling New'!D:D,'Modelling New'!$O:$O)*PA[[#This Row],[Lost PoA(kWh/m2)]]*PA[[#This Row],[DC Capacity Affected (kW)]]),"")</f>
        <v>65.080680097490955</v>
      </c>
      <c r="AM109" s="33"/>
      <c r="AN109" s="33"/>
      <c r="AO109" s="33"/>
      <c r="AP109" s="33"/>
    </row>
    <row r="110" spans="1:42">
      <c r="A110" s="30">
        <v>109</v>
      </c>
      <c r="B110" s="31">
        <v>45811</v>
      </c>
      <c r="C110" s="32">
        <f>YEAR(PA[[#This Row],[Date]])+IF(MONTH(PA[[#This Row],[Date]])&gt;=4,1,0)</f>
        <v>2026</v>
      </c>
      <c r="D110" s="32">
        <f>YEAR(PA[[#This Row],[Date]])</f>
        <v>2025</v>
      </c>
      <c r="E110" s="33" t="s">
        <v>219</v>
      </c>
      <c r="F110" s="33" t="s">
        <v>219</v>
      </c>
      <c r="G110" s="196">
        <f>PA[[#This Row],[Date]]-DAY(PA[[#This Row],[Date]])+1</f>
        <v>45809</v>
      </c>
      <c r="H110" s="32">
        <f>DAY(EOMONTH(PA[[#This Row],[Month Year]],0))</f>
        <v>30</v>
      </c>
      <c r="I110" s="122">
        <v>0.25069444444444444</v>
      </c>
      <c r="J110" s="122">
        <v>0.77430555555555558</v>
      </c>
      <c r="K110" s="35">
        <f>IFERROR((PA[[#This Row],[Sunset Time (POA&lt;20 W/m2)]]-PA[[#This Row],[Sunrise Time (POA&gt;20 W/m2)]])*24,"")</f>
        <v>12.566666666666666</v>
      </c>
      <c r="L110" s="33" t="s">
        <v>293</v>
      </c>
      <c r="M110" s="33" t="s">
        <v>294</v>
      </c>
      <c r="N110" s="33" t="s">
        <v>320</v>
      </c>
      <c r="O110" s="36" t="s">
        <v>352</v>
      </c>
      <c r="P110" s="36" t="s">
        <v>348</v>
      </c>
      <c r="Q110" s="33"/>
      <c r="R110" s="32">
        <f>IF((PA[[#This Row],[String Type(If String BD)]]&amp;PA[[#This Row],[Equipment (If any BD other than PV  array and inv)]])="",1,0)</f>
        <v>0</v>
      </c>
      <c r="S110" s="32">
        <f>IF(PA[[#This Row],[String Type(If String BD)]]="",1,0)</f>
        <v>0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0" s="35">
        <f>IFERROR(_xlfn.XLOOKUP(PA[[#This Row],[Affected Equipment ]],'Basic Data'!N:N,'Basic Data'!Q:Q),"")</f>
        <v>31.9</v>
      </c>
      <c r="V110" s="39">
        <f ca="1">IFERROR(_xlfn.XLOOKUP(PA[[#This Row],[Affected Equipment ]],'Basic Data'!N:N,'Basic Data'!R:R),"")</f>
        <v>8.1356796735526649E-4</v>
      </c>
      <c r="W110" s="36" t="s">
        <v>349</v>
      </c>
      <c r="X110" s="40"/>
      <c r="Y110" s="40" t="s">
        <v>350</v>
      </c>
      <c r="Z110" s="46">
        <v>0.25069444444444444</v>
      </c>
      <c r="AA110" s="46">
        <v>0.25069444444444444</v>
      </c>
      <c r="AB110" s="46">
        <v>0.25069444444444444</v>
      </c>
      <c r="AC110" s="46">
        <v>0.73611111111111116</v>
      </c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11.650000000000002</v>
      </c>
      <c r="AG110" s="44">
        <f>IFERROR((PA[[#This Row],[Work Completion time on fault]]-PA[[#This Row],[Fault Time]])*24,"")</f>
        <v>11.650000000000002</v>
      </c>
      <c r="AH110" s="36" t="s">
        <v>351</v>
      </c>
      <c r="AI110" s="33" t="s">
        <v>298</v>
      </c>
      <c r="AJ110" s="35">
        <f ca="1">IFERROR(PA[[#This Row],[Breakdown Time]]*PA[[#This Row],[Plant Equivalent Weightage]],"")</f>
        <v>9.478066819688857E-3</v>
      </c>
      <c r="AK110" s="36">
        <v>6.0187588333333339</v>
      </c>
      <c r="AL110" s="51">
        <f>IFERROR((_xlfn.XLOOKUP($G110,'Modelling New'!D:D,'Modelling New'!$O:$O)*PA[[#This Row],[Lost PoA(kWh/m2)]]*PA[[#This Row],[DC Capacity Affected (kW)]]),"")</f>
        <v>147.12683579034939</v>
      </c>
      <c r="AM110" s="33"/>
      <c r="AN110" s="33"/>
      <c r="AO110" s="33"/>
      <c r="AP110" s="33"/>
    </row>
    <row r="111" spans="1:42">
      <c r="A111" s="30">
        <v>110</v>
      </c>
      <c r="B111" s="31">
        <v>45813</v>
      </c>
      <c r="C111" s="32">
        <f>YEAR(PA[[#This Row],[Date]])+IF(MONTH(PA[[#This Row],[Date]])&gt;=4,1,0)</f>
        <v>2026</v>
      </c>
      <c r="D111" s="32">
        <f>YEAR(PA[[#This Row],[Date]])</f>
        <v>2025</v>
      </c>
      <c r="E111" s="33" t="s">
        <v>219</v>
      </c>
      <c r="F111" s="33" t="s">
        <v>219</v>
      </c>
      <c r="G111" s="196">
        <f>PA[[#This Row],[Date]]-DAY(PA[[#This Row],[Date]])+1</f>
        <v>45809</v>
      </c>
      <c r="H111" s="32">
        <f>DAY(EOMONTH(PA[[#This Row],[Month Year]],0))</f>
        <v>30</v>
      </c>
      <c r="I111" s="122">
        <v>0.26041666666666669</v>
      </c>
      <c r="J111" s="122">
        <v>0.77083333333333337</v>
      </c>
      <c r="K111" s="35">
        <f>IFERROR((PA[[#This Row],[Sunset Time (POA&lt;20 W/m2)]]-PA[[#This Row],[Sunrise Time (POA&gt;20 W/m2)]])*24,"")</f>
        <v>12.250000000000002</v>
      </c>
      <c r="L111" s="33" t="s">
        <v>293</v>
      </c>
      <c r="M111" s="33" t="s">
        <v>294</v>
      </c>
      <c r="N111" s="33" t="s">
        <v>316</v>
      </c>
      <c r="O111" s="36" t="s">
        <v>326</v>
      </c>
      <c r="P111" s="36" t="s">
        <v>327</v>
      </c>
      <c r="Q111" s="33"/>
      <c r="R111" s="32">
        <f>IF((PA[[#This Row],[String Type(If String BD)]]&amp;PA[[#This Row],[Equipment (If any BD other than PV  array and inv)]])="",1,0)</f>
        <v>0</v>
      </c>
      <c r="S111" s="32">
        <f>IF(PA[[#This Row],[String Type(If String BD)]]="",1,0)</f>
        <v>0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1" s="35">
        <f>IFERROR(_xlfn.XLOOKUP(PA[[#This Row],[Affected Equipment ]],'Basic Data'!N:N,'Basic Data'!Q:Q),"")</f>
        <v>15.95</v>
      </c>
      <c r="V111" s="39">
        <f ca="1">IFERROR(_xlfn.XLOOKUP(PA[[#This Row],[Affected Equipment ]],'Basic Data'!N:N,'Basic Data'!R:R),"")</f>
        <v>4.0678398367763324E-4</v>
      </c>
      <c r="W111" s="36" t="s">
        <v>349</v>
      </c>
      <c r="X111" s="40"/>
      <c r="Y111" s="40" t="s">
        <v>353</v>
      </c>
      <c r="Z111" s="46">
        <v>0.26041666666666669</v>
      </c>
      <c r="AA111" s="46">
        <v>0.26041666666666669</v>
      </c>
      <c r="AB111" s="46">
        <v>0.26041666666666669</v>
      </c>
      <c r="AC111" s="46">
        <v>0.58333333333333337</v>
      </c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7.75</v>
      </c>
      <c r="AG111" s="44">
        <f>IFERROR((PA[[#This Row],[Work Completion time on fault]]-PA[[#This Row],[Fault Time]])*24,"")</f>
        <v>7.75</v>
      </c>
      <c r="AH111" s="36" t="s">
        <v>354</v>
      </c>
      <c r="AI111" s="33" t="s">
        <v>298</v>
      </c>
      <c r="AJ111" s="35">
        <f ca="1">IFERROR(PA[[#This Row],[Breakdown Time]]*PA[[#This Row],[Plant Equivalent Weightage]],"")</f>
        <v>3.1525758735016576E-3</v>
      </c>
      <c r="AK111" s="36">
        <v>4.9279999999999999</v>
      </c>
      <c r="AL111" s="51">
        <f>IFERROR((_xlfn.XLOOKUP($G111,'Modelling New'!D:D,'Modelling New'!$O:$O)*PA[[#This Row],[Lost PoA(kWh/m2)]]*PA[[#This Row],[DC Capacity Affected (kW)]]),"")</f>
        <v>60.231774262111159</v>
      </c>
      <c r="AM111" s="33"/>
      <c r="AN111" s="33"/>
      <c r="AO111" s="33"/>
      <c r="AP111" s="33"/>
    </row>
    <row r="112" spans="1:42">
      <c r="A112" s="30">
        <v>111</v>
      </c>
      <c r="B112" s="31">
        <v>45813</v>
      </c>
      <c r="C112" s="32">
        <f>YEAR(PA[[#This Row],[Date]])+IF(MONTH(PA[[#This Row],[Date]])&gt;=4,1,0)</f>
        <v>2026</v>
      </c>
      <c r="D112" s="32">
        <f>YEAR(PA[[#This Row],[Date]])</f>
        <v>2025</v>
      </c>
      <c r="E112" s="33" t="s">
        <v>219</v>
      </c>
      <c r="F112" s="33" t="s">
        <v>219</v>
      </c>
      <c r="G112" s="196">
        <f>PA[[#This Row],[Date]]-DAY(PA[[#This Row],[Date]])+1</f>
        <v>45809</v>
      </c>
      <c r="H112" s="32">
        <f>DAY(EOMONTH(PA[[#This Row],[Month Year]],0))</f>
        <v>30</v>
      </c>
      <c r="I112" s="122">
        <v>0.26041666666666669</v>
      </c>
      <c r="J112" s="122">
        <v>0.77083333333333337</v>
      </c>
      <c r="K112" s="35">
        <f>IFERROR((PA[[#This Row],[Sunset Time (POA&lt;20 W/m2)]]-PA[[#This Row],[Sunrise Time (POA&gt;20 W/m2)]])*24,"")</f>
        <v>12.250000000000002</v>
      </c>
      <c r="L112" s="33" t="s">
        <v>293</v>
      </c>
      <c r="M112" s="33" t="s">
        <v>294</v>
      </c>
      <c r="N112" s="33" t="s">
        <v>316</v>
      </c>
      <c r="O112" s="36" t="s">
        <v>326</v>
      </c>
      <c r="P112" s="36" t="s">
        <v>327</v>
      </c>
      <c r="Q112" s="33"/>
      <c r="R112" s="32">
        <f>IF((PA[[#This Row],[String Type(If String BD)]]&amp;PA[[#This Row],[Equipment (If any BD other than PV  array and inv)]])="",1,0)</f>
        <v>0</v>
      </c>
      <c r="S112" s="32">
        <f>IF(PA[[#This Row],[String Type(If String BD)]]="",1,0)</f>
        <v>0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2" s="35">
        <f>IFERROR(_xlfn.XLOOKUP(PA[[#This Row],[Affected Equipment ]],'Basic Data'!N:N,'Basic Data'!Q:Q),"")</f>
        <v>15.95</v>
      </c>
      <c r="V112" s="39">
        <f ca="1">IFERROR(_xlfn.XLOOKUP(PA[[#This Row],[Affected Equipment ]],'Basic Data'!N:N,'Basic Data'!R:R),"")</f>
        <v>4.0678398367763324E-4</v>
      </c>
      <c r="W112" s="36" t="s">
        <v>349</v>
      </c>
      <c r="X112" s="40"/>
      <c r="Y112" s="40" t="s">
        <v>353</v>
      </c>
      <c r="Z112" s="46">
        <v>0.26041666666666669</v>
      </c>
      <c r="AA112" s="46">
        <v>0.26041666666666669</v>
      </c>
      <c r="AB112" s="46">
        <v>0.26041666666666669</v>
      </c>
      <c r="AC112" s="46">
        <v>0.58333333333333337</v>
      </c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7.75</v>
      </c>
      <c r="AG112" s="44">
        <f>IFERROR((PA[[#This Row],[Work Completion time on fault]]-PA[[#This Row],[Fault Time]])*24,"")</f>
        <v>7.75</v>
      </c>
      <c r="AH112" s="36" t="s">
        <v>354</v>
      </c>
      <c r="AI112" s="33" t="s">
        <v>298</v>
      </c>
      <c r="AJ112" s="35">
        <f ca="1">IFERROR(PA[[#This Row],[Breakdown Time]]*PA[[#This Row],[Plant Equivalent Weightage]],"")</f>
        <v>3.1525758735016576E-3</v>
      </c>
      <c r="AK112" s="36">
        <v>4.9279999999999999</v>
      </c>
      <c r="AL112" s="51">
        <f>IFERROR((_xlfn.XLOOKUP($G112,'Modelling New'!D:D,'Modelling New'!$O:$O)*PA[[#This Row],[Lost PoA(kWh/m2)]]*PA[[#This Row],[DC Capacity Affected (kW)]]),"")</f>
        <v>60.231774262111159</v>
      </c>
      <c r="AM112" s="33"/>
      <c r="AN112" s="33"/>
      <c r="AO112" s="33"/>
      <c r="AP112" s="33"/>
    </row>
    <row r="113" spans="1:42">
      <c r="A113" s="30">
        <v>112</v>
      </c>
      <c r="B113" s="31">
        <v>45817</v>
      </c>
      <c r="C113" s="32">
        <f>YEAR(PA[[#This Row],[Date]])+IF(MONTH(PA[[#This Row],[Date]])&gt;=4,1,0)</f>
        <v>2026</v>
      </c>
      <c r="D113" s="32">
        <f>YEAR(PA[[#This Row],[Date]])</f>
        <v>2025</v>
      </c>
      <c r="E113" s="33" t="s">
        <v>219</v>
      </c>
      <c r="F113" s="33" t="s">
        <v>219</v>
      </c>
      <c r="G113" s="196">
        <f>PA[[#This Row],[Date]]-DAY(PA[[#This Row],[Date]])+1</f>
        <v>45809</v>
      </c>
      <c r="H113" s="32">
        <f>DAY(EOMONTH(PA[[#This Row],[Month Year]],0))</f>
        <v>30</v>
      </c>
      <c r="I113" s="122">
        <v>0.25138888888888888</v>
      </c>
      <c r="J113" s="122">
        <v>0.75763888888888886</v>
      </c>
      <c r="K113" s="35">
        <f>IFERROR((PA[[#This Row],[Sunset Time (POA&lt;20 W/m2)]]-PA[[#This Row],[Sunrise Time (POA&gt;20 W/m2)]])*24,"")</f>
        <v>12.149999999999999</v>
      </c>
      <c r="L113" s="33" t="s">
        <v>302</v>
      </c>
      <c r="M113" s="33" t="s">
        <v>294</v>
      </c>
      <c r="N113" s="33" t="s">
        <v>316</v>
      </c>
      <c r="O113" s="36" t="s">
        <v>331</v>
      </c>
      <c r="P113" s="36" t="s">
        <v>348</v>
      </c>
      <c r="Q113" s="33"/>
      <c r="R113" s="32">
        <f>IF((PA[[#This Row],[String Type(If String BD)]]&amp;PA[[#This Row],[Equipment (If any BD other than PV  array and inv)]])="",1,0)</f>
        <v>0</v>
      </c>
      <c r="S113" s="32">
        <f>IF(PA[[#This Row],[String Type(If String BD)]]="",1,0)</f>
        <v>0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3" s="35">
        <f>IFERROR(_xlfn.XLOOKUP(PA[[#This Row],[Affected Equipment ]],'Basic Data'!N:N,'Basic Data'!Q:Q),"")</f>
        <v>31.9</v>
      </c>
      <c r="V113" s="39">
        <f ca="1">IFERROR(_xlfn.XLOOKUP(PA[[#This Row],[Affected Equipment ]],'Basic Data'!N:N,'Basic Data'!R:R),"")</f>
        <v>8.1356796735526649E-4</v>
      </c>
      <c r="W113" s="36" t="s">
        <v>349</v>
      </c>
      <c r="X113" s="40"/>
      <c r="Y113" s="40" t="s">
        <v>355</v>
      </c>
      <c r="Z113" s="46">
        <v>0.33333333333333331</v>
      </c>
      <c r="AA113" s="46">
        <v>0.33333333333333331</v>
      </c>
      <c r="AB113" s="46">
        <v>0.33333333333333331</v>
      </c>
      <c r="AC113" s="46">
        <v>0.68680555555555556</v>
      </c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8.4833333333333343</v>
      </c>
      <c r="AG113" s="44">
        <f>IFERROR((PA[[#This Row],[Work Completion time on fault]]-PA[[#This Row],[Fault Time]])*24,"")</f>
        <v>8.4833333333333343</v>
      </c>
      <c r="AH113" s="36" t="s">
        <v>356</v>
      </c>
      <c r="AI113" s="33" t="s">
        <v>298</v>
      </c>
      <c r="AJ113" s="35">
        <f ca="1">IFERROR(PA[[#This Row],[Breakdown Time]]*PA[[#This Row],[Plant Equivalent Weightage]],"")</f>
        <v>6.9017682563971778E-3</v>
      </c>
      <c r="AK113" s="36">
        <v>5.55</v>
      </c>
      <c r="AL113" s="51">
        <f>IFERROR((_xlfn.XLOOKUP($G113,'Modelling New'!D:D,'Modelling New'!$O:$O)*PA[[#This Row],[Lost PoA(kWh/m2)]]*PA[[#This Row],[DC Capacity Affected (kW)]]),"")</f>
        <v>135.66816037123255</v>
      </c>
      <c r="AM113" s="33"/>
      <c r="AN113" s="33"/>
      <c r="AO113" s="33"/>
      <c r="AP113" s="33"/>
    </row>
    <row r="114" spans="1:42">
      <c r="A114" s="30">
        <v>113</v>
      </c>
      <c r="B114" s="31">
        <v>45820</v>
      </c>
      <c r="C114" s="32">
        <f>YEAR(PA[[#This Row],[Date]])+IF(MONTH(PA[[#This Row],[Date]])&gt;=4,1,0)</f>
        <v>2026</v>
      </c>
      <c r="D114" s="32">
        <f>YEAR(PA[[#This Row],[Date]])</f>
        <v>2025</v>
      </c>
      <c r="E114" s="33" t="s">
        <v>219</v>
      </c>
      <c r="F114" s="33" t="s">
        <v>219</v>
      </c>
      <c r="G114" s="196">
        <f>PA[[#This Row],[Date]]-DAY(PA[[#This Row],[Date]])+1</f>
        <v>45809</v>
      </c>
      <c r="H114" s="32">
        <f>DAY(EOMONTH(PA[[#This Row],[Month Year]],0))</f>
        <v>30</v>
      </c>
      <c r="I114" s="122">
        <v>0.25416666666666665</v>
      </c>
      <c r="J114" s="122">
        <v>0.76875000000000004</v>
      </c>
      <c r="K114" s="35">
        <f>IFERROR((PA[[#This Row],[Sunset Time (POA&lt;20 W/m2)]]-PA[[#This Row],[Sunrise Time (POA&gt;20 W/m2)]])*24,"")</f>
        <v>12.350000000000001</v>
      </c>
      <c r="L114" s="33" t="s">
        <v>300</v>
      </c>
      <c r="M114" s="33" t="s">
        <v>299</v>
      </c>
      <c r="N114" s="33" t="s">
        <v>313</v>
      </c>
      <c r="O114" s="36" t="s">
        <v>352</v>
      </c>
      <c r="P114" s="36" t="s">
        <v>357</v>
      </c>
      <c r="Q114" s="33"/>
      <c r="R114" s="32">
        <f>IF((PA[[#This Row],[String Type(If String BD)]]&amp;PA[[#This Row],[Equipment (If any BD other than PV  array and inv)]])="",1,0)</f>
        <v>0</v>
      </c>
      <c r="S114" s="32">
        <f>IF(PA[[#This Row],[String Type(If String BD)]]="",1,0)</f>
        <v>0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114" s="35">
        <f>IFERROR(_xlfn.XLOOKUP(PA[[#This Row],[Affected Equipment ]],'Basic Data'!N:N,'Basic Data'!Q:Q),"")</f>
        <v>31.61</v>
      </c>
      <c r="V114" s="39">
        <f ca="1">IFERROR(_xlfn.XLOOKUP(PA[[#This Row],[Affected Equipment ]],'Basic Data'!N:N,'Basic Data'!R:R),"")</f>
        <v>8.0617189492476413E-4</v>
      </c>
      <c r="W114" s="36" t="s">
        <v>349</v>
      </c>
      <c r="X114" s="40"/>
      <c r="Y114" s="40" t="s">
        <v>358</v>
      </c>
      <c r="Z114" s="46">
        <v>0.29166666666666669</v>
      </c>
      <c r="AA114" s="46">
        <v>0.29166666666666669</v>
      </c>
      <c r="AB114" s="46">
        <v>0.29166666666666669</v>
      </c>
      <c r="AC114" s="46">
        <v>0.67986111111111114</v>
      </c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9.3166666666666664</v>
      </c>
      <c r="AG114" s="44">
        <f>IFERROR((PA[[#This Row],[Work Completion time on fault]]-PA[[#This Row],[Fault Time]])*24,"")</f>
        <v>9.3166666666666664</v>
      </c>
      <c r="AH114" s="344" t="s">
        <v>359</v>
      </c>
      <c r="AI114" s="33" t="s">
        <v>298</v>
      </c>
      <c r="AJ114" s="35">
        <f ca="1">IFERROR(PA[[#This Row],[Breakdown Time]]*PA[[#This Row],[Plant Equivalent Weightage]],"")</f>
        <v>7.5108348210490526E-3</v>
      </c>
      <c r="AK114" s="36">
        <v>3.39</v>
      </c>
      <c r="AL114" s="51">
        <f>IFERROR((_xlfn.XLOOKUP($G114,'Modelling New'!D:D,'Modelling New'!$O:$O)*PA[[#This Row],[Lost PoA(kWh/m2)]]*PA[[#This Row],[DC Capacity Affected (kW)]]),"")</f>
        <v>82.114237409949439</v>
      </c>
      <c r="AM114" s="33"/>
      <c r="AN114" s="33"/>
      <c r="AO114" s="33">
        <v>4218</v>
      </c>
      <c r="AP114" s="33" t="s">
        <v>360</v>
      </c>
    </row>
    <row r="115" spans="1:42">
      <c r="A115" s="30">
        <v>114</v>
      </c>
      <c r="B115" s="31">
        <v>45821</v>
      </c>
      <c r="C115" s="32">
        <f>YEAR(PA[[#This Row],[Date]])+IF(MONTH(PA[[#This Row],[Date]])&gt;=4,1,0)</f>
        <v>2026</v>
      </c>
      <c r="D115" s="32">
        <f>YEAR(PA[[#This Row],[Date]])</f>
        <v>2025</v>
      </c>
      <c r="E115" s="33" t="s">
        <v>219</v>
      </c>
      <c r="F115" s="33" t="s">
        <v>219</v>
      </c>
      <c r="G115" s="196">
        <f>PA[[#This Row],[Date]]-DAY(PA[[#This Row],[Date]])+1</f>
        <v>45809</v>
      </c>
      <c r="H115" s="32">
        <f>DAY(EOMONTH(PA[[#This Row],[Month Year]],0))</f>
        <v>30</v>
      </c>
      <c r="I115" s="122">
        <v>0.25416666666666665</v>
      </c>
      <c r="J115" s="122">
        <v>0.76736111111111116</v>
      </c>
      <c r="K115" s="35">
        <f>IFERROR((PA[[#This Row],[Sunset Time (POA&lt;20 W/m2)]]-PA[[#This Row],[Sunrise Time (POA&gt;20 W/m2)]])*24,"")</f>
        <v>12.316666666666668</v>
      </c>
      <c r="L115" s="33" t="s">
        <v>303</v>
      </c>
      <c r="M115" s="33" t="s">
        <v>294</v>
      </c>
      <c r="N115" s="33" t="s">
        <v>320</v>
      </c>
      <c r="O115" s="36" t="s">
        <v>361</v>
      </c>
      <c r="P115" s="36" t="s">
        <v>348</v>
      </c>
      <c r="Q115" s="33"/>
      <c r="R115" s="32">
        <f>IF((PA[[#This Row],[String Type(If String BD)]]&amp;PA[[#This Row],[Equipment (If any BD other than PV  array and inv)]])="",1,0)</f>
        <v>0</v>
      </c>
      <c r="S115" s="32">
        <f>IF(PA[[#This Row],[String Type(If String BD)]]="",1,0)</f>
        <v>0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5" s="35">
        <f>IFERROR(_xlfn.XLOOKUP(PA[[#This Row],[Affected Equipment ]],'Basic Data'!N:N,'Basic Data'!Q:Q),"")</f>
        <v>31.9</v>
      </c>
      <c r="V115" s="39">
        <f ca="1">IFERROR(_xlfn.XLOOKUP(PA[[#This Row],[Affected Equipment ]],'Basic Data'!N:N,'Basic Data'!R:R),"")</f>
        <v>8.1356796735526649E-4</v>
      </c>
      <c r="W115" s="36" t="s">
        <v>349</v>
      </c>
      <c r="X115" s="40"/>
      <c r="Y115" s="40" t="s">
        <v>362</v>
      </c>
      <c r="Z115" s="46">
        <v>0.33333333333333331</v>
      </c>
      <c r="AA115" s="46">
        <v>0.33333333333333331</v>
      </c>
      <c r="AB115" s="46">
        <v>0.33333333333333331</v>
      </c>
      <c r="AC115" s="46">
        <v>0.65972222222222221</v>
      </c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7.8333333333333339</v>
      </c>
      <c r="AG115" s="44">
        <f>IFERROR((PA[[#This Row],[Work Completion time on fault]]-PA[[#This Row],[Fault Time]])*24,"")</f>
        <v>7.8333333333333339</v>
      </c>
      <c r="AH115" s="344" t="s">
        <v>363</v>
      </c>
      <c r="AI115" s="33" t="s">
        <v>298</v>
      </c>
      <c r="AJ115" s="35">
        <f ca="1">IFERROR(PA[[#This Row],[Breakdown Time]]*PA[[#This Row],[Plant Equivalent Weightage]],"")</f>
        <v>6.3729490776162547E-3</v>
      </c>
      <c r="AK115" s="36">
        <v>3.98</v>
      </c>
      <c r="AL115" s="51">
        <f>IFERROR((_xlfn.XLOOKUP($G115,'Modelling New'!D:D,'Modelling New'!$O:$O)*PA[[#This Row],[Lost PoA(kWh/m2)]]*PA[[#This Row],[DC Capacity Affected (kW)]]),"")</f>
        <v>97.289960050000985</v>
      </c>
      <c r="AM115" s="33"/>
      <c r="AN115" s="33"/>
      <c r="AO115" s="33">
        <v>4250</v>
      </c>
      <c r="AP115" s="33" t="s">
        <v>364</v>
      </c>
    </row>
    <row r="116" spans="1:42">
      <c r="A116" s="30">
        <v>115</v>
      </c>
      <c r="B116" s="31">
        <v>45821</v>
      </c>
      <c r="C116" s="32">
        <f>YEAR(PA[[#This Row],[Date]])+IF(MONTH(PA[[#This Row],[Date]])&gt;=4,1,0)</f>
        <v>2026</v>
      </c>
      <c r="D116" s="32">
        <f>YEAR(PA[[#This Row],[Date]])</f>
        <v>2025</v>
      </c>
      <c r="E116" s="33" t="s">
        <v>219</v>
      </c>
      <c r="F116" s="33" t="s">
        <v>219</v>
      </c>
      <c r="G116" s="196">
        <f>PA[[#This Row],[Date]]-DAY(PA[[#This Row],[Date]])+1</f>
        <v>45809</v>
      </c>
      <c r="H116" s="32">
        <f>DAY(EOMONTH(PA[[#This Row],[Month Year]],0))</f>
        <v>30</v>
      </c>
      <c r="I116" s="122">
        <v>0.25416666666666665</v>
      </c>
      <c r="J116" s="122">
        <v>0.76736111111111116</v>
      </c>
      <c r="K116" s="35">
        <f>IFERROR((PA[[#This Row],[Sunset Time (POA&lt;20 W/m2)]]-PA[[#This Row],[Sunrise Time (POA&gt;20 W/m2)]])*24,"")</f>
        <v>12.316666666666668</v>
      </c>
      <c r="L116" s="33" t="s">
        <v>303</v>
      </c>
      <c r="M116" s="33" t="s">
        <v>294</v>
      </c>
      <c r="N116" s="33" t="s">
        <v>320</v>
      </c>
      <c r="O116" s="36" t="s">
        <v>361</v>
      </c>
      <c r="P116" s="36" t="s">
        <v>348</v>
      </c>
      <c r="Q116" s="33"/>
      <c r="R116" s="32">
        <f>IF((PA[[#This Row],[String Type(If String BD)]]&amp;PA[[#This Row],[Equipment (If any BD other than PV  array and inv)]])="",1,0)</f>
        <v>0</v>
      </c>
      <c r="S116" s="32">
        <f>IF(PA[[#This Row],[String Type(If String BD)]]="",1,0)</f>
        <v>0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6" s="35">
        <f>IFERROR(_xlfn.XLOOKUP(PA[[#This Row],[Affected Equipment ]],'Basic Data'!N:N,'Basic Data'!Q:Q),"")</f>
        <v>31.9</v>
      </c>
      <c r="V116" s="39">
        <f ca="1">IFERROR(_xlfn.XLOOKUP(PA[[#This Row],[Affected Equipment ]],'Basic Data'!N:N,'Basic Data'!R:R),"")</f>
        <v>8.1356796735526649E-4</v>
      </c>
      <c r="W116" s="36" t="s">
        <v>349</v>
      </c>
      <c r="X116" s="40"/>
      <c r="Y116" s="40" t="s">
        <v>362</v>
      </c>
      <c r="Z116" s="46">
        <v>0.33333333333333331</v>
      </c>
      <c r="AA116" s="46">
        <v>0.33333333333333331</v>
      </c>
      <c r="AB116" s="46">
        <v>0.33333333333333331</v>
      </c>
      <c r="AC116" s="46">
        <v>0.65972222222222221</v>
      </c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7.8333333333333339</v>
      </c>
      <c r="AG116" s="44">
        <f>IFERROR((PA[[#This Row],[Work Completion time on fault]]-PA[[#This Row],[Fault Time]])*24,"")</f>
        <v>7.8333333333333339</v>
      </c>
      <c r="AH116" s="344" t="s">
        <v>363</v>
      </c>
      <c r="AI116" s="33" t="s">
        <v>298</v>
      </c>
      <c r="AJ116" s="35">
        <f ca="1">IFERROR(PA[[#This Row],[Breakdown Time]]*PA[[#This Row],[Plant Equivalent Weightage]],"")</f>
        <v>6.3729490776162547E-3</v>
      </c>
      <c r="AK116" s="36">
        <v>3.98</v>
      </c>
      <c r="AL116" s="51">
        <f>IFERROR((_xlfn.XLOOKUP($G116,'Modelling New'!D:D,'Modelling New'!$O:$O)*PA[[#This Row],[Lost PoA(kWh/m2)]]*PA[[#This Row],[DC Capacity Affected (kW)]]),"")</f>
        <v>97.289960050000985</v>
      </c>
      <c r="AM116" s="33"/>
      <c r="AN116" s="33"/>
      <c r="AO116" s="33">
        <v>4250</v>
      </c>
      <c r="AP116" s="33" t="s">
        <v>364</v>
      </c>
    </row>
    <row r="117" spans="1:42">
      <c r="A117" s="30">
        <v>116</v>
      </c>
      <c r="B117" s="31">
        <v>45834</v>
      </c>
      <c r="C117" s="32">
        <f>YEAR(PA[[#This Row],[Date]])+IF(MONTH(PA[[#This Row],[Date]])&gt;=4,1,0)</f>
        <v>2026</v>
      </c>
      <c r="D117" s="32">
        <f>YEAR(PA[[#This Row],[Date]])</f>
        <v>2025</v>
      </c>
      <c r="E117" s="33" t="s">
        <v>219</v>
      </c>
      <c r="F117" s="33" t="s">
        <v>219</v>
      </c>
      <c r="G117" s="196">
        <f>PA[[#This Row],[Date]]-DAY(PA[[#This Row],[Date]])+1</f>
        <v>45809</v>
      </c>
      <c r="H117" s="32">
        <f>DAY(EOMONTH(PA[[#This Row],[Month Year]],0))</f>
        <v>30</v>
      </c>
      <c r="I117" s="122">
        <v>0.28263888888888888</v>
      </c>
      <c r="J117" s="122">
        <v>0.7631944444444444</v>
      </c>
      <c r="K117" s="35">
        <f>IFERROR((PA[[#This Row],[Sunset Time (POA&lt;20 W/m2)]]-PA[[#This Row],[Sunrise Time (POA&gt;20 W/m2)]])*24,"")</f>
        <v>11.533333333333331</v>
      </c>
      <c r="L117" s="33" t="s">
        <v>300</v>
      </c>
      <c r="M117" s="33" t="s">
        <v>294</v>
      </c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17" s="35">
        <f>IFERROR(_xlfn.XLOOKUP(PA[[#This Row],[Affected Equipment ]],'Basic Data'!N:N,'Basic Data'!Q:Q),"")</f>
        <v>4662.4750000000004</v>
      </c>
      <c r="V117" s="39">
        <f ca="1">IFERROR(_xlfn.XLOOKUP(PA[[#This Row],[Affected Equipment ]],'Basic Data'!N:N,'Basic Data'!R:R),"")</f>
        <v>0.11891035450140271</v>
      </c>
      <c r="W117" s="36" t="s">
        <v>345</v>
      </c>
      <c r="X117" s="40"/>
      <c r="Y117" s="40" t="s">
        <v>365</v>
      </c>
      <c r="Z117" s="46">
        <v>0.28263888888888888</v>
      </c>
      <c r="AA117" s="46">
        <v>0.28263888888888888</v>
      </c>
      <c r="AB117" s="46">
        <v>0.28263888888888888</v>
      </c>
      <c r="AC117" s="46">
        <v>0.34861111111111109</v>
      </c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1.583333333333333</v>
      </c>
      <c r="AG117" s="44">
        <f>IFERROR((PA[[#This Row],[Work Completion time on fault]]-PA[[#This Row],[Fault Time]])*24,"")</f>
        <v>1.583333333333333</v>
      </c>
      <c r="AH117" s="36" t="s">
        <v>366</v>
      </c>
      <c r="AI117" s="33" t="s">
        <v>298</v>
      </c>
      <c r="AJ117" s="35">
        <f ca="1">IFERROR(PA[[#This Row],[Breakdown Time]]*PA[[#This Row],[Plant Equivalent Weightage]],"")</f>
        <v>0.18827472796055425</v>
      </c>
      <c r="AK117" s="36">
        <v>7.4765999999999999E-2</v>
      </c>
      <c r="AL117" s="51">
        <f>IFERROR((_xlfn.XLOOKUP($G117,'Modelling New'!D:D,'Modelling New'!$O:$O)*PA[[#This Row],[Lost PoA(kWh/m2)]]*PA[[#This Row],[DC Capacity Affected (kW)]]),"")</f>
        <v>267.12524437857269</v>
      </c>
      <c r="AM117" s="33"/>
      <c r="AN117" s="33"/>
      <c r="AO117" s="33">
        <v>4533</v>
      </c>
      <c r="AP117" s="33"/>
    </row>
    <row r="118" spans="1:42">
      <c r="A118" s="30">
        <v>117</v>
      </c>
      <c r="B118" s="31">
        <v>45834</v>
      </c>
      <c r="C118" s="32">
        <f>YEAR(PA[[#This Row],[Date]])+IF(MONTH(PA[[#This Row],[Date]])&gt;=4,1,0)</f>
        <v>2026</v>
      </c>
      <c r="D118" s="32">
        <f>YEAR(PA[[#This Row],[Date]])</f>
        <v>2025</v>
      </c>
      <c r="E118" s="33" t="s">
        <v>219</v>
      </c>
      <c r="F118" s="33" t="s">
        <v>219</v>
      </c>
      <c r="G118" s="196">
        <f>PA[[#This Row],[Date]]-DAY(PA[[#This Row],[Date]])+1</f>
        <v>45809</v>
      </c>
      <c r="H118" s="32">
        <f>DAY(EOMONTH(PA[[#This Row],[Month Year]],0))</f>
        <v>30</v>
      </c>
      <c r="I118" s="122">
        <v>0.28263888888888888</v>
      </c>
      <c r="J118" s="122">
        <v>0.7631944444444444</v>
      </c>
      <c r="K118" s="35">
        <f>IFERROR((PA[[#This Row],[Sunset Time (POA&lt;20 W/m2)]]-PA[[#This Row],[Sunrise Time (POA&gt;20 W/m2)]])*24,"")</f>
        <v>11.533333333333331</v>
      </c>
      <c r="L118" s="33" t="s">
        <v>300</v>
      </c>
      <c r="M118" s="33" t="s">
        <v>299</v>
      </c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18" s="35">
        <f>IFERROR(_xlfn.XLOOKUP(PA[[#This Row],[Affected Equipment ]],'Basic Data'!N:N,'Basic Data'!Q:Q),"")</f>
        <v>4662.4750000000004</v>
      </c>
      <c r="V118" s="39">
        <f ca="1">IFERROR(_xlfn.XLOOKUP(PA[[#This Row],[Affected Equipment ]],'Basic Data'!N:N,'Basic Data'!R:R),"")</f>
        <v>0.11891035450140271</v>
      </c>
      <c r="W118" s="36" t="s">
        <v>345</v>
      </c>
      <c r="X118" s="40"/>
      <c r="Y118" s="40" t="s">
        <v>365</v>
      </c>
      <c r="Z118" s="46">
        <v>0.28263888888888888</v>
      </c>
      <c r="AA118" s="46">
        <v>0.28263888888888888</v>
      </c>
      <c r="AB118" s="46">
        <v>0.28263888888888888</v>
      </c>
      <c r="AC118" s="46">
        <v>0.34861111111111109</v>
      </c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1.583333333333333</v>
      </c>
      <c r="AG118" s="44">
        <f>IFERROR((PA[[#This Row],[Work Completion time on fault]]-PA[[#This Row],[Fault Time]])*24,"")</f>
        <v>1.583333333333333</v>
      </c>
      <c r="AH118" s="36" t="s">
        <v>366</v>
      </c>
      <c r="AI118" s="33" t="s">
        <v>298</v>
      </c>
      <c r="AJ118" s="35">
        <f ca="1">IFERROR(PA[[#This Row],[Breakdown Time]]*PA[[#This Row],[Plant Equivalent Weightage]],"")</f>
        <v>0.18827472796055425</v>
      </c>
      <c r="AK118" s="36">
        <v>7.4765999999999999E-2</v>
      </c>
      <c r="AL118" s="51">
        <f>IFERROR((_xlfn.XLOOKUP($G118,'Modelling New'!D:D,'Modelling New'!$O:$O)*PA[[#This Row],[Lost PoA(kWh/m2)]]*PA[[#This Row],[DC Capacity Affected (kW)]]),"")</f>
        <v>267.12524437857269</v>
      </c>
      <c r="AM118" s="33"/>
      <c r="AN118" s="33"/>
      <c r="AO118" s="33">
        <v>4533</v>
      </c>
      <c r="AP118" s="33"/>
    </row>
    <row r="119" spans="1:42">
      <c r="A119" s="30">
        <v>118</v>
      </c>
      <c r="B119" s="31">
        <v>45834</v>
      </c>
      <c r="C119" s="32">
        <f>YEAR(PA[[#This Row],[Date]])+IF(MONTH(PA[[#This Row],[Date]])&gt;=4,1,0)</f>
        <v>2026</v>
      </c>
      <c r="D119" s="32">
        <f>YEAR(PA[[#This Row],[Date]])</f>
        <v>2025</v>
      </c>
      <c r="E119" s="33" t="s">
        <v>219</v>
      </c>
      <c r="F119" s="33" t="s">
        <v>219</v>
      </c>
      <c r="G119" s="196">
        <f>PA[[#This Row],[Date]]-DAY(PA[[#This Row],[Date]])+1</f>
        <v>45809</v>
      </c>
      <c r="H119" s="32">
        <f>DAY(EOMONTH(PA[[#This Row],[Month Year]],0))</f>
        <v>30</v>
      </c>
      <c r="I119" s="122">
        <v>0.28263888888888888</v>
      </c>
      <c r="J119" s="122">
        <v>0.7631944444444444</v>
      </c>
      <c r="K119" s="35">
        <f>IFERROR((PA[[#This Row],[Sunset Time (POA&lt;20 W/m2)]]-PA[[#This Row],[Sunrise Time (POA&gt;20 W/m2)]])*24,"")</f>
        <v>11.533333333333331</v>
      </c>
      <c r="L119" s="33" t="s">
        <v>293</v>
      </c>
      <c r="M119" s="33" t="s">
        <v>294</v>
      </c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19" s="35">
        <f>IFERROR(_xlfn.XLOOKUP(PA[[#This Row],[Affected Equipment ]],'Basic Data'!N:N,'Basic Data'!Q:Q),"")</f>
        <v>6511.66</v>
      </c>
      <c r="V119" s="39">
        <f ca="1">IFERROR(_xlfn.XLOOKUP(PA[[#This Row],[Affected Equipment ]],'Basic Data'!N:N,'Basic Data'!R:R),"")</f>
        <v>0.1660714103545014</v>
      </c>
      <c r="W119" s="36" t="s">
        <v>345</v>
      </c>
      <c r="X119" s="40"/>
      <c r="Y119" s="40" t="s">
        <v>365</v>
      </c>
      <c r="Z119" s="46">
        <v>0.28263888888888888</v>
      </c>
      <c r="AA119" s="46">
        <v>0.28263888888888888</v>
      </c>
      <c r="AB119" s="46">
        <v>0.28263888888888888</v>
      </c>
      <c r="AC119" s="46">
        <v>0.34861111111111109</v>
      </c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1.583333333333333</v>
      </c>
      <c r="AG119" s="44">
        <f>IFERROR((PA[[#This Row],[Work Completion time on fault]]-PA[[#This Row],[Fault Time]])*24,"")</f>
        <v>1.583333333333333</v>
      </c>
      <c r="AH119" s="36" t="s">
        <v>366</v>
      </c>
      <c r="AI119" s="33" t="s">
        <v>298</v>
      </c>
      <c r="AJ119" s="35">
        <f ca="1">IFERROR(PA[[#This Row],[Breakdown Time]]*PA[[#This Row],[Plant Equivalent Weightage]],"")</f>
        <v>0.26294639972796052</v>
      </c>
      <c r="AK119" s="36">
        <v>7.4765999999999999E-2</v>
      </c>
      <c r="AL119" s="51">
        <f>IFERROR((_xlfn.XLOOKUP($G119,'Modelling New'!D:D,'Modelling New'!$O:$O)*PA[[#This Row],[Lost PoA(kWh/m2)]]*PA[[#This Row],[DC Capacity Affected (kW)]]),"")</f>
        <v>373.0698328270235</v>
      </c>
      <c r="AM119" s="33"/>
      <c r="AN119" s="33"/>
      <c r="AO119" s="33">
        <v>4533</v>
      </c>
      <c r="AP119" s="33"/>
    </row>
    <row r="120" spans="1:42">
      <c r="A120" s="30">
        <v>119</v>
      </c>
      <c r="B120" s="31">
        <v>45834</v>
      </c>
      <c r="C120" s="32">
        <f>YEAR(PA[[#This Row],[Date]])+IF(MONTH(PA[[#This Row],[Date]])&gt;=4,1,0)</f>
        <v>2026</v>
      </c>
      <c r="D120" s="32">
        <f>YEAR(PA[[#This Row],[Date]])</f>
        <v>2025</v>
      </c>
      <c r="E120" s="33" t="s">
        <v>219</v>
      </c>
      <c r="F120" s="33" t="s">
        <v>219</v>
      </c>
      <c r="G120" s="196">
        <f>PA[[#This Row],[Date]]-DAY(PA[[#This Row],[Date]])+1</f>
        <v>45809</v>
      </c>
      <c r="H120" s="32">
        <f>DAY(EOMONTH(PA[[#This Row],[Month Year]],0))</f>
        <v>30</v>
      </c>
      <c r="I120" s="122">
        <v>0.28263888888888888</v>
      </c>
      <c r="J120" s="122">
        <v>0.7631944444444444</v>
      </c>
      <c r="K120" s="35">
        <f>IFERROR((PA[[#This Row],[Sunset Time (POA&lt;20 W/m2)]]-PA[[#This Row],[Sunrise Time (POA&gt;20 W/m2)]])*24,"")</f>
        <v>11.533333333333331</v>
      </c>
      <c r="L120" s="33" t="s">
        <v>293</v>
      </c>
      <c r="M120" s="33" t="s">
        <v>299</v>
      </c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0" s="35">
        <f>IFERROR(_xlfn.XLOOKUP(PA[[#This Row],[Affected Equipment ]],'Basic Data'!N:N,'Basic Data'!Q:Q),"")</f>
        <v>6495.8549999999996</v>
      </c>
      <c r="V120" s="39">
        <f ca="1">IFERROR(_xlfn.XLOOKUP(PA[[#This Row],[Affected Equipment ]],'Basic Data'!N:N,'Basic Data'!R:R),"")</f>
        <v>0.16566832440703902</v>
      </c>
      <c r="W120" s="36" t="s">
        <v>345</v>
      </c>
      <c r="X120" s="40"/>
      <c r="Y120" s="40" t="s">
        <v>365</v>
      </c>
      <c r="Z120" s="46">
        <v>0.28263888888888888</v>
      </c>
      <c r="AA120" s="46">
        <v>0.28263888888888888</v>
      </c>
      <c r="AB120" s="46">
        <v>0.28263888888888888</v>
      </c>
      <c r="AC120" s="46">
        <v>0.34861111111111109</v>
      </c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1.583333333333333</v>
      </c>
      <c r="AG120" s="44">
        <f>IFERROR((PA[[#This Row],[Work Completion time on fault]]-PA[[#This Row],[Fault Time]])*24,"")</f>
        <v>1.583333333333333</v>
      </c>
      <c r="AH120" s="36" t="s">
        <v>366</v>
      </c>
      <c r="AI120" s="33" t="s">
        <v>298</v>
      </c>
      <c r="AJ120" s="35">
        <f ca="1">IFERROR(PA[[#This Row],[Breakdown Time]]*PA[[#This Row],[Plant Equivalent Weightage]],"")</f>
        <v>0.26230818031114506</v>
      </c>
      <c r="AK120" s="36">
        <v>7.4765999999999999E-2</v>
      </c>
      <c r="AL120" s="51">
        <f>IFERROR((_xlfn.XLOOKUP($G120,'Modelling New'!D:D,'Modelling New'!$O:$O)*PA[[#This Row],[Lost PoA(kWh/m2)]]*PA[[#This Row],[DC Capacity Affected (kW)]]),"")</f>
        <v>372.16432352404524</v>
      </c>
      <c r="AM120" s="33"/>
      <c r="AN120" s="33"/>
      <c r="AO120" s="33">
        <v>4533</v>
      </c>
      <c r="AP120" s="33"/>
    </row>
    <row r="121" spans="1:42">
      <c r="A121" s="30">
        <v>120</v>
      </c>
      <c r="B121" s="31">
        <v>45834</v>
      </c>
      <c r="C121" s="32">
        <f>YEAR(PA[[#This Row],[Date]])+IF(MONTH(PA[[#This Row],[Date]])&gt;=4,1,0)</f>
        <v>2026</v>
      </c>
      <c r="D121" s="32">
        <f>YEAR(PA[[#This Row],[Date]])</f>
        <v>2025</v>
      </c>
      <c r="E121" s="33" t="s">
        <v>219</v>
      </c>
      <c r="F121" s="33" t="s">
        <v>219</v>
      </c>
      <c r="G121" s="196">
        <f>PA[[#This Row],[Date]]-DAY(PA[[#This Row],[Date]])+1</f>
        <v>45809</v>
      </c>
      <c r="H121" s="32">
        <f>DAY(EOMONTH(PA[[#This Row],[Month Year]],0))</f>
        <v>30</v>
      </c>
      <c r="I121" s="122">
        <v>0.28263888888888888</v>
      </c>
      <c r="J121" s="122">
        <v>0.7631944444444444</v>
      </c>
      <c r="K121" s="35">
        <f>IFERROR((PA[[#This Row],[Sunset Time (POA&lt;20 W/m2)]]-PA[[#This Row],[Sunrise Time (POA&gt;20 W/m2)]])*24,"")</f>
        <v>11.533333333333331</v>
      </c>
      <c r="L121" s="33" t="s">
        <v>302</v>
      </c>
      <c r="M121" s="33" t="s">
        <v>294</v>
      </c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1" s="35">
        <f>IFERROR(_xlfn.XLOOKUP(PA[[#This Row],[Affected Equipment ]],'Basic Data'!N:N,'Basic Data'!Q:Q),"")</f>
        <v>6527.4649999999992</v>
      </c>
      <c r="V121" s="39">
        <f ca="1">IFERROR(_xlfn.XLOOKUP(PA[[#This Row],[Affected Equipment ]],'Basic Data'!N:N,'Basic Data'!R:R),"")</f>
        <v>0.16647449630196376</v>
      </c>
      <c r="W121" s="36" t="s">
        <v>345</v>
      </c>
      <c r="X121" s="40"/>
      <c r="Y121" s="40" t="s">
        <v>365</v>
      </c>
      <c r="Z121" s="46">
        <v>0.28263888888888888</v>
      </c>
      <c r="AA121" s="46">
        <v>0.28263888888888888</v>
      </c>
      <c r="AB121" s="46">
        <v>0.28263888888888888</v>
      </c>
      <c r="AC121" s="46">
        <v>0.5541666666666667</v>
      </c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6.5166666666666675</v>
      </c>
      <c r="AG121" s="44">
        <f>IFERROR((PA[[#This Row],[Work Completion time on fault]]-PA[[#This Row],[Fault Time]])*24,"")</f>
        <v>6.5166666666666675</v>
      </c>
      <c r="AH121" s="36" t="s">
        <v>367</v>
      </c>
      <c r="AI121" s="33" t="s">
        <v>298</v>
      </c>
      <c r="AJ121" s="35">
        <f ca="1">IFERROR(PA[[#This Row],[Breakdown Time]]*PA[[#This Row],[Plant Equivalent Weightage]],"")</f>
        <v>1.0848588009011306</v>
      </c>
      <c r="AK121" s="36">
        <v>0.45840500000000001</v>
      </c>
      <c r="AL121" s="51">
        <f>IFERROR((_xlfn.XLOOKUP($G121,'Modelling New'!D:D,'Modelling New'!$O:$O)*PA[[#This Row],[Lost PoA(kWh/m2)]]*PA[[#This Row],[DC Capacity Affected (kW)]]),"")</f>
        <v>2292.9161210858333</v>
      </c>
      <c r="AM121" s="33"/>
      <c r="AN121" s="33"/>
      <c r="AO121" s="33">
        <v>4533</v>
      </c>
      <c r="AP121" s="33"/>
    </row>
    <row r="122" spans="1:42">
      <c r="A122" s="30">
        <v>121</v>
      </c>
      <c r="B122" s="31">
        <v>45834</v>
      </c>
      <c r="C122" s="32">
        <f>YEAR(PA[[#This Row],[Date]])+IF(MONTH(PA[[#This Row],[Date]])&gt;=4,1,0)</f>
        <v>2026</v>
      </c>
      <c r="D122" s="32">
        <f>YEAR(PA[[#This Row],[Date]])</f>
        <v>2025</v>
      </c>
      <c r="E122" s="33" t="s">
        <v>219</v>
      </c>
      <c r="F122" s="33" t="s">
        <v>219</v>
      </c>
      <c r="G122" s="196">
        <f>PA[[#This Row],[Date]]-DAY(PA[[#This Row],[Date]])+1</f>
        <v>45809</v>
      </c>
      <c r="H122" s="32">
        <f>DAY(EOMONTH(PA[[#This Row],[Month Year]],0))</f>
        <v>30</v>
      </c>
      <c r="I122" s="122">
        <v>0.28263888888888888</v>
      </c>
      <c r="J122" s="122">
        <v>0.7631944444444444</v>
      </c>
      <c r="K122" s="35">
        <f>IFERROR((PA[[#This Row],[Sunset Time (POA&lt;20 W/m2)]]-PA[[#This Row],[Sunrise Time (POA&gt;20 W/m2)]])*24,"")</f>
        <v>11.533333333333331</v>
      </c>
      <c r="L122" s="33" t="s">
        <v>303</v>
      </c>
      <c r="M122" s="33" t="s">
        <v>294</v>
      </c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22" s="35">
        <f>IFERROR(_xlfn.XLOOKUP(PA[[#This Row],[Affected Equipment ]],'Basic Data'!N:N,'Basic Data'!Q:Q),"")</f>
        <v>5104</v>
      </c>
      <c r="V122" s="39">
        <f ca="1">IFERROR(_xlfn.XLOOKUP(PA[[#This Row],[Affected Equipment ]],'Basic Data'!N:N,'Basic Data'!R:R),"")</f>
        <v>0.13017087477684264</v>
      </c>
      <c r="W122" s="36" t="s">
        <v>345</v>
      </c>
      <c r="X122" s="40"/>
      <c r="Y122" s="40" t="s">
        <v>365</v>
      </c>
      <c r="Z122" s="46">
        <v>0.28263888888888888</v>
      </c>
      <c r="AA122" s="46">
        <v>0.28263888888888888</v>
      </c>
      <c r="AB122" s="46">
        <v>0.28263888888888888</v>
      </c>
      <c r="AC122" s="46">
        <v>0.54722222222222228</v>
      </c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6.3500000000000014</v>
      </c>
      <c r="AG122" s="44">
        <f>IFERROR((PA[[#This Row],[Work Completion time on fault]]-PA[[#This Row],[Fault Time]])*24,"")</f>
        <v>6.3500000000000014</v>
      </c>
      <c r="AH122" s="36" t="s">
        <v>367</v>
      </c>
      <c r="AI122" s="33" t="s">
        <v>298</v>
      </c>
      <c r="AJ122" s="35">
        <f ca="1">IFERROR(PA[[#This Row],[Breakdown Time]]*PA[[#This Row],[Plant Equivalent Weightage]],"")</f>
        <v>0.82658505483295097</v>
      </c>
      <c r="AK122" s="36">
        <v>0.44956299999999999</v>
      </c>
      <c r="AL122" s="51">
        <f>IFERROR((_xlfn.XLOOKUP($G122,'Modelling New'!D:D,'Modelling New'!$O:$O)*PA[[#This Row],[Lost PoA(kWh/m2)]]*PA[[#This Row],[DC Capacity Affected (kW)]]),"")</f>
        <v>1758.310203415421</v>
      </c>
      <c r="AM122" s="33"/>
      <c r="AN122" s="33"/>
      <c r="AO122" s="33">
        <v>4533</v>
      </c>
      <c r="AP122" s="33"/>
    </row>
    <row r="123" spans="1:42">
      <c r="A123" s="30">
        <v>122</v>
      </c>
      <c r="B123" s="31">
        <v>45834</v>
      </c>
      <c r="C123" s="32">
        <f>YEAR(PA[[#This Row],[Date]])+IF(MONTH(PA[[#This Row],[Date]])&gt;=4,1,0)</f>
        <v>2026</v>
      </c>
      <c r="D123" s="32">
        <f>YEAR(PA[[#This Row],[Date]])</f>
        <v>2025</v>
      </c>
      <c r="E123" s="33" t="s">
        <v>219</v>
      </c>
      <c r="F123" s="33" t="s">
        <v>219</v>
      </c>
      <c r="G123" s="196">
        <f>PA[[#This Row],[Date]]-DAY(PA[[#This Row],[Date]])+1</f>
        <v>45809</v>
      </c>
      <c r="H123" s="32">
        <f>DAY(EOMONTH(PA[[#This Row],[Month Year]],0))</f>
        <v>30</v>
      </c>
      <c r="I123" s="122">
        <v>0.28263888888888888</v>
      </c>
      <c r="J123" s="122">
        <v>0.7631944444444444</v>
      </c>
      <c r="K123" s="35">
        <f>IFERROR((PA[[#This Row],[Sunset Time (POA&lt;20 W/m2)]]-PA[[#This Row],[Sunrise Time (POA&gt;20 W/m2)]])*24,"")</f>
        <v>11.533333333333331</v>
      </c>
      <c r="L123" s="33" t="s">
        <v>303</v>
      </c>
      <c r="M123" s="33" t="s">
        <v>299</v>
      </c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3" s="35">
        <f>IFERROR(_xlfn.XLOOKUP(PA[[#This Row],[Affected Equipment ]],'Basic Data'!N:N,'Basic Data'!Q:Q),"")</f>
        <v>5104</v>
      </c>
      <c r="V123" s="39">
        <f ca="1">IFERROR(_xlfn.XLOOKUP(PA[[#This Row],[Affected Equipment ]],'Basic Data'!N:N,'Basic Data'!R:R),"")</f>
        <v>0.13017087477684264</v>
      </c>
      <c r="W123" s="36" t="s">
        <v>345</v>
      </c>
      <c r="X123" s="40"/>
      <c r="Y123" s="40" t="s">
        <v>365</v>
      </c>
      <c r="Z123" s="46">
        <v>0.28263888888888888</v>
      </c>
      <c r="AA123" s="46">
        <v>0.28263888888888888</v>
      </c>
      <c r="AB123" s="46">
        <v>0.28263888888888888</v>
      </c>
      <c r="AC123" s="46">
        <v>0.34097222222222223</v>
      </c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1.4000000000000004</v>
      </c>
      <c r="AG123" s="44">
        <f>IFERROR((PA[[#This Row],[Work Completion time on fault]]-PA[[#This Row],[Fault Time]])*24,"")</f>
        <v>1.4000000000000004</v>
      </c>
      <c r="AH123" s="36" t="s">
        <v>366</v>
      </c>
      <c r="AI123" s="33" t="s">
        <v>298</v>
      </c>
      <c r="AJ123" s="35">
        <f ca="1">IFERROR(PA[[#This Row],[Breakdown Time]]*PA[[#This Row],[Plant Equivalent Weightage]],"")</f>
        <v>0.18223922468757975</v>
      </c>
      <c r="AK123" s="36">
        <v>6.2623999999999999E-2</v>
      </c>
      <c r="AL123" s="51">
        <f>IFERROR((_xlfn.XLOOKUP($G123,'Modelling New'!D:D,'Modelling New'!$O:$O)*PA[[#This Row],[Lost PoA(kWh/m2)]]*PA[[#This Row],[DC Capacity Affected (kW)]]),"")</f>
        <v>244.93211892145777</v>
      </c>
      <c r="AM123" s="33"/>
      <c r="AN123" s="33"/>
      <c r="AO123" s="33">
        <v>4533</v>
      </c>
      <c r="AP123" s="33"/>
    </row>
    <row r="124" spans="1:42">
      <c r="A124" s="30">
        <v>123</v>
      </c>
      <c r="B124" s="31">
        <v>45834</v>
      </c>
      <c r="C124" s="32">
        <f>YEAR(PA[[#This Row],[Date]])+IF(MONTH(PA[[#This Row],[Date]])&gt;=4,1,0)</f>
        <v>2026</v>
      </c>
      <c r="D124" s="32">
        <f>YEAR(PA[[#This Row],[Date]])</f>
        <v>2025</v>
      </c>
      <c r="E124" s="33" t="s">
        <v>219</v>
      </c>
      <c r="F124" s="33" t="s">
        <v>219</v>
      </c>
      <c r="G124" s="196">
        <f>PA[[#This Row],[Date]]-DAY(PA[[#This Row],[Date]])+1</f>
        <v>45809</v>
      </c>
      <c r="H124" s="32">
        <f>DAY(EOMONTH(PA[[#This Row],[Month Year]],0))</f>
        <v>30</v>
      </c>
      <c r="I124" s="122">
        <v>0.28263888888888888</v>
      </c>
      <c r="J124" s="122">
        <v>0.7631944444444444</v>
      </c>
      <c r="K124" s="35">
        <f>IFERROR((PA[[#This Row],[Sunset Time (POA&lt;20 W/m2)]]-PA[[#This Row],[Sunrise Time (POA&gt;20 W/m2)]])*24,"")</f>
        <v>11.533333333333331</v>
      </c>
      <c r="L124" s="33" t="s">
        <v>302</v>
      </c>
      <c r="M124" s="33" t="s">
        <v>294</v>
      </c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4" s="35">
        <f>IFERROR(_xlfn.XLOOKUP(PA[[#This Row],[Affected Equipment ]],'Basic Data'!N:N,'Basic Data'!Q:Q),"")</f>
        <v>6527.4649999999992</v>
      </c>
      <c r="V124" s="39">
        <f ca="1">IFERROR(_xlfn.XLOOKUP(PA[[#This Row],[Affected Equipment ]],'Basic Data'!N:N,'Basic Data'!R:R),"")</f>
        <v>0.16647449630196376</v>
      </c>
      <c r="W124" s="36" t="s">
        <v>304</v>
      </c>
      <c r="X124" s="40"/>
      <c r="Y124" s="347" t="s">
        <v>368</v>
      </c>
      <c r="Z124" s="46">
        <v>0.59930555555555554</v>
      </c>
      <c r="AA124" s="46">
        <v>0.59930555555555554</v>
      </c>
      <c r="AB124" s="46">
        <v>0.59930555555555554</v>
      </c>
      <c r="AC124" s="46">
        <v>0.61527777777777781</v>
      </c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0.38333333333333464</v>
      </c>
      <c r="AG124" s="44">
        <f>IFERROR((PA[[#This Row],[Work Completion time on fault]]-PA[[#This Row],[Fault Time]])*24,"")</f>
        <v>0.38333333333333464</v>
      </c>
      <c r="AH124" s="348" t="s">
        <v>312</v>
      </c>
      <c r="AI124" s="33" t="s">
        <v>298</v>
      </c>
      <c r="AJ124" s="35">
        <f ca="1">IFERROR(PA[[#This Row],[Breakdown Time]]*PA[[#This Row],[Plant Equivalent Weightage]],"")</f>
        <v>6.3815223582419658E-2</v>
      </c>
      <c r="AK124" s="36">
        <v>4.3240000000000001E-2</v>
      </c>
      <c r="AL124" s="51">
        <f>IFERROR((_xlfn.XLOOKUP($G124,'Modelling New'!D:D,'Modelling New'!$O:$O)*PA[[#This Row],[Lost PoA(kWh/m2)]]*PA[[#This Row],[DC Capacity Affected (kW)]]),"")</f>
        <v>216.2840568400245</v>
      </c>
      <c r="AM124" s="33"/>
      <c r="AN124" s="33"/>
      <c r="AO124" s="33"/>
      <c r="AP124" s="33"/>
    </row>
    <row r="125" spans="1:42">
      <c r="A125" s="30">
        <v>124</v>
      </c>
      <c r="B125" s="31">
        <v>45836</v>
      </c>
      <c r="C125" s="32">
        <f>YEAR(PA[[#This Row],[Date]])+IF(MONTH(PA[[#This Row],[Date]])&gt;=4,1,0)</f>
        <v>2026</v>
      </c>
      <c r="D125" s="32">
        <f>YEAR(PA[[#This Row],[Date]])</f>
        <v>2025</v>
      </c>
      <c r="E125" s="33" t="s">
        <v>219</v>
      </c>
      <c r="F125" s="33" t="s">
        <v>219</v>
      </c>
      <c r="G125" s="196">
        <f>PA[[#This Row],[Date]]-DAY(PA[[#This Row],[Date]])+1</f>
        <v>45809</v>
      </c>
      <c r="H125" s="32">
        <f>DAY(EOMONTH(PA[[#This Row],[Month Year]],0))</f>
        <v>30</v>
      </c>
      <c r="I125" s="122">
        <v>0.26458333333333334</v>
      </c>
      <c r="J125" s="122">
        <v>0.76388888888888884</v>
      </c>
      <c r="K125" s="35">
        <f>IFERROR((PA[[#This Row],[Sunset Time (POA&lt;20 W/m2)]]-PA[[#This Row],[Sunrise Time (POA&gt;20 W/m2)]])*24,"")</f>
        <v>11.983333333333333</v>
      </c>
      <c r="L125" s="33" t="s">
        <v>302</v>
      </c>
      <c r="M125" s="33" t="s">
        <v>294</v>
      </c>
      <c r="N125" s="33" t="s">
        <v>320</v>
      </c>
      <c r="O125" s="36" t="s">
        <v>331</v>
      </c>
      <c r="P125" s="36" t="s">
        <v>348</v>
      </c>
      <c r="Q125" s="33"/>
      <c r="R125" s="32">
        <f>IF((PA[[#This Row],[String Type(If String BD)]]&amp;PA[[#This Row],[Equipment (If any BD other than PV  array and inv)]])="",1,0)</f>
        <v>0</v>
      </c>
      <c r="S125" s="32">
        <f>IF(PA[[#This Row],[String Type(If String BD)]]="",1,0)</f>
        <v>0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25" s="35">
        <f>IFERROR(_xlfn.XLOOKUP(PA[[#This Row],[Affected Equipment ]],'Basic Data'!N:N,'Basic Data'!Q:Q),"")</f>
        <v>31.9</v>
      </c>
      <c r="V125" s="39">
        <f ca="1">IFERROR(_xlfn.XLOOKUP(PA[[#This Row],[Affected Equipment ]],'Basic Data'!N:N,'Basic Data'!R:R),"")</f>
        <v>8.1356796735526649E-4</v>
      </c>
      <c r="W125" s="36" t="s">
        <v>349</v>
      </c>
      <c r="X125" s="40"/>
      <c r="Y125" s="40" t="s">
        <v>369</v>
      </c>
      <c r="Z125" s="46">
        <v>0.26458333333333334</v>
      </c>
      <c r="AA125" s="46">
        <v>0.26458333333333334</v>
      </c>
      <c r="AB125" s="46">
        <v>0.26458333333333334</v>
      </c>
      <c r="AC125" s="46">
        <v>0.65277777777777779</v>
      </c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9.3166666666666664</v>
      </c>
      <c r="AG125" s="44">
        <f>IFERROR((PA[[#This Row],[Work Completion time on fault]]-PA[[#This Row],[Fault Time]])*24,"")</f>
        <v>9.3166666666666664</v>
      </c>
      <c r="AH125" s="344" t="s">
        <v>370</v>
      </c>
      <c r="AI125" s="33" t="s">
        <v>298</v>
      </c>
      <c r="AJ125" s="35">
        <f ca="1">IFERROR(PA[[#This Row],[Breakdown Time]]*PA[[#This Row],[Plant Equivalent Weightage]],"")</f>
        <v>7.5797415625265662E-3</v>
      </c>
      <c r="AK125" s="36">
        <v>4.2469999999999999</v>
      </c>
      <c r="AL125" s="51">
        <f>IFERROR((_xlfn.XLOOKUP($G125,'Modelling New'!D:D,'Modelling New'!$O:$O)*PA[[#This Row],[Lost PoA(kWh/m2)]]*PA[[#This Row],[DC Capacity Affected (kW)]]),"")</f>
        <v>103.81669857596837</v>
      </c>
      <c r="AM125" s="33"/>
      <c r="AN125" s="33"/>
      <c r="AO125" s="33">
        <v>4585</v>
      </c>
      <c r="AP125" s="33" t="s">
        <v>371</v>
      </c>
    </row>
    <row r="126" spans="1:42">
      <c r="A126" s="30">
        <v>125</v>
      </c>
      <c r="B126" s="31">
        <v>45837</v>
      </c>
      <c r="C126" s="32">
        <f>YEAR(PA[[#This Row],[Date]])+IF(MONTH(PA[[#This Row],[Date]])&gt;=4,1,0)</f>
        <v>2026</v>
      </c>
      <c r="D126" s="32">
        <f>YEAR(PA[[#This Row],[Date]])</f>
        <v>2025</v>
      </c>
      <c r="E126" s="33" t="s">
        <v>219</v>
      </c>
      <c r="F126" s="33" t="s">
        <v>219</v>
      </c>
      <c r="G126" s="196">
        <f>PA[[#This Row],[Date]]-DAY(PA[[#This Row],[Date]])+1</f>
        <v>45809</v>
      </c>
      <c r="H126" s="32">
        <f>DAY(EOMONTH(PA[[#This Row],[Month Year]],0))</f>
        <v>30</v>
      </c>
      <c r="I126" s="122">
        <v>0.27500000000000002</v>
      </c>
      <c r="J126" s="122">
        <v>0.75069444444444444</v>
      </c>
      <c r="K126" s="35">
        <f>IFERROR((PA[[#This Row],[Sunset Time (POA&lt;20 W/m2)]]-PA[[#This Row],[Sunrise Time (POA&gt;20 W/m2)]])*24,"")</f>
        <v>11.416666666666666</v>
      </c>
      <c r="L126" s="33" t="s">
        <v>300</v>
      </c>
      <c r="M126" s="33" t="s">
        <v>294</v>
      </c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160</v>
      </c>
      <c r="U126" s="35">
        <f>IFERROR(_xlfn.XLOOKUP(PA[[#This Row],[Affected Equipment ]],'Basic Data'!N:N,'Basic Data'!Q:Q),"")</f>
        <v>4662.4750000000004</v>
      </c>
      <c r="V126" s="39">
        <f ca="1">IFERROR(_xlfn.XLOOKUP(PA[[#This Row],[Affected Equipment ]],'Basic Data'!N:N,'Basic Data'!R:R),"")</f>
        <v>0.11891035450140271</v>
      </c>
      <c r="W126" s="36" t="s">
        <v>345</v>
      </c>
      <c r="X126" s="40"/>
      <c r="Y126" s="40" t="s">
        <v>372</v>
      </c>
      <c r="Z126" s="46">
        <v>0.50069444444444444</v>
      </c>
      <c r="AA126" s="46">
        <v>0.50069444444444444</v>
      </c>
      <c r="AB126" s="46">
        <v>0.50069444444444444</v>
      </c>
      <c r="AC126" s="46">
        <v>0.58125000000000004</v>
      </c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1.9333333333333345</v>
      </c>
      <c r="AG126" s="44">
        <f>IFERROR((PA[[#This Row],[Work Completion time on fault]]-PA[[#This Row],[Fault Time]])*24,"")</f>
        <v>1.9333333333333345</v>
      </c>
      <c r="AH126" s="36" t="s">
        <v>373</v>
      </c>
      <c r="AI126" s="33" t="s">
        <v>298</v>
      </c>
      <c r="AJ126" s="35">
        <f ca="1">IFERROR(PA[[#This Row],[Breakdown Time]]*PA[[#This Row],[Plant Equivalent Weightage]],"")</f>
        <v>0.22989335203604536</v>
      </c>
      <c r="AK126" s="36">
        <v>0.37616783333333331</v>
      </c>
      <c r="AL126" s="51">
        <f>IFERROR((_xlfn.XLOOKUP($G126,'Modelling New'!D:D,'Modelling New'!$O:$O)*PA[[#This Row],[Lost PoA(kWh/m2)]]*PA[[#This Row],[DC Capacity Affected (kW)]]),"")</f>
        <v>1343.978872836916</v>
      </c>
      <c r="AM126" s="33"/>
      <c r="AN126" s="33"/>
      <c r="AO126" s="33">
        <v>4611</v>
      </c>
      <c r="AP126" s="33"/>
    </row>
    <row r="127" spans="1:42">
      <c r="A127" s="30">
        <v>126</v>
      </c>
      <c r="B127" s="31">
        <v>45837</v>
      </c>
      <c r="C127" s="32">
        <f>YEAR(PA[[#This Row],[Date]])+IF(MONTH(PA[[#This Row],[Date]])&gt;=4,1,0)</f>
        <v>2026</v>
      </c>
      <c r="D127" s="32">
        <f>YEAR(PA[[#This Row],[Date]])</f>
        <v>2025</v>
      </c>
      <c r="E127" s="33" t="s">
        <v>219</v>
      </c>
      <c r="F127" s="33" t="s">
        <v>219</v>
      </c>
      <c r="G127" s="196">
        <f>PA[[#This Row],[Date]]-DAY(PA[[#This Row],[Date]])+1</f>
        <v>45809</v>
      </c>
      <c r="H127" s="32">
        <f>DAY(EOMONTH(PA[[#This Row],[Month Year]],0))</f>
        <v>30</v>
      </c>
      <c r="I127" s="122">
        <v>0.27500000000000002</v>
      </c>
      <c r="J127" s="122">
        <v>0.75069444444444444</v>
      </c>
      <c r="K127" s="35">
        <f>IFERROR((PA[[#This Row],[Sunset Time (POA&lt;20 W/m2)]]-PA[[#This Row],[Sunrise Time (POA&gt;20 W/m2)]])*24,"")</f>
        <v>11.416666666666666</v>
      </c>
      <c r="L127" s="33" t="s">
        <v>300</v>
      </c>
      <c r="M127" s="33" t="s">
        <v>299</v>
      </c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27" s="35">
        <f>IFERROR(_xlfn.XLOOKUP(PA[[#This Row],[Affected Equipment ]],'Basic Data'!N:N,'Basic Data'!Q:Q),"")</f>
        <v>4662.4750000000004</v>
      </c>
      <c r="V127" s="39">
        <f ca="1">IFERROR(_xlfn.XLOOKUP(PA[[#This Row],[Affected Equipment ]],'Basic Data'!N:N,'Basic Data'!R:R),"")</f>
        <v>0.11891035450140271</v>
      </c>
      <c r="W127" s="36" t="s">
        <v>345</v>
      </c>
      <c r="X127" s="40"/>
      <c r="Y127" s="40" t="s">
        <v>372</v>
      </c>
      <c r="Z127" s="46">
        <v>0.50069444444444444</v>
      </c>
      <c r="AA127" s="46">
        <v>0.50069444444444444</v>
      </c>
      <c r="AB127" s="46">
        <v>0.50069444444444444</v>
      </c>
      <c r="AC127" s="46">
        <v>0.58125000000000004</v>
      </c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1.9333333333333345</v>
      </c>
      <c r="AG127" s="44">
        <f>IFERROR((PA[[#This Row],[Work Completion time on fault]]-PA[[#This Row],[Fault Time]])*24,"")</f>
        <v>1.9333333333333345</v>
      </c>
      <c r="AH127" s="36" t="s">
        <v>373</v>
      </c>
      <c r="AI127" s="33" t="s">
        <v>298</v>
      </c>
      <c r="AJ127" s="35">
        <f ca="1">IFERROR(PA[[#This Row],[Breakdown Time]]*PA[[#This Row],[Plant Equivalent Weightage]],"")</f>
        <v>0.22989335203604536</v>
      </c>
      <c r="AK127" s="36">
        <v>0.37616783333333331</v>
      </c>
      <c r="AL127" s="51">
        <f>IFERROR((_xlfn.XLOOKUP($G127,'Modelling New'!D:D,'Modelling New'!$O:$O)*PA[[#This Row],[Lost PoA(kWh/m2)]]*PA[[#This Row],[DC Capacity Affected (kW)]]),"")</f>
        <v>1343.978872836916</v>
      </c>
      <c r="AM127" s="33"/>
      <c r="AN127" s="33"/>
      <c r="AO127" s="33">
        <v>4611</v>
      </c>
      <c r="AP127" s="33"/>
    </row>
    <row r="128" spans="1:42">
      <c r="A128" s="30">
        <v>127</v>
      </c>
      <c r="B128" s="31">
        <v>45837</v>
      </c>
      <c r="C128" s="32">
        <f>YEAR(PA[[#This Row],[Date]])+IF(MONTH(PA[[#This Row],[Date]])&gt;=4,1,0)</f>
        <v>2026</v>
      </c>
      <c r="D128" s="32">
        <f>YEAR(PA[[#This Row],[Date]])</f>
        <v>2025</v>
      </c>
      <c r="E128" s="33" t="s">
        <v>219</v>
      </c>
      <c r="F128" s="33" t="s">
        <v>219</v>
      </c>
      <c r="G128" s="196">
        <f>PA[[#This Row],[Date]]-DAY(PA[[#This Row],[Date]])+1</f>
        <v>45809</v>
      </c>
      <c r="H128" s="32">
        <f>DAY(EOMONTH(PA[[#This Row],[Month Year]],0))</f>
        <v>30</v>
      </c>
      <c r="I128" s="122">
        <v>0.27500000000000002</v>
      </c>
      <c r="J128" s="122">
        <v>0.75069444444444444</v>
      </c>
      <c r="K128" s="35">
        <f>IFERROR((PA[[#This Row],[Sunset Time (POA&lt;20 W/m2)]]-PA[[#This Row],[Sunrise Time (POA&gt;20 W/m2)]])*24,"")</f>
        <v>11.416666666666666</v>
      </c>
      <c r="L128" s="33" t="s">
        <v>293</v>
      </c>
      <c r="M128" s="33" t="s">
        <v>294</v>
      </c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28" s="35">
        <f>IFERROR(_xlfn.XLOOKUP(PA[[#This Row],[Affected Equipment ]],'Basic Data'!N:N,'Basic Data'!Q:Q),"")</f>
        <v>6511.66</v>
      </c>
      <c r="V128" s="39">
        <f ca="1">IFERROR(_xlfn.XLOOKUP(PA[[#This Row],[Affected Equipment ]],'Basic Data'!N:N,'Basic Data'!R:R),"")</f>
        <v>0.1660714103545014</v>
      </c>
      <c r="W128" s="36" t="s">
        <v>345</v>
      </c>
      <c r="X128" s="40"/>
      <c r="Y128" s="40" t="s">
        <v>372</v>
      </c>
      <c r="Z128" s="46">
        <v>0.50069444444444444</v>
      </c>
      <c r="AA128" s="46">
        <v>0.50069444444444444</v>
      </c>
      <c r="AB128" s="46">
        <v>0.50069444444444444</v>
      </c>
      <c r="AC128" s="46">
        <v>0.58611111111111114</v>
      </c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2.0500000000000007</v>
      </c>
      <c r="AG128" s="44">
        <f>IFERROR((PA[[#This Row],[Work Completion time on fault]]-PA[[#This Row],[Fault Time]])*24,"")</f>
        <v>2.0500000000000007</v>
      </c>
      <c r="AH128" s="36" t="s">
        <v>373</v>
      </c>
      <c r="AI128" s="33" t="s">
        <v>298</v>
      </c>
      <c r="AJ128" s="35">
        <f ca="1">IFERROR(PA[[#This Row],[Breakdown Time]]*PA[[#This Row],[Plant Equivalent Weightage]],"")</f>
        <v>0.34044639122672798</v>
      </c>
      <c r="AK128" s="36">
        <v>0.39956851166666668</v>
      </c>
      <c r="AL128" s="51">
        <f>IFERROR((_xlfn.XLOOKUP($G128,'Modelling New'!D:D,'Modelling New'!$O:$O)*PA[[#This Row],[Lost PoA(kWh/m2)]]*PA[[#This Row],[DC Capacity Affected (kW)]]),"")</f>
        <v>1993.7800317045971</v>
      </c>
      <c r="AM128" s="33"/>
      <c r="AN128" s="33"/>
      <c r="AO128" s="33">
        <v>4611</v>
      </c>
      <c r="AP128" s="33"/>
    </row>
    <row r="129" spans="1:42">
      <c r="A129" s="30">
        <v>128</v>
      </c>
      <c r="B129" s="31">
        <v>45837</v>
      </c>
      <c r="C129" s="32">
        <f>YEAR(PA[[#This Row],[Date]])+IF(MONTH(PA[[#This Row],[Date]])&gt;=4,1,0)</f>
        <v>2026</v>
      </c>
      <c r="D129" s="32">
        <f>YEAR(PA[[#This Row],[Date]])</f>
        <v>2025</v>
      </c>
      <c r="E129" s="33" t="s">
        <v>219</v>
      </c>
      <c r="F129" s="33" t="s">
        <v>219</v>
      </c>
      <c r="G129" s="196">
        <f>PA[[#This Row],[Date]]-DAY(PA[[#This Row],[Date]])+1</f>
        <v>45809</v>
      </c>
      <c r="H129" s="32">
        <f>DAY(EOMONTH(PA[[#This Row],[Month Year]],0))</f>
        <v>30</v>
      </c>
      <c r="I129" s="122">
        <v>0.27500000000000002</v>
      </c>
      <c r="J129" s="122">
        <v>0.75069444444444444</v>
      </c>
      <c r="K129" s="35">
        <f>IFERROR((PA[[#This Row],[Sunset Time (POA&lt;20 W/m2)]]-PA[[#This Row],[Sunrise Time (POA&gt;20 W/m2)]])*24,"")</f>
        <v>11.416666666666666</v>
      </c>
      <c r="L129" s="33" t="s">
        <v>293</v>
      </c>
      <c r="M129" s="33" t="s">
        <v>299</v>
      </c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9" s="35">
        <f>IFERROR(_xlfn.XLOOKUP(PA[[#This Row],[Affected Equipment ]],'Basic Data'!N:N,'Basic Data'!Q:Q),"")</f>
        <v>6495.8549999999996</v>
      </c>
      <c r="V129" s="39">
        <f ca="1">IFERROR(_xlfn.XLOOKUP(PA[[#This Row],[Affected Equipment ]],'Basic Data'!N:N,'Basic Data'!R:R),"")</f>
        <v>0.16566832440703902</v>
      </c>
      <c r="W129" s="36" t="s">
        <v>345</v>
      </c>
      <c r="X129" s="40"/>
      <c r="Y129" s="40" t="s">
        <v>372</v>
      </c>
      <c r="Z129" s="46">
        <v>0.50069444444444444</v>
      </c>
      <c r="AA129" s="46">
        <v>0.50069444444444444</v>
      </c>
      <c r="AB129" s="46">
        <v>0.50069444444444444</v>
      </c>
      <c r="AC129" s="46">
        <v>0.58611111111111114</v>
      </c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2.0500000000000007</v>
      </c>
      <c r="AG129" s="44">
        <f>IFERROR((PA[[#This Row],[Work Completion time on fault]]-PA[[#This Row],[Fault Time]])*24,"")</f>
        <v>2.0500000000000007</v>
      </c>
      <c r="AH129" s="36" t="s">
        <v>373</v>
      </c>
      <c r="AI129" s="33" t="s">
        <v>298</v>
      </c>
      <c r="AJ129" s="35">
        <f ca="1">IFERROR(PA[[#This Row],[Breakdown Time]]*PA[[#This Row],[Plant Equivalent Weightage]],"")</f>
        <v>0.3396200650344301</v>
      </c>
      <c r="AK129" s="36">
        <v>0.39956851166666668</v>
      </c>
      <c r="AL129" s="51">
        <f>IFERROR((_xlfn.XLOOKUP($G129,'Modelling New'!D:D,'Modelling New'!$O:$O)*PA[[#This Row],[Lost PoA(kWh/m2)]]*PA[[#This Row],[DC Capacity Affected (kW)]]),"")</f>
        <v>1988.9407597829841</v>
      </c>
      <c r="AM129" s="33"/>
      <c r="AN129" s="33"/>
      <c r="AO129" s="33">
        <v>4611</v>
      </c>
      <c r="AP129" s="33"/>
    </row>
    <row r="130" spans="1:42">
      <c r="A130" s="30">
        <v>129</v>
      </c>
      <c r="B130" s="31">
        <v>45837</v>
      </c>
      <c r="C130" s="32">
        <f>YEAR(PA[[#This Row],[Date]])+IF(MONTH(PA[[#This Row],[Date]])&gt;=4,1,0)</f>
        <v>2026</v>
      </c>
      <c r="D130" s="32">
        <f>YEAR(PA[[#This Row],[Date]])</f>
        <v>2025</v>
      </c>
      <c r="E130" s="33" t="s">
        <v>219</v>
      </c>
      <c r="F130" s="33" t="s">
        <v>219</v>
      </c>
      <c r="G130" s="196">
        <f>PA[[#This Row],[Date]]-DAY(PA[[#This Row],[Date]])+1</f>
        <v>45809</v>
      </c>
      <c r="H130" s="32">
        <f>DAY(EOMONTH(PA[[#This Row],[Month Year]],0))</f>
        <v>30</v>
      </c>
      <c r="I130" s="122">
        <v>0.27500000000000002</v>
      </c>
      <c r="J130" s="122">
        <v>0.75069444444444444</v>
      </c>
      <c r="K130" s="35">
        <f>IFERROR((PA[[#This Row],[Sunset Time (POA&lt;20 W/m2)]]-PA[[#This Row],[Sunrise Time (POA&gt;20 W/m2)]])*24,"")</f>
        <v>11.416666666666666</v>
      </c>
      <c r="L130" s="33" t="s">
        <v>302</v>
      </c>
      <c r="M130" s="33" t="s">
        <v>294</v>
      </c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0" s="35">
        <f>IFERROR(_xlfn.XLOOKUP(PA[[#This Row],[Affected Equipment ]],'Basic Data'!N:N,'Basic Data'!Q:Q),"")</f>
        <v>6527.4649999999992</v>
      </c>
      <c r="V130" s="39">
        <f ca="1">IFERROR(_xlfn.XLOOKUP(PA[[#This Row],[Affected Equipment ]],'Basic Data'!N:N,'Basic Data'!R:R),"")</f>
        <v>0.16647449630196376</v>
      </c>
      <c r="W130" s="36" t="s">
        <v>345</v>
      </c>
      <c r="X130" s="40"/>
      <c r="Y130" s="40" t="s">
        <v>372</v>
      </c>
      <c r="Z130" s="46">
        <v>0.50069444444444444</v>
      </c>
      <c r="AA130" s="46">
        <v>0.50069444444444444</v>
      </c>
      <c r="AB130" s="46">
        <v>0.50069444444444444</v>
      </c>
      <c r="AC130" s="46">
        <v>0.58402777777777781</v>
      </c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2.0000000000000009</v>
      </c>
      <c r="AG130" s="44">
        <f>IFERROR((PA[[#This Row],[Work Completion time on fault]]-PA[[#This Row],[Fault Time]])*24,"")</f>
        <v>2.0000000000000009</v>
      </c>
      <c r="AH130" s="36" t="s">
        <v>373</v>
      </c>
      <c r="AI130" s="33" t="s">
        <v>298</v>
      </c>
      <c r="AJ130" s="35">
        <f ca="1">IFERROR(PA[[#This Row],[Breakdown Time]]*PA[[#This Row],[Plant Equivalent Weightage]],"")</f>
        <v>0.33294899260392768</v>
      </c>
      <c r="AK130" s="36">
        <v>0.389436</v>
      </c>
      <c r="AL130" s="51">
        <f>IFERROR((_xlfn.XLOOKUP($G130,'Modelling New'!D:D,'Modelling New'!$O:$O)*PA[[#This Row],[Lost PoA(kWh/m2)]]*PA[[#This Row],[DC Capacity Affected (kW)]]),"")</f>
        <v>1947.9370480932419</v>
      </c>
      <c r="AM130" s="33"/>
      <c r="AN130" s="33"/>
      <c r="AO130" s="33">
        <v>4611</v>
      </c>
      <c r="AP130" s="33"/>
    </row>
    <row r="131" spans="1:42">
      <c r="A131" s="30">
        <v>130</v>
      </c>
      <c r="B131" s="31">
        <v>45837</v>
      </c>
      <c r="C131" s="32">
        <f>YEAR(PA[[#This Row],[Date]])+IF(MONTH(PA[[#This Row],[Date]])&gt;=4,1,0)</f>
        <v>2026</v>
      </c>
      <c r="D131" s="32">
        <f>YEAR(PA[[#This Row],[Date]])</f>
        <v>2025</v>
      </c>
      <c r="E131" s="33" t="s">
        <v>219</v>
      </c>
      <c r="F131" s="33" t="s">
        <v>219</v>
      </c>
      <c r="G131" s="196">
        <f>PA[[#This Row],[Date]]-DAY(PA[[#This Row],[Date]])+1</f>
        <v>45809</v>
      </c>
      <c r="H131" s="32">
        <f>DAY(EOMONTH(PA[[#This Row],[Month Year]],0))</f>
        <v>30</v>
      </c>
      <c r="I131" s="122">
        <v>0.27500000000000002</v>
      </c>
      <c r="J131" s="122">
        <v>0.75069444444444444</v>
      </c>
      <c r="K131" s="35">
        <f>IFERROR((PA[[#This Row],[Sunset Time (POA&lt;20 W/m2)]]-PA[[#This Row],[Sunrise Time (POA&gt;20 W/m2)]])*24,"")</f>
        <v>11.416666666666666</v>
      </c>
      <c r="L131" s="33" t="s">
        <v>303</v>
      </c>
      <c r="M131" s="33" t="s">
        <v>294</v>
      </c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1" s="35">
        <f>IFERROR(_xlfn.XLOOKUP(PA[[#This Row],[Affected Equipment ]],'Basic Data'!N:N,'Basic Data'!Q:Q),"")</f>
        <v>5104</v>
      </c>
      <c r="V131" s="39">
        <f ca="1">IFERROR(_xlfn.XLOOKUP(PA[[#This Row],[Affected Equipment ]],'Basic Data'!N:N,'Basic Data'!R:R),"")</f>
        <v>0.13017087477684264</v>
      </c>
      <c r="W131" s="36" t="s">
        <v>345</v>
      </c>
      <c r="X131" s="40"/>
      <c r="Y131" s="40" t="s">
        <v>372</v>
      </c>
      <c r="Z131" s="46">
        <v>0.50069444444444444</v>
      </c>
      <c r="AA131" s="46">
        <v>0.50069444444444444</v>
      </c>
      <c r="AB131" s="46">
        <v>0.50069444444444444</v>
      </c>
      <c r="AC131" s="46">
        <v>0.5756944444444444</v>
      </c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1.7999999999999989</v>
      </c>
      <c r="AG131" s="44">
        <f>IFERROR((PA[[#This Row],[Work Completion time on fault]]-PA[[#This Row],[Fault Time]])*24,"")</f>
        <v>1.7999999999999989</v>
      </c>
      <c r="AH131" s="36" t="s">
        <v>373</v>
      </c>
      <c r="AI131" s="33" t="s">
        <v>298</v>
      </c>
      <c r="AJ131" s="35">
        <f ca="1">IFERROR(PA[[#This Row],[Breakdown Time]]*PA[[#This Row],[Plant Equivalent Weightage]],"")</f>
        <v>0.23430757459831661</v>
      </c>
      <c r="AK131" s="36">
        <v>0.34861993333333335</v>
      </c>
      <c r="AL131" s="51">
        <f>IFERROR((_xlfn.XLOOKUP($G131,'Modelling New'!D:D,'Modelling New'!$O:$O)*PA[[#This Row],[Lost PoA(kWh/m2)]]*PA[[#This Row],[DC Capacity Affected (kW)]]),"")</f>
        <v>1363.5063070003623</v>
      </c>
      <c r="AM131" s="33"/>
      <c r="AN131" s="33"/>
      <c r="AO131" s="33">
        <v>4611</v>
      </c>
      <c r="AP131" s="33"/>
    </row>
    <row r="132" spans="1:42">
      <c r="A132" s="30">
        <v>131</v>
      </c>
      <c r="B132" s="31">
        <v>45837</v>
      </c>
      <c r="C132" s="32">
        <f>YEAR(PA[[#This Row],[Date]])+IF(MONTH(PA[[#This Row],[Date]])&gt;=4,1,0)</f>
        <v>2026</v>
      </c>
      <c r="D132" s="32">
        <f>YEAR(PA[[#This Row],[Date]])</f>
        <v>2025</v>
      </c>
      <c r="E132" s="33" t="s">
        <v>219</v>
      </c>
      <c r="F132" s="33" t="s">
        <v>219</v>
      </c>
      <c r="G132" s="196">
        <f>PA[[#This Row],[Date]]-DAY(PA[[#This Row],[Date]])+1</f>
        <v>45809</v>
      </c>
      <c r="H132" s="32">
        <f>DAY(EOMONTH(PA[[#This Row],[Month Year]],0))</f>
        <v>30</v>
      </c>
      <c r="I132" s="122">
        <v>0.27500000000000002</v>
      </c>
      <c r="J132" s="122">
        <v>0.75069444444444444</v>
      </c>
      <c r="K132" s="35">
        <f>IFERROR((PA[[#This Row],[Sunset Time (POA&lt;20 W/m2)]]-PA[[#This Row],[Sunrise Time (POA&gt;20 W/m2)]])*24,"")</f>
        <v>11.416666666666666</v>
      </c>
      <c r="L132" s="33" t="s">
        <v>303</v>
      </c>
      <c r="M132" s="33" t="s">
        <v>299</v>
      </c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2" s="35">
        <f>IFERROR(_xlfn.XLOOKUP(PA[[#This Row],[Affected Equipment ]],'Basic Data'!N:N,'Basic Data'!Q:Q),"")</f>
        <v>5104</v>
      </c>
      <c r="V132" s="39">
        <f ca="1">IFERROR(_xlfn.XLOOKUP(PA[[#This Row],[Affected Equipment ]],'Basic Data'!N:N,'Basic Data'!R:R),"")</f>
        <v>0.13017087477684264</v>
      </c>
      <c r="W132" s="36" t="s">
        <v>345</v>
      </c>
      <c r="X132" s="40"/>
      <c r="Y132" s="40" t="s">
        <v>372</v>
      </c>
      <c r="Z132" s="46">
        <v>0.50069444444444444</v>
      </c>
      <c r="AA132" s="46">
        <v>0.50069444444444444</v>
      </c>
      <c r="AB132" s="46">
        <v>0.50069444444444444</v>
      </c>
      <c r="AC132" s="46">
        <v>0.5756944444444444</v>
      </c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1.7999999999999989</v>
      </c>
      <c r="AG132" s="44">
        <f>IFERROR((PA[[#This Row],[Work Completion time on fault]]-PA[[#This Row],[Fault Time]])*24,"")</f>
        <v>1.7999999999999989</v>
      </c>
      <c r="AH132" s="36" t="s">
        <v>373</v>
      </c>
      <c r="AI132" s="33" t="s">
        <v>298</v>
      </c>
      <c r="AJ132" s="35">
        <f ca="1">IFERROR(PA[[#This Row],[Breakdown Time]]*PA[[#This Row],[Plant Equivalent Weightage]],"")</f>
        <v>0.23430757459831661</v>
      </c>
      <c r="AK132" s="36">
        <v>0.34861993333333335</v>
      </c>
      <c r="AL132" s="51">
        <f>IFERROR((_xlfn.XLOOKUP($G132,'Modelling New'!D:D,'Modelling New'!$O:$O)*PA[[#This Row],[Lost PoA(kWh/m2)]]*PA[[#This Row],[DC Capacity Affected (kW)]]),"")</f>
        <v>1363.5063070003623</v>
      </c>
      <c r="AM132" s="33"/>
      <c r="AN132" s="33"/>
      <c r="AO132" s="33">
        <v>4611</v>
      </c>
      <c r="AP132" s="33"/>
    </row>
    <row r="133" spans="1:42">
      <c r="A133" s="30">
        <v>132</v>
      </c>
      <c r="B133" s="31">
        <v>45837</v>
      </c>
      <c r="C133" s="32">
        <f>YEAR(PA[[#This Row],[Date]])+IF(MONTH(PA[[#This Row],[Date]])&gt;=4,1,0)</f>
        <v>2026</v>
      </c>
      <c r="D133" s="32">
        <f>YEAR(PA[[#This Row],[Date]])</f>
        <v>2025</v>
      </c>
      <c r="E133" s="33" t="s">
        <v>219</v>
      </c>
      <c r="F133" s="33" t="s">
        <v>219</v>
      </c>
      <c r="G133" s="196">
        <f>PA[[#This Row],[Date]]-DAY(PA[[#This Row],[Date]])+1</f>
        <v>45809</v>
      </c>
      <c r="H133" s="32">
        <f>DAY(EOMONTH(PA[[#This Row],[Month Year]],0))</f>
        <v>30</v>
      </c>
      <c r="I133" s="122">
        <v>0.27500000000000002</v>
      </c>
      <c r="J133" s="122">
        <v>0.75069444444444444</v>
      </c>
      <c r="K133" s="35">
        <f>IFERROR((PA[[#This Row],[Sunset Time (POA&lt;20 W/m2)]]-PA[[#This Row],[Sunrise Time (POA&gt;20 W/m2)]])*24,"")</f>
        <v>11.416666666666666</v>
      </c>
      <c r="L133" s="33" t="s">
        <v>300</v>
      </c>
      <c r="M133" s="33" t="s">
        <v>294</v>
      </c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33" s="35">
        <f>IFERROR(_xlfn.XLOOKUP(PA[[#This Row],[Affected Equipment ]],'Basic Data'!N:N,'Basic Data'!Q:Q),"")</f>
        <v>4662.4750000000004</v>
      </c>
      <c r="V133" s="39">
        <f ca="1">IFERROR(_xlfn.XLOOKUP(PA[[#This Row],[Affected Equipment ]],'Basic Data'!N:N,'Basic Data'!R:R),"")</f>
        <v>0.11891035450140271</v>
      </c>
      <c r="W133" s="36" t="s">
        <v>345</v>
      </c>
      <c r="X133" s="40"/>
      <c r="Y133" s="40" t="s">
        <v>372</v>
      </c>
      <c r="Z133" s="46">
        <v>0.59027777777777779</v>
      </c>
      <c r="AA133" s="46">
        <v>0.59027777777777779</v>
      </c>
      <c r="AB133" s="46">
        <v>0.59027777777777779</v>
      </c>
      <c r="AC133" s="46">
        <v>0.6791666666666667</v>
      </c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2.1333333333333337</v>
      </c>
      <c r="AG133" s="44">
        <f>IFERROR((PA[[#This Row],[Work Completion time on fault]]-PA[[#This Row],[Fault Time]])*24,"")</f>
        <v>2.1333333333333337</v>
      </c>
      <c r="AH133" s="36" t="s">
        <v>373</v>
      </c>
      <c r="AI133" s="33" t="s">
        <v>298</v>
      </c>
      <c r="AJ133" s="35">
        <f ca="1">IFERROR(PA[[#This Row],[Breakdown Time]]*PA[[#This Row],[Plant Equivalent Weightage]],"")</f>
        <v>0.25367542293632583</v>
      </c>
      <c r="AK133" s="36">
        <v>0.31530596166666669</v>
      </c>
      <c r="AL133" s="51">
        <f>IFERROR((_xlfn.XLOOKUP($G133,'Modelling New'!D:D,'Modelling New'!$O:$O)*PA[[#This Row],[Lost PoA(kWh/m2)]]*PA[[#This Row],[DC Capacity Affected (kW)]]),"")</f>
        <v>1126.5305361291123</v>
      </c>
      <c r="AM133" s="33"/>
      <c r="AN133" s="33"/>
      <c r="AO133" s="33">
        <v>4610</v>
      </c>
      <c r="AP133" s="33"/>
    </row>
    <row r="134" spans="1:42">
      <c r="A134" s="30">
        <v>133</v>
      </c>
      <c r="B134" s="31">
        <v>45837</v>
      </c>
      <c r="C134" s="32">
        <f>YEAR(PA[[#This Row],[Date]])+IF(MONTH(PA[[#This Row],[Date]])&gt;=4,1,0)</f>
        <v>2026</v>
      </c>
      <c r="D134" s="32">
        <f>YEAR(PA[[#This Row],[Date]])</f>
        <v>2025</v>
      </c>
      <c r="E134" s="33" t="s">
        <v>219</v>
      </c>
      <c r="F134" s="33" t="s">
        <v>219</v>
      </c>
      <c r="G134" s="196">
        <f>PA[[#This Row],[Date]]-DAY(PA[[#This Row],[Date]])+1</f>
        <v>45809</v>
      </c>
      <c r="H134" s="32">
        <f>DAY(EOMONTH(PA[[#This Row],[Month Year]],0))</f>
        <v>30</v>
      </c>
      <c r="I134" s="122">
        <v>0.27500000000000002</v>
      </c>
      <c r="J134" s="122">
        <v>0.75069444444444444</v>
      </c>
      <c r="K134" s="35">
        <f>IFERROR((PA[[#This Row],[Sunset Time (POA&lt;20 W/m2)]]-PA[[#This Row],[Sunrise Time (POA&gt;20 W/m2)]])*24,"")</f>
        <v>11.416666666666666</v>
      </c>
      <c r="L134" s="33" t="s">
        <v>300</v>
      </c>
      <c r="M134" s="33" t="s">
        <v>299</v>
      </c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34" s="35">
        <f>IFERROR(_xlfn.XLOOKUP(PA[[#This Row],[Affected Equipment ]],'Basic Data'!N:N,'Basic Data'!Q:Q),"")</f>
        <v>4662.4750000000004</v>
      </c>
      <c r="V134" s="39">
        <f ca="1">IFERROR(_xlfn.XLOOKUP(PA[[#This Row],[Affected Equipment ]],'Basic Data'!N:N,'Basic Data'!R:R),"")</f>
        <v>0.11891035450140271</v>
      </c>
      <c r="W134" s="36" t="s">
        <v>345</v>
      </c>
      <c r="X134" s="40"/>
      <c r="Y134" s="40" t="s">
        <v>372</v>
      </c>
      <c r="Z134" s="46">
        <v>0.59027777777777779</v>
      </c>
      <c r="AA134" s="46">
        <v>0.59027777777777779</v>
      </c>
      <c r="AB134" s="46">
        <v>0.59027777777777779</v>
      </c>
      <c r="AC134" s="46">
        <v>0.6791666666666667</v>
      </c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2.1333333333333337</v>
      </c>
      <c r="AG134" s="44">
        <f>IFERROR((PA[[#This Row],[Work Completion time on fault]]-PA[[#This Row],[Fault Time]])*24,"")</f>
        <v>2.1333333333333337</v>
      </c>
      <c r="AH134" s="36" t="s">
        <v>373</v>
      </c>
      <c r="AI134" s="33" t="s">
        <v>298</v>
      </c>
      <c r="AJ134" s="35">
        <f ca="1">IFERROR(PA[[#This Row],[Breakdown Time]]*PA[[#This Row],[Plant Equivalent Weightage]],"")</f>
        <v>0.25367542293632583</v>
      </c>
      <c r="AK134" s="36">
        <v>0.31530596166666669</v>
      </c>
      <c r="AL134" s="51">
        <f>IFERROR((_xlfn.XLOOKUP($G134,'Modelling New'!D:D,'Modelling New'!$O:$O)*PA[[#This Row],[Lost PoA(kWh/m2)]]*PA[[#This Row],[DC Capacity Affected (kW)]]),"")</f>
        <v>1126.5305361291123</v>
      </c>
      <c r="AM134" s="33"/>
      <c r="AN134" s="33"/>
      <c r="AO134" s="33">
        <v>4610</v>
      </c>
      <c r="AP134" s="33"/>
    </row>
    <row r="135" spans="1:42">
      <c r="A135" s="30">
        <v>134</v>
      </c>
      <c r="B135" s="31">
        <v>45837</v>
      </c>
      <c r="C135" s="32">
        <f>YEAR(PA[[#This Row],[Date]])+IF(MONTH(PA[[#This Row],[Date]])&gt;=4,1,0)</f>
        <v>2026</v>
      </c>
      <c r="D135" s="32">
        <f>YEAR(PA[[#This Row],[Date]])</f>
        <v>2025</v>
      </c>
      <c r="E135" s="33" t="s">
        <v>219</v>
      </c>
      <c r="F135" s="33" t="s">
        <v>219</v>
      </c>
      <c r="G135" s="196">
        <f>PA[[#This Row],[Date]]-DAY(PA[[#This Row],[Date]])+1</f>
        <v>45809</v>
      </c>
      <c r="H135" s="32">
        <f>DAY(EOMONTH(PA[[#This Row],[Month Year]],0))</f>
        <v>30</v>
      </c>
      <c r="I135" s="122">
        <v>0.27500000000000002</v>
      </c>
      <c r="J135" s="122">
        <v>0.75069444444444444</v>
      </c>
      <c r="K135" s="35">
        <f>IFERROR((PA[[#This Row],[Sunset Time (POA&lt;20 W/m2)]]-PA[[#This Row],[Sunrise Time (POA&gt;20 W/m2)]])*24,"")</f>
        <v>11.416666666666666</v>
      </c>
      <c r="L135" s="33" t="s">
        <v>293</v>
      </c>
      <c r="M135" s="33" t="s">
        <v>294</v>
      </c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35" s="35">
        <f>IFERROR(_xlfn.XLOOKUP(PA[[#This Row],[Affected Equipment ]],'Basic Data'!N:N,'Basic Data'!Q:Q),"")</f>
        <v>6511.66</v>
      </c>
      <c r="V135" s="39">
        <f ca="1">IFERROR(_xlfn.XLOOKUP(PA[[#This Row],[Affected Equipment ]],'Basic Data'!N:N,'Basic Data'!R:R),"")</f>
        <v>0.1660714103545014</v>
      </c>
      <c r="W135" s="36" t="s">
        <v>345</v>
      </c>
      <c r="X135" s="40"/>
      <c r="Y135" s="40" t="s">
        <v>372</v>
      </c>
      <c r="Z135" s="46">
        <v>0.59027777777777779</v>
      </c>
      <c r="AA135" s="46">
        <v>0.59027777777777779</v>
      </c>
      <c r="AB135" s="46">
        <v>0.59027777777777779</v>
      </c>
      <c r="AC135" s="46">
        <v>0.67291666666666672</v>
      </c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1.9833333333333343</v>
      </c>
      <c r="AG135" s="44">
        <f>IFERROR((PA[[#This Row],[Work Completion time on fault]]-PA[[#This Row],[Fault Time]])*24,"")</f>
        <v>1.9833333333333343</v>
      </c>
      <c r="AH135" s="36" t="s">
        <v>373</v>
      </c>
      <c r="AI135" s="33" t="s">
        <v>298</v>
      </c>
      <c r="AJ135" s="35">
        <f ca="1">IFERROR(PA[[#This Row],[Breakdown Time]]*PA[[#This Row],[Plant Equivalent Weightage]],"")</f>
        <v>0.32937496386976128</v>
      </c>
      <c r="AK135" s="36">
        <v>0.30112380666666666</v>
      </c>
      <c r="AL135" s="51">
        <f>IFERROR((_xlfn.XLOOKUP($G135,'Modelling New'!D:D,'Modelling New'!$O:$O)*PA[[#This Row],[Lost PoA(kWh/m2)]]*PA[[#This Row],[DC Capacity Affected (kW)]]),"")</f>
        <v>1502.5574220015819</v>
      </c>
      <c r="AM135" s="33"/>
      <c r="AN135" s="33"/>
      <c r="AO135" s="33">
        <v>4610</v>
      </c>
      <c r="AP135" s="33"/>
    </row>
    <row r="136" spans="1:42">
      <c r="A136" s="30">
        <v>135</v>
      </c>
      <c r="B136" s="31">
        <v>45837</v>
      </c>
      <c r="C136" s="32">
        <f>YEAR(PA[[#This Row],[Date]])+IF(MONTH(PA[[#This Row],[Date]])&gt;=4,1,0)</f>
        <v>2026</v>
      </c>
      <c r="D136" s="32">
        <f>YEAR(PA[[#This Row],[Date]])</f>
        <v>2025</v>
      </c>
      <c r="E136" s="33" t="s">
        <v>219</v>
      </c>
      <c r="F136" s="33" t="s">
        <v>219</v>
      </c>
      <c r="G136" s="196">
        <f>PA[[#This Row],[Date]]-DAY(PA[[#This Row],[Date]])+1</f>
        <v>45809</v>
      </c>
      <c r="H136" s="32">
        <f>DAY(EOMONTH(PA[[#This Row],[Month Year]],0))</f>
        <v>30</v>
      </c>
      <c r="I136" s="122">
        <v>0.27500000000000002</v>
      </c>
      <c r="J136" s="122">
        <v>0.75069444444444444</v>
      </c>
      <c r="K136" s="35">
        <f>IFERROR((PA[[#This Row],[Sunset Time (POA&lt;20 W/m2)]]-PA[[#This Row],[Sunrise Time (POA&gt;20 W/m2)]])*24,"")</f>
        <v>11.416666666666666</v>
      </c>
      <c r="L136" s="33" t="s">
        <v>293</v>
      </c>
      <c r="M136" s="33" t="s">
        <v>299</v>
      </c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36" s="35">
        <f>IFERROR(_xlfn.XLOOKUP(PA[[#This Row],[Affected Equipment ]],'Basic Data'!N:N,'Basic Data'!Q:Q),"")</f>
        <v>6495.8549999999996</v>
      </c>
      <c r="V136" s="39">
        <f ca="1">IFERROR(_xlfn.XLOOKUP(PA[[#This Row],[Affected Equipment ]],'Basic Data'!N:N,'Basic Data'!R:R),"")</f>
        <v>0.16566832440703902</v>
      </c>
      <c r="W136" s="36" t="s">
        <v>345</v>
      </c>
      <c r="X136" s="40"/>
      <c r="Y136" s="40" t="s">
        <v>372</v>
      </c>
      <c r="Z136" s="46">
        <v>0.59027777777777779</v>
      </c>
      <c r="AA136" s="46">
        <v>0.59027777777777779</v>
      </c>
      <c r="AB136" s="46">
        <v>0.59027777777777779</v>
      </c>
      <c r="AC136" s="46">
        <v>0.67291666666666672</v>
      </c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1.9833333333333343</v>
      </c>
      <c r="AG136" s="44">
        <f>IFERROR((PA[[#This Row],[Work Completion time on fault]]-PA[[#This Row],[Fault Time]])*24,"")</f>
        <v>1.9833333333333343</v>
      </c>
      <c r="AH136" s="36" t="s">
        <v>373</v>
      </c>
      <c r="AI136" s="33" t="s">
        <v>298</v>
      </c>
      <c r="AJ136" s="35">
        <f ca="1">IFERROR(PA[[#This Row],[Breakdown Time]]*PA[[#This Row],[Plant Equivalent Weightage]],"")</f>
        <v>0.32857551007396085</v>
      </c>
      <c r="AK136" s="36">
        <v>0.30112380666666666</v>
      </c>
      <c r="AL136" s="51">
        <f>IFERROR((_xlfn.XLOOKUP($G136,'Modelling New'!D:D,'Modelling New'!$O:$O)*PA[[#This Row],[Lost PoA(kWh/m2)]]*PA[[#This Row],[DC Capacity Affected (kW)]]),"")</f>
        <v>1498.9104379675975</v>
      </c>
      <c r="AM136" s="33"/>
      <c r="AN136" s="33"/>
      <c r="AO136" s="33">
        <v>4610</v>
      </c>
      <c r="AP136" s="33"/>
    </row>
    <row r="137" spans="1:42">
      <c r="A137" s="30">
        <v>136</v>
      </c>
      <c r="B137" s="31">
        <v>45837</v>
      </c>
      <c r="C137" s="32">
        <f>YEAR(PA[[#This Row],[Date]])+IF(MONTH(PA[[#This Row],[Date]])&gt;=4,1,0)</f>
        <v>2026</v>
      </c>
      <c r="D137" s="32">
        <f>YEAR(PA[[#This Row],[Date]])</f>
        <v>2025</v>
      </c>
      <c r="E137" s="33" t="s">
        <v>219</v>
      </c>
      <c r="F137" s="33" t="s">
        <v>219</v>
      </c>
      <c r="G137" s="196">
        <f>PA[[#This Row],[Date]]-DAY(PA[[#This Row],[Date]])+1</f>
        <v>45809</v>
      </c>
      <c r="H137" s="32">
        <f>DAY(EOMONTH(PA[[#This Row],[Month Year]],0))</f>
        <v>30</v>
      </c>
      <c r="I137" s="122">
        <v>0.27500000000000002</v>
      </c>
      <c r="J137" s="122">
        <v>0.75069444444444444</v>
      </c>
      <c r="K137" s="35">
        <f>IFERROR((PA[[#This Row],[Sunset Time (POA&lt;20 W/m2)]]-PA[[#This Row],[Sunrise Time (POA&gt;20 W/m2)]])*24,"")</f>
        <v>11.416666666666666</v>
      </c>
      <c r="L137" s="33" t="s">
        <v>302</v>
      </c>
      <c r="M137" s="33" t="s">
        <v>294</v>
      </c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7" s="35">
        <f>IFERROR(_xlfn.XLOOKUP(PA[[#This Row],[Affected Equipment ]],'Basic Data'!N:N,'Basic Data'!Q:Q),"")</f>
        <v>6527.4649999999992</v>
      </c>
      <c r="V137" s="39">
        <f ca="1">IFERROR(_xlfn.XLOOKUP(PA[[#This Row],[Affected Equipment ]],'Basic Data'!N:N,'Basic Data'!R:R),"")</f>
        <v>0.16647449630196376</v>
      </c>
      <c r="W137" s="36" t="s">
        <v>345</v>
      </c>
      <c r="X137" s="40"/>
      <c r="Y137" s="40" t="s">
        <v>372</v>
      </c>
      <c r="Z137" s="46">
        <v>0.59027777777777779</v>
      </c>
      <c r="AA137" s="46">
        <v>0.59027777777777779</v>
      </c>
      <c r="AB137" s="46">
        <v>0.59027777777777779</v>
      </c>
      <c r="AC137" s="46">
        <v>0.67708333333333337</v>
      </c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2.0833333333333339</v>
      </c>
      <c r="AG137" s="44">
        <f>IFERROR((PA[[#This Row],[Work Completion time on fault]]-PA[[#This Row],[Fault Time]])*24,"")</f>
        <v>2.0833333333333339</v>
      </c>
      <c r="AH137" s="36" t="s">
        <v>373</v>
      </c>
      <c r="AI137" s="33" t="s">
        <v>298</v>
      </c>
      <c r="AJ137" s="35">
        <f ca="1">IFERROR(PA[[#This Row],[Breakdown Time]]*PA[[#This Row],[Plant Equivalent Weightage]],"")</f>
        <v>0.34682186729575792</v>
      </c>
      <c r="AK137" s="36">
        <v>0.31083002500000001</v>
      </c>
      <c r="AL137" s="51">
        <f>IFERROR((_xlfn.XLOOKUP($G137,'Modelling New'!D:D,'Modelling New'!$O:$O)*PA[[#This Row],[Lost PoA(kWh/m2)]]*PA[[#This Row],[DC Capacity Affected (kW)]]),"")</f>
        <v>1554.7543662045848</v>
      </c>
      <c r="AM137" s="33"/>
      <c r="AN137" s="33"/>
      <c r="AO137" s="33">
        <v>4610</v>
      </c>
      <c r="AP137" s="33"/>
    </row>
    <row r="138" spans="1:42">
      <c r="A138" s="30">
        <v>137</v>
      </c>
      <c r="B138" s="31">
        <v>45837</v>
      </c>
      <c r="C138" s="32">
        <f>YEAR(PA[[#This Row],[Date]])+IF(MONTH(PA[[#This Row],[Date]])&gt;=4,1,0)</f>
        <v>2026</v>
      </c>
      <c r="D138" s="32">
        <f>YEAR(PA[[#This Row],[Date]])</f>
        <v>2025</v>
      </c>
      <c r="E138" s="33" t="s">
        <v>219</v>
      </c>
      <c r="F138" s="33" t="s">
        <v>219</v>
      </c>
      <c r="G138" s="196">
        <f>PA[[#This Row],[Date]]-DAY(PA[[#This Row],[Date]])+1</f>
        <v>45809</v>
      </c>
      <c r="H138" s="32">
        <f>DAY(EOMONTH(PA[[#This Row],[Month Year]],0))</f>
        <v>30</v>
      </c>
      <c r="I138" s="122">
        <v>0.27500000000000002</v>
      </c>
      <c r="J138" s="122">
        <v>0.75069444444444444</v>
      </c>
      <c r="K138" s="35">
        <f>IFERROR((PA[[#This Row],[Sunset Time (POA&lt;20 W/m2)]]-PA[[#This Row],[Sunrise Time (POA&gt;20 W/m2)]])*24,"")</f>
        <v>11.416666666666666</v>
      </c>
      <c r="L138" s="33" t="s">
        <v>303</v>
      </c>
      <c r="M138" s="33" t="s">
        <v>294</v>
      </c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8" s="35">
        <f>IFERROR(_xlfn.XLOOKUP(PA[[#This Row],[Affected Equipment ]],'Basic Data'!N:N,'Basic Data'!Q:Q),"")</f>
        <v>5104</v>
      </c>
      <c r="V138" s="39">
        <f ca="1">IFERROR(_xlfn.XLOOKUP(PA[[#This Row],[Affected Equipment ]],'Basic Data'!N:N,'Basic Data'!R:R),"")</f>
        <v>0.13017087477684264</v>
      </c>
      <c r="W138" s="36" t="s">
        <v>345</v>
      </c>
      <c r="X138" s="40"/>
      <c r="Y138" s="40" t="s">
        <v>372</v>
      </c>
      <c r="Z138" s="46">
        <v>0.59027777777777779</v>
      </c>
      <c r="AA138" s="46">
        <v>0.59027777777777779</v>
      </c>
      <c r="AB138" s="46">
        <v>0.59027777777777779</v>
      </c>
      <c r="AC138" s="46">
        <v>0.6694444444444444</v>
      </c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1.8999999999999986</v>
      </c>
      <c r="AG138" s="44">
        <f>IFERROR((PA[[#This Row],[Work Completion time on fault]]-PA[[#This Row],[Fault Time]])*24,"")</f>
        <v>1.8999999999999986</v>
      </c>
      <c r="AH138" s="36" t="s">
        <v>373</v>
      </c>
      <c r="AI138" s="33" t="s">
        <v>298</v>
      </c>
      <c r="AJ138" s="35">
        <f ca="1">IFERROR(PA[[#This Row],[Breakdown Time]]*PA[[#This Row],[Plant Equivalent Weightage]],"")</f>
        <v>0.24732466207600082</v>
      </c>
      <c r="AK138" s="36">
        <v>0.29203591166666665</v>
      </c>
      <c r="AL138" s="51">
        <f>IFERROR((_xlfn.XLOOKUP($G138,'Modelling New'!D:D,'Modelling New'!$O:$O)*PA[[#This Row],[Lost PoA(kWh/m2)]]*PA[[#This Row],[DC Capacity Affected (kW)]]),"")</f>
        <v>1142.1974745413313</v>
      </c>
      <c r="AM138" s="33"/>
      <c r="AN138" s="33"/>
      <c r="AO138" s="33">
        <v>4610</v>
      </c>
      <c r="AP138" s="33"/>
    </row>
    <row r="139" spans="1:42">
      <c r="A139" s="30">
        <v>138</v>
      </c>
      <c r="B139" s="31">
        <v>45837</v>
      </c>
      <c r="C139" s="32">
        <f>YEAR(PA[[#This Row],[Date]])+IF(MONTH(PA[[#This Row],[Date]])&gt;=4,1,0)</f>
        <v>2026</v>
      </c>
      <c r="D139" s="32">
        <f>YEAR(PA[[#This Row],[Date]])</f>
        <v>2025</v>
      </c>
      <c r="E139" s="33" t="s">
        <v>219</v>
      </c>
      <c r="F139" s="33" t="s">
        <v>219</v>
      </c>
      <c r="G139" s="196">
        <f>PA[[#This Row],[Date]]-DAY(PA[[#This Row],[Date]])+1</f>
        <v>45809</v>
      </c>
      <c r="H139" s="32">
        <f>DAY(EOMONTH(PA[[#This Row],[Month Year]],0))</f>
        <v>30</v>
      </c>
      <c r="I139" s="122">
        <v>0.27500000000000002</v>
      </c>
      <c r="J139" s="122">
        <v>0.75069444444444444</v>
      </c>
      <c r="K139" s="35">
        <f>IFERROR((PA[[#This Row],[Sunset Time (POA&lt;20 W/m2)]]-PA[[#This Row],[Sunrise Time (POA&gt;20 W/m2)]])*24,"")</f>
        <v>11.416666666666666</v>
      </c>
      <c r="L139" s="33" t="s">
        <v>303</v>
      </c>
      <c r="M139" s="33" t="s">
        <v>299</v>
      </c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9" s="35">
        <f>IFERROR(_xlfn.XLOOKUP(PA[[#This Row],[Affected Equipment ]],'Basic Data'!N:N,'Basic Data'!Q:Q),"")</f>
        <v>5104</v>
      </c>
      <c r="V139" s="39">
        <f ca="1">IFERROR(_xlfn.XLOOKUP(PA[[#This Row],[Affected Equipment ]],'Basic Data'!N:N,'Basic Data'!R:R),"")</f>
        <v>0.13017087477684264</v>
      </c>
      <c r="W139" s="36" t="s">
        <v>345</v>
      </c>
      <c r="X139" s="40"/>
      <c r="Y139" s="40" t="s">
        <v>372</v>
      </c>
      <c r="Z139" s="46">
        <v>0.59027777777777779</v>
      </c>
      <c r="AA139" s="46">
        <v>0.59027777777777779</v>
      </c>
      <c r="AB139" s="46">
        <v>0.59027777777777779</v>
      </c>
      <c r="AC139" s="46">
        <v>0.6694444444444444</v>
      </c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1.8999999999999986</v>
      </c>
      <c r="AG139" s="44">
        <f>IFERROR((PA[[#This Row],[Work Completion time on fault]]-PA[[#This Row],[Fault Time]])*24,"")</f>
        <v>1.8999999999999986</v>
      </c>
      <c r="AH139" s="36" t="s">
        <v>373</v>
      </c>
      <c r="AI139" s="33" t="s">
        <v>298</v>
      </c>
      <c r="AJ139" s="35">
        <f ca="1">IFERROR(PA[[#This Row],[Breakdown Time]]*PA[[#This Row],[Plant Equivalent Weightage]],"")</f>
        <v>0.24732466207600082</v>
      </c>
      <c r="AK139" s="36">
        <v>0.29203591166666665</v>
      </c>
      <c r="AL139" s="51">
        <f>IFERROR((_xlfn.XLOOKUP($G139,'Modelling New'!D:D,'Modelling New'!$O:$O)*PA[[#This Row],[Lost PoA(kWh/m2)]]*PA[[#This Row],[DC Capacity Affected (kW)]]),"")</f>
        <v>1142.1974745413313</v>
      </c>
      <c r="AM139" s="33"/>
      <c r="AN139" s="33"/>
      <c r="AO139" s="33">
        <v>4610</v>
      </c>
      <c r="AP139" s="33"/>
    </row>
    <row r="140" spans="1:42">
      <c r="A140" s="30">
        <v>139</v>
      </c>
      <c r="B140" s="31">
        <v>45839</v>
      </c>
      <c r="C140" s="32">
        <f>YEAR(PA[[#This Row],[Date]])+IF(MONTH(PA[[#This Row],[Date]])&gt;=4,1,0)</f>
        <v>2026</v>
      </c>
      <c r="D140" s="32">
        <f>YEAR(PA[[#This Row],[Date]])</f>
        <v>2025</v>
      </c>
      <c r="E140" s="33" t="s">
        <v>219</v>
      </c>
      <c r="F140" s="33" t="s">
        <v>219</v>
      </c>
      <c r="G140" s="196">
        <f>PA[[#This Row],[Date]]-DAY(PA[[#This Row],[Date]])+1</f>
        <v>45839</v>
      </c>
      <c r="H140" s="32">
        <f>DAY(EOMONTH(PA[[#This Row],[Month Year]],0))</f>
        <v>31</v>
      </c>
      <c r="I140" s="122">
        <v>0.2638888888888889</v>
      </c>
      <c r="J140" s="122">
        <v>0.75555555555555554</v>
      </c>
      <c r="K140" s="35">
        <f>IFERROR((PA[[#This Row],[Sunset Time (POA&lt;20 W/m2)]]-PA[[#This Row],[Sunrise Time (POA&gt;20 W/m2)]])*24,"")</f>
        <v>11.799999999999999</v>
      </c>
      <c r="L140" s="33" t="s">
        <v>300</v>
      </c>
      <c r="M140" s="33" t="s">
        <v>294</v>
      </c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0" s="35">
        <f>IFERROR(_xlfn.XLOOKUP(PA[[#This Row],[Affected Equipment ]],'Basic Data'!N:N,'Basic Data'!Q:Q),"")</f>
        <v>4662.4750000000004</v>
      </c>
      <c r="V140" s="39">
        <f ca="1">IFERROR(_xlfn.XLOOKUP(PA[[#This Row],[Affected Equipment ]],'Basic Data'!N:N,'Basic Data'!R:R),"")</f>
        <v>0.11891035450140271</v>
      </c>
      <c r="W140" s="36" t="s">
        <v>345</v>
      </c>
      <c r="X140" s="40"/>
      <c r="Y140" s="40" t="s">
        <v>372</v>
      </c>
      <c r="Z140" s="43">
        <v>0.54027777777777775</v>
      </c>
      <c r="AA140" s="43">
        <v>0.54027777777777775</v>
      </c>
      <c r="AB140" s="43">
        <v>0.54027777777777775</v>
      </c>
      <c r="AC140" s="46">
        <v>0.60347222222222219</v>
      </c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1.5166666666666666</v>
      </c>
      <c r="AG140" s="44">
        <f>IFERROR((PA[[#This Row],[Work Completion time on fault]]-PA[[#This Row],[Fault Time]])*24,"")</f>
        <v>1.5166666666666666</v>
      </c>
      <c r="AH140" s="36" t="s">
        <v>373</v>
      </c>
      <c r="AI140" s="33" t="s">
        <v>298</v>
      </c>
      <c r="AJ140" s="35">
        <f ca="1">IFERROR(PA[[#This Row],[Breakdown Time]]*PA[[#This Row],[Plant Equivalent Weightage]],"")</f>
        <v>0.18034737099379411</v>
      </c>
      <c r="AK140" s="36">
        <v>0.23711769199999999</v>
      </c>
      <c r="AL140" s="51">
        <f>IFERROR((_xlfn.XLOOKUP($G140,'Modelling New'!D:D,'Modelling New'!$O:$O)*PA[[#This Row],[Lost PoA(kWh/m2)]]*PA[[#This Row],[DC Capacity Affected (kW)]]),"")</f>
        <v>914.31946668425678</v>
      </c>
      <c r="AM140" s="33"/>
      <c r="AN140" s="33"/>
      <c r="AO140" s="33">
        <v>4657</v>
      </c>
      <c r="AP140" s="33"/>
    </row>
    <row r="141" spans="1:42">
      <c r="A141" s="30">
        <v>140</v>
      </c>
      <c r="B141" s="31">
        <v>45839</v>
      </c>
      <c r="C141" s="32">
        <f>YEAR(PA[[#This Row],[Date]])+IF(MONTH(PA[[#This Row],[Date]])&gt;=4,1,0)</f>
        <v>2026</v>
      </c>
      <c r="D141" s="32">
        <f>YEAR(PA[[#This Row],[Date]])</f>
        <v>2025</v>
      </c>
      <c r="E141" s="33" t="s">
        <v>219</v>
      </c>
      <c r="F141" s="33" t="s">
        <v>219</v>
      </c>
      <c r="G141" s="196">
        <f>PA[[#This Row],[Date]]-DAY(PA[[#This Row],[Date]])+1</f>
        <v>45839</v>
      </c>
      <c r="H141" s="32">
        <f>DAY(EOMONTH(PA[[#This Row],[Month Year]],0))</f>
        <v>31</v>
      </c>
      <c r="I141" s="122">
        <v>0.2638888888888889</v>
      </c>
      <c r="J141" s="122">
        <v>0.75555555555555554</v>
      </c>
      <c r="K141" s="35">
        <f>IFERROR((PA[[#This Row],[Sunset Time (POA&lt;20 W/m2)]]-PA[[#This Row],[Sunrise Time (POA&gt;20 W/m2)]])*24,"")</f>
        <v>11.799999999999999</v>
      </c>
      <c r="L141" s="33" t="s">
        <v>300</v>
      </c>
      <c r="M141" s="33" t="s">
        <v>299</v>
      </c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1" s="35">
        <f>IFERROR(_xlfn.XLOOKUP(PA[[#This Row],[Affected Equipment ]],'Basic Data'!N:N,'Basic Data'!Q:Q),"")</f>
        <v>4662.4750000000004</v>
      </c>
      <c r="V141" s="39">
        <f ca="1">IFERROR(_xlfn.XLOOKUP(PA[[#This Row],[Affected Equipment ]],'Basic Data'!N:N,'Basic Data'!R:R),"")</f>
        <v>0.11891035450140271</v>
      </c>
      <c r="W141" s="36" t="s">
        <v>345</v>
      </c>
      <c r="X141" s="40"/>
      <c r="Y141" s="40" t="s">
        <v>372</v>
      </c>
      <c r="Z141" s="43">
        <v>0.54027777777777775</v>
      </c>
      <c r="AA141" s="43">
        <v>0.54027777777777775</v>
      </c>
      <c r="AB141" s="43">
        <v>0.54027777777777775</v>
      </c>
      <c r="AC141" s="46">
        <v>0.60347222222222219</v>
      </c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1.5166666666666666</v>
      </c>
      <c r="AG141" s="44">
        <f>IFERROR((PA[[#This Row],[Work Completion time on fault]]-PA[[#This Row],[Fault Time]])*24,"")</f>
        <v>1.5166666666666666</v>
      </c>
      <c r="AH141" s="36" t="s">
        <v>373</v>
      </c>
      <c r="AI141" s="33" t="s">
        <v>298</v>
      </c>
      <c r="AJ141" s="35">
        <f ca="1">IFERROR(PA[[#This Row],[Breakdown Time]]*PA[[#This Row],[Plant Equivalent Weightage]],"")</f>
        <v>0.18034737099379411</v>
      </c>
      <c r="AK141" s="36">
        <v>0.23711769199999999</v>
      </c>
      <c r="AL141" s="51">
        <f>IFERROR((_xlfn.XLOOKUP($G141,'Modelling New'!D:D,'Modelling New'!$O:$O)*PA[[#This Row],[Lost PoA(kWh/m2)]]*PA[[#This Row],[DC Capacity Affected (kW)]]),"")</f>
        <v>914.31946668425678</v>
      </c>
      <c r="AM141" s="33"/>
      <c r="AN141" s="33"/>
      <c r="AO141" s="33">
        <v>4657</v>
      </c>
      <c r="AP141" s="33"/>
    </row>
    <row r="142" spans="1:42">
      <c r="A142" s="30">
        <v>141</v>
      </c>
      <c r="B142" s="31">
        <v>45839</v>
      </c>
      <c r="C142" s="32">
        <f>YEAR(PA[[#This Row],[Date]])+IF(MONTH(PA[[#This Row],[Date]])&gt;=4,1,0)</f>
        <v>2026</v>
      </c>
      <c r="D142" s="32">
        <f>YEAR(PA[[#This Row],[Date]])</f>
        <v>2025</v>
      </c>
      <c r="E142" s="33" t="s">
        <v>219</v>
      </c>
      <c r="F142" s="33" t="s">
        <v>219</v>
      </c>
      <c r="G142" s="196">
        <f>PA[[#This Row],[Date]]-DAY(PA[[#This Row],[Date]])+1</f>
        <v>45839</v>
      </c>
      <c r="H142" s="32">
        <f>DAY(EOMONTH(PA[[#This Row],[Month Year]],0))</f>
        <v>31</v>
      </c>
      <c r="I142" s="122">
        <v>0.2638888888888889</v>
      </c>
      <c r="J142" s="122">
        <v>0.75555555555555554</v>
      </c>
      <c r="K142" s="35">
        <f>IFERROR((PA[[#This Row],[Sunset Time (POA&lt;20 W/m2)]]-PA[[#This Row],[Sunrise Time (POA&gt;20 W/m2)]])*24,"")</f>
        <v>11.799999999999999</v>
      </c>
      <c r="L142" s="33" t="s">
        <v>293</v>
      </c>
      <c r="M142" s="33" t="s">
        <v>294</v>
      </c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2" s="35">
        <f>IFERROR(_xlfn.XLOOKUP(PA[[#This Row],[Affected Equipment ]],'Basic Data'!N:N,'Basic Data'!Q:Q),"")</f>
        <v>6511.66</v>
      </c>
      <c r="V142" s="39">
        <f ca="1">IFERROR(_xlfn.XLOOKUP(PA[[#This Row],[Affected Equipment ]],'Basic Data'!N:N,'Basic Data'!R:R),"")</f>
        <v>0.1660714103545014</v>
      </c>
      <c r="W142" s="36" t="s">
        <v>345</v>
      </c>
      <c r="X142" s="40"/>
      <c r="Y142" s="40" t="s">
        <v>372</v>
      </c>
      <c r="Z142" s="43">
        <v>0.54027777777777775</v>
      </c>
      <c r="AA142" s="43">
        <v>0.54027777777777775</v>
      </c>
      <c r="AB142" s="43">
        <v>0.54027777777777775</v>
      </c>
      <c r="AC142" s="46">
        <v>0.60555555555555551</v>
      </c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1.5666666666666664</v>
      </c>
      <c r="AG142" s="44">
        <f>IFERROR((PA[[#This Row],[Work Completion time on fault]]-PA[[#This Row],[Fault Time]])*24,"")</f>
        <v>1.5666666666666664</v>
      </c>
      <c r="AH142" s="36" t="s">
        <v>373</v>
      </c>
      <c r="AI142" s="33" t="s">
        <v>298</v>
      </c>
      <c r="AJ142" s="35">
        <f ca="1">IFERROR(PA[[#This Row],[Breakdown Time]]*PA[[#This Row],[Plant Equivalent Weightage]],"")</f>
        <v>0.26017854288871883</v>
      </c>
      <c r="AK142" s="36">
        <v>0.24000411799999999</v>
      </c>
      <c r="AL142" s="51">
        <f>IFERROR((_xlfn.XLOOKUP($G142,'Modelling New'!D:D,'Modelling New'!$O:$O)*PA[[#This Row],[Lost PoA(kWh/m2)]]*PA[[#This Row],[DC Capacity Affected (kW)]]),"")</f>
        <v>1292.4921104232983</v>
      </c>
      <c r="AM142" s="33"/>
      <c r="AN142" s="33"/>
      <c r="AO142" s="33">
        <v>4657</v>
      </c>
      <c r="AP142" s="33"/>
    </row>
    <row r="143" spans="1:42">
      <c r="A143" s="30">
        <v>142</v>
      </c>
      <c r="B143" s="31">
        <v>45839</v>
      </c>
      <c r="C143" s="32">
        <f>YEAR(PA[[#This Row],[Date]])+IF(MONTH(PA[[#This Row],[Date]])&gt;=4,1,0)</f>
        <v>2026</v>
      </c>
      <c r="D143" s="32">
        <f>YEAR(PA[[#This Row],[Date]])</f>
        <v>2025</v>
      </c>
      <c r="E143" s="33" t="s">
        <v>219</v>
      </c>
      <c r="F143" s="33" t="s">
        <v>219</v>
      </c>
      <c r="G143" s="196">
        <f>PA[[#This Row],[Date]]-DAY(PA[[#This Row],[Date]])+1</f>
        <v>45839</v>
      </c>
      <c r="H143" s="32">
        <f>DAY(EOMONTH(PA[[#This Row],[Month Year]],0))</f>
        <v>31</v>
      </c>
      <c r="I143" s="122">
        <v>0.2638888888888889</v>
      </c>
      <c r="J143" s="122">
        <v>0.75555555555555554</v>
      </c>
      <c r="K143" s="35">
        <f>IFERROR((PA[[#This Row],[Sunset Time (POA&lt;20 W/m2)]]-PA[[#This Row],[Sunrise Time (POA&gt;20 W/m2)]])*24,"")</f>
        <v>11.799999999999999</v>
      </c>
      <c r="L143" s="33" t="s">
        <v>293</v>
      </c>
      <c r="M143" s="33" t="s">
        <v>299</v>
      </c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43" s="35">
        <f>IFERROR(_xlfn.XLOOKUP(PA[[#This Row],[Affected Equipment ]],'Basic Data'!N:N,'Basic Data'!Q:Q),"")</f>
        <v>6495.8549999999996</v>
      </c>
      <c r="V143" s="39">
        <f ca="1">IFERROR(_xlfn.XLOOKUP(PA[[#This Row],[Affected Equipment ]],'Basic Data'!N:N,'Basic Data'!R:R),"")</f>
        <v>0.16566832440703902</v>
      </c>
      <c r="W143" s="36" t="s">
        <v>345</v>
      </c>
      <c r="X143" s="40"/>
      <c r="Y143" s="40" t="s">
        <v>372</v>
      </c>
      <c r="Z143" s="43">
        <v>0.54027777777777775</v>
      </c>
      <c r="AA143" s="43">
        <v>0.54027777777777775</v>
      </c>
      <c r="AB143" s="43">
        <v>0.54027777777777775</v>
      </c>
      <c r="AC143" s="46">
        <v>0.60555555555555551</v>
      </c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1.5666666666666664</v>
      </c>
      <c r="AG143" s="44">
        <f>IFERROR((PA[[#This Row],[Work Completion time on fault]]-PA[[#This Row],[Fault Time]])*24,"")</f>
        <v>1.5666666666666664</v>
      </c>
      <c r="AH143" s="36" t="s">
        <v>373</v>
      </c>
      <c r="AI143" s="33" t="s">
        <v>298</v>
      </c>
      <c r="AJ143" s="35">
        <f ca="1">IFERROR(PA[[#This Row],[Breakdown Time]]*PA[[#This Row],[Plant Equivalent Weightage]],"")</f>
        <v>0.25954704157102776</v>
      </c>
      <c r="AK143" s="36">
        <v>0.24000411799999999</v>
      </c>
      <c r="AL143" s="51">
        <f>IFERROR((_xlfn.XLOOKUP($G143,'Modelling New'!D:D,'Modelling New'!$O:$O)*PA[[#This Row],[Lost PoA(kWh/m2)]]*PA[[#This Row],[DC Capacity Affected (kW)]]),"")</f>
        <v>1289.3549936504262</v>
      </c>
      <c r="AM143" s="33"/>
      <c r="AN143" s="33"/>
      <c r="AO143" s="33">
        <v>4657</v>
      </c>
      <c r="AP143" s="33"/>
    </row>
    <row r="144" spans="1:42">
      <c r="A144" s="30">
        <v>143</v>
      </c>
      <c r="B144" s="31">
        <v>45839</v>
      </c>
      <c r="C144" s="32">
        <f>YEAR(PA[[#This Row],[Date]])+IF(MONTH(PA[[#This Row],[Date]])&gt;=4,1,0)</f>
        <v>2026</v>
      </c>
      <c r="D144" s="32">
        <f>YEAR(PA[[#This Row],[Date]])</f>
        <v>2025</v>
      </c>
      <c r="E144" s="33" t="s">
        <v>219</v>
      </c>
      <c r="F144" s="33" t="s">
        <v>219</v>
      </c>
      <c r="G144" s="196">
        <f>PA[[#This Row],[Date]]-DAY(PA[[#This Row],[Date]])+1</f>
        <v>45839</v>
      </c>
      <c r="H144" s="32">
        <f>DAY(EOMONTH(PA[[#This Row],[Month Year]],0))</f>
        <v>31</v>
      </c>
      <c r="I144" s="122">
        <v>0.2638888888888889</v>
      </c>
      <c r="J144" s="122">
        <v>0.75555555555555554</v>
      </c>
      <c r="K144" s="35">
        <f>IFERROR((PA[[#This Row],[Sunset Time (POA&lt;20 W/m2)]]-PA[[#This Row],[Sunrise Time (POA&gt;20 W/m2)]])*24,"")</f>
        <v>11.799999999999999</v>
      </c>
      <c r="L144" s="33" t="s">
        <v>302</v>
      </c>
      <c r="M144" s="33" t="s">
        <v>294</v>
      </c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44" s="35">
        <f>IFERROR(_xlfn.XLOOKUP(PA[[#This Row],[Affected Equipment ]],'Basic Data'!N:N,'Basic Data'!Q:Q),"")</f>
        <v>6527.4649999999992</v>
      </c>
      <c r="V144" s="39">
        <f ca="1">IFERROR(_xlfn.XLOOKUP(PA[[#This Row],[Affected Equipment ]],'Basic Data'!N:N,'Basic Data'!R:R),"")</f>
        <v>0.16647449630196376</v>
      </c>
      <c r="W144" s="36" t="s">
        <v>345</v>
      </c>
      <c r="X144" s="40"/>
      <c r="Y144" s="40" t="s">
        <v>372</v>
      </c>
      <c r="Z144" s="43">
        <v>0.54027777777777775</v>
      </c>
      <c r="AA144" s="43">
        <v>0.54027777777777775</v>
      </c>
      <c r="AB144" s="43">
        <v>0.54027777777777775</v>
      </c>
      <c r="AC144" s="46">
        <v>0.60277777777777775</v>
      </c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1.5</v>
      </c>
      <c r="AG144" s="44">
        <f>IFERROR((PA[[#This Row],[Work Completion time on fault]]-PA[[#This Row],[Fault Time]])*24,"")</f>
        <v>1.5</v>
      </c>
      <c r="AH144" s="36" t="s">
        <v>373</v>
      </c>
      <c r="AI144" s="33" t="s">
        <v>298</v>
      </c>
      <c r="AJ144" s="35">
        <f ca="1">IFERROR(PA[[#This Row],[Breakdown Time]]*PA[[#This Row],[Plant Equivalent Weightage]],"")</f>
        <v>0.24971174445294564</v>
      </c>
      <c r="AK144" s="36">
        <v>0.233976183</v>
      </c>
      <c r="AL144" s="51">
        <f>IFERROR((_xlfn.XLOOKUP($G144,'Modelling New'!D:D,'Modelling New'!$O:$O)*PA[[#This Row],[Lost PoA(kWh/m2)]]*PA[[#This Row],[DC Capacity Affected (kW)]]),"")</f>
        <v>1263.0882490216261</v>
      </c>
      <c r="AM144" s="33"/>
      <c r="AN144" s="33"/>
      <c r="AO144" s="33">
        <v>4657</v>
      </c>
      <c r="AP144" s="33"/>
    </row>
    <row r="145" spans="1:42">
      <c r="A145" s="30">
        <v>144</v>
      </c>
      <c r="B145" s="31">
        <v>45839</v>
      </c>
      <c r="C145" s="32">
        <f>YEAR(PA[[#This Row],[Date]])+IF(MONTH(PA[[#This Row],[Date]])&gt;=4,1,0)</f>
        <v>2026</v>
      </c>
      <c r="D145" s="32">
        <f>YEAR(PA[[#This Row],[Date]])</f>
        <v>2025</v>
      </c>
      <c r="E145" s="33" t="s">
        <v>219</v>
      </c>
      <c r="F145" s="33" t="s">
        <v>219</v>
      </c>
      <c r="G145" s="196">
        <f>PA[[#This Row],[Date]]-DAY(PA[[#This Row],[Date]])+1</f>
        <v>45839</v>
      </c>
      <c r="H145" s="32">
        <f>DAY(EOMONTH(PA[[#This Row],[Month Year]],0))</f>
        <v>31</v>
      </c>
      <c r="I145" s="122">
        <v>0.2638888888888889</v>
      </c>
      <c r="J145" s="122">
        <v>0.75555555555555554</v>
      </c>
      <c r="K145" s="35">
        <f>IFERROR((PA[[#This Row],[Sunset Time (POA&lt;20 W/m2)]]-PA[[#This Row],[Sunrise Time (POA&gt;20 W/m2)]])*24,"")</f>
        <v>11.799999999999999</v>
      </c>
      <c r="L145" s="33" t="s">
        <v>303</v>
      </c>
      <c r="M145" s="33" t="s">
        <v>294</v>
      </c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45" s="35">
        <f>IFERROR(_xlfn.XLOOKUP(PA[[#This Row],[Affected Equipment ]],'Basic Data'!N:N,'Basic Data'!Q:Q),"")</f>
        <v>5104</v>
      </c>
      <c r="V145" s="39">
        <f ca="1">IFERROR(_xlfn.XLOOKUP(PA[[#This Row],[Affected Equipment ]],'Basic Data'!N:N,'Basic Data'!R:R),"")</f>
        <v>0.13017087477684264</v>
      </c>
      <c r="W145" s="36" t="s">
        <v>345</v>
      </c>
      <c r="X145" s="40"/>
      <c r="Y145" s="40" t="s">
        <v>372</v>
      </c>
      <c r="Z145" s="43">
        <v>0.54027777777777775</v>
      </c>
      <c r="AA145" s="43">
        <v>0.54027777777777775</v>
      </c>
      <c r="AB145" s="43">
        <v>0.54027777777777775</v>
      </c>
      <c r="AC145" s="46">
        <v>0.59861111111111109</v>
      </c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1.4000000000000004</v>
      </c>
      <c r="AG145" s="44">
        <f>IFERROR((PA[[#This Row],[Work Completion time on fault]]-PA[[#This Row],[Fault Time]])*24,"")</f>
        <v>1.4000000000000004</v>
      </c>
      <c r="AH145" s="36" t="s">
        <v>373</v>
      </c>
      <c r="AI145" s="33" t="s">
        <v>298</v>
      </c>
      <c r="AJ145" s="35">
        <f ca="1">IFERROR(PA[[#This Row],[Breakdown Time]]*PA[[#This Row],[Plant Equivalent Weightage]],"")</f>
        <v>0.18223922468757975</v>
      </c>
      <c r="AK145" s="36">
        <v>0.21787252700000001</v>
      </c>
      <c r="AL145" s="51">
        <f>IFERROR((_xlfn.XLOOKUP($G145,'Modelling New'!D:D,'Modelling New'!$O:$O)*PA[[#This Row],[Lost PoA(kWh/m2)]]*PA[[#This Row],[DC Capacity Affected (kW)]]),"")</f>
        <v>919.66705145865069</v>
      </c>
      <c r="AM145" s="33"/>
      <c r="AN145" s="33"/>
      <c r="AO145" s="33">
        <v>4657</v>
      </c>
      <c r="AP145" s="33"/>
    </row>
    <row r="146" spans="1:42">
      <c r="A146" s="30">
        <v>145</v>
      </c>
      <c r="B146" s="31">
        <v>45839</v>
      </c>
      <c r="C146" s="32">
        <f>YEAR(PA[[#This Row],[Date]])+IF(MONTH(PA[[#This Row],[Date]])&gt;=4,1,0)</f>
        <v>2026</v>
      </c>
      <c r="D146" s="32">
        <f>YEAR(PA[[#This Row],[Date]])</f>
        <v>2025</v>
      </c>
      <c r="E146" s="33" t="s">
        <v>219</v>
      </c>
      <c r="F146" s="33" t="s">
        <v>219</v>
      </c>
      <c r="G146" s="196">
        <f>PA[[#This Row],[Date]]-DAY(PA[[#This Row],[Date]])+1</f>
        <v>45839</v>
      </c>
      <c r="H146" s="32">
        <f>DAY(EOMONTH(PA[[#This Row],[Month Year]],0))</f>
        <v>31</v>
      </c>
      <c r="I146" s="122">
        <v>0.2638888888888889</v>
      </c>
      <c r="J146" s="122">
        <v>0.75555555555555554</v>
      </c>
      <c r="K146" s="35">
        <f>IFERROR((PA[[#This Row],[Sunset Time (POA&lt;20 W/m2)]]-PA[[#This Row],[Sunrise Time (POA&gt;20 W/m2)]])*24,"")</f>
        <v>11.799999999999999</v>
      </c>
      <c r="L146" s="33" t="s">
        <v>303</v>
      </c>
      <c r="M146" s="33" t="s">
        <v>299</v>
      </c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46" s="35">
        <f>IFERROR(_xlfn.XLOOKUP(PA[[#This Row],[Affected Equipment ]],'Basic Data'!N:N,'Basic Data'!Q:Q),"")</f>
        <v>5104</v>
      </c>
      <c r="V146" s="39">
        <f ca="1">IFERROR(_xlfn.XLOOKUP(PA[[#This Row],[Affected Equipment ]],'Basic Data'!N:N,'Basic Data'!R:R),"")</f>
        <v>0.13017087477684264</v>
      </c>
      <c r="W146" s="36" t="s">
        <v>345</v>
      </c>
      <c r="X146" s="40"/>
      <c r="Y146" s="40" t="s">
        <v>372</v>
      </c>
      <c r="Z146" s="43">
        <v>0.54027777777777775</v>
      </c>
      <c r="AA146" s="43">
        <v>0.54027777777777775</v>
      </c>
      <c r="AB146" s="43">
        <v>0.54027777777777775</v>
      </c>
      <c r="AC146" s="46">
        <v>0.62083333333333335</v>
      </c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1.9333333333333345</v>
      </c>
      <c r="AG146" s="44">
        <f>IFERROR((PA[[#This Row],[Work Completion time on fault]]-PA[[#This Row],[Fault Time]])*24,"")</f>
        <v>1.9333333333333345</v>
      </c>
      <c r="AH146" s="36" t="s">
        <v>373</v>
      </c>
      <c r="AI146" s="33" t="s">
        <v>298</v>
      </c>
      <c r="AJ146" s="35">
        <f ca="1">IFERROR(PA[[#This Row],[Breakdown Time]]*PA[[#This Row],[Plant Equivalent Weightage]],"")</f>
        <v>0.25166369123522925</v>
      </c>
      <c r="AK146" s="36">
        <v>0.32361979800000001</v>
      </c>
      <c r="AL146" s="51">
        <f>IFERROR((_xlfn.XLOOKUP($G146,'Modelling New'!D:D,'Modelling New'!$O:$O)*PA[[#This Row],[Lost PoA(kWh/m2)]]*PA[[#This Row],[DC Capacity Affected (kW)]]),"")</f>
        <v>1366.0394429642988</v>
      </c>
      <c r="AM146" s="33"/>
      <c r="AN146" s="33"/>
      <c r="AO146" s="33">
        <v>4657</v>
      </c>
      <c r="AP146" s="33"/>
    </row>
    <row r="147" spans="1:42">
      <c r="A147" s="30">
        <v>146</v>
      </c>
      <c r="B147" s="31">
        <v>45839</v>
      </c>
      <c r="C147" s="32">
        <f>YEAR(PA[[#This Row],[Date]])+IF(MONTH(PA[[#This Row],[Date]])&gt;=4,1,0)</f>
        <v>2026</v>
      </c>
      <c r="D147" s="32">
        <f>YEAR(PA[[#This Row],[Date]])</f>
        <v>2025</v>
      </c>
      <c r="E147" s="33" t="s">
        <v>219</v>
      </c>
      <c r="F147" s="33" t="s">
        <v>219</v>
      </c>
      <c r="G147" s="196">
        <f>PA[[#This Row],[Date]]-DAY(PA[[#This Row],[Date]])+1</f>
        <v>45839</v>
      </c>
      <c r="H147" s="32">
        <f>DAY(EOMONTH(PA[[#This Row],[Month Year]],0))</f>
        <v>31</v>
      </c>
      <c r="I147" s="122">
        <v>0.2638888888888889</v>
      </c>
      <c r="J147" s="122">
        <v>0.75555555555555554</v>
      </c>
      <c r="K147" s="35">
        <f>IFERROR((PA[[#This Row],[Sunset Time (POA&lt;20 W/m2)]]-PA[[#This Row],[Sunrise Time (POA&gt;20 W/m2)]])*24,"")</f>
        <v>11.799999999999999</v>
      </c>
      <c r="L147" s="33" t="s">
        <v>300</v>
      </c>
      <c r="M147" s="33" t="s">
        <v>294</v>
      </c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7" s="35">
        <f>IFERROR(_xlfn.XLOOKUP(PA[[#This Row],[Affected Equipment ]],'Basic Data'!N:N,'Basic Data'!Q:Q),"")</f>
        <v>4662.4750000000004</v>
      </c>
      <c r="V147" s="39">
        <f ca="1">IFERROR(_xlfn.XLOOKUP(PA[[#This Row],[Affected Equipment ]],'Basic Data'!N:N,'Basic Data'!R:R),"")</f>
        <v>0.11891035450140271</v>
      </c>
      <c r="W147" s="36" t="s">
        <v>345</v>
      </c>
      <c r="X147" s="40"/>
      <c r="Y147" s="40" t="s">
        <v>372</v>
      </c>
      <c r="Z147" s="46">
        <v>0.62638888888888888</v>
      </c>
      <c r="AA147" s="46">
        <v>0.62638888888888888</v>
      </c>
      <c r="AB147" s="46">
        <v>0.62638888888888888</v>
      </c>
      <c r="AC147" s="46">
        <v>0.64513888888888893</v>
      </c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0.45000000000000107</v>
      </c>
      <c r="AG147" s="44">
        <f>IFERROR((PA[[#This Row],[Work Completion time on fault]]-PA[[#This Row],[Fault Time]])*24,"")</f>
        <v>0.45000000000000107</v>
      </c>
      <c r="AH147" s="36" t="s">
        <v>373</v>
      </c>
      <c r="AI147" s="33" t="s">
        <v>298</v>
      </c>
      <c r="AJ147" s="35">
        <f ca="1">IFERROR(PA[[#This Row],[Breakdown Time]]*PA[[#This Row],[Plant Equivalent Weightage]],"")</f>
        <v>5.3509659525631345E-2</v>
      </c>
      <c r="AK147" s="36">
        <v>8.4870783000000005E-2</v>
      </c>
      <c r="AL147" s="51">
        <f>IFERROR((_xlfn.XLOOKUP($G147,'Modelling New'!D:D,'Modelling New'!$O:$O)*PA[[#This Row],[Lost PoA(kWh/m2)]]*PA[[#This Row],[DC Capacity Affected (kW)]]),"")</f>
        <v>327.25946509986818</v>
      </c>
      <c r="AM147" s="33"/>
      <c r="AN147" s="33"/>
      <c r="AO147" s="33">
        <v>4657</v>
      </c>
      <c r="AP147" s="33"/>
    </row>
    <row r="148" spans="1:42">
      <c r="A148" s="30">
        <v>147</v>
      </c>
      <c r="B148" s="31">
        <v>45839</v>
      </c>
      <c r="C148" s="32">
        <f>YEAR(PA[[#This Row],[Date]])+IF(MONTH(PA[[#This Row],[Date]])&gt;=4,1,0)</f>
        <v>2026</v>
      </c>
      <c r="D148" s="32">
        <f>YEAR(PA[[#This Row],[Date]])</f>
        <v>2025</v>
      </c>
      <c r="E148" s="33" t="s">
        <v>219</v>
      </c>
      <c r="F148" s="33" t="s">
        <v>219</v>
      </c>
      <c r="G148" s="196">
        <f>PA[[#This Row],[Date]]-DAY(PA[[#This Row],[Date]])+1</f>
        <v>45839</v>
      </c>
      <c r="H148" s="32">
        <f>DAY(EOMONTH(PA[[#This Row],[Month Year]],0))</f>
        <v>31</v>
      </c>
      <c r="I148" s="122">
        <v>0.2638888888888889</v>
      </c>
      <c r="J148" s="122">
        <v>0.75555555555555554</v>
      </c>
      <c r="K148" s="35">
        <f>IFERROR((PA[[#This Row],[Sunset Time (POA&lt;20 W/m2)]]-PA[[#This Row],[Sunrise Time (POA&gt;20 W/m2)]])*24,"")</f>
        <v>11.799999999999999</v>
      </c>
      <c r="L148" s="33" t="s">
        <v>300</v>
      </c>
      <c r="M148" s="33" t="s">
        <v>299</v>
      </c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8" s="35">
        <f>IFERROR(_xlfn.XLOOKUP(PA[[#This Row],[Affected Equipment ]],'Basic Data'!N:N,'Basic Data'!Q:Q),"")</f>
        <v>4662.4750000000004</v>
      </c>
      <c r="V148" s="39">
        <f ca="1">IFERROR(_xlfn.XLOOKUP(PA[[#This Row],[Affected Equipment ]],'Basic Data'!N:N,'Basic Data'!R:R),"")</f>
        <v>0.11891035450140271</v>
      </c>
      <c r="W148" s="36" t="s">
        <v>345</v>
      </c>
      <c r="X148" s="40"/>
      <c r="Y148" s="40" t="s">
        <v>372</v>
      </c>
      <c r="Z148" s="46">
        <v>0.62638888888888888</v>
      </c>
      <c r="AA148" s="46">
        <v>0.62638888888888888</v>
      </c>
      <c r="AB148" s="46">
        <v>0.62638888888888888</v>
      </c>
      <c r="AC148" s="46">
        <v>0.64513888888888893</v>
      </c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0.45000000000000107</v>
      </c>
      <c r="AG148" s="44">
        <f>IFERROR((PA[[#This Row],[Work Completion time on fault]]-PA[[#This Row],[Fault Time]])*24,"")</f>
        <v>0.45000000000000107</v>
      </c>
      <c r="AH148" s="36" t="s">
        <v>373</v>
      </c>
      <c r="AI148" s="33" t="s">
        <v>298</v>
      </c>
      <c r="AJ148" s="35">
        <f ca="1">IFERROR(PA[[#This Row],[Breakdown Time]]*PA[[#This Row],[Plant Equivalent Weightage]],"")</f>
        <v>5.3509659525631345E-2</v>
      </c>
      <c r="AK148" s="36">
        <v>8.4870783000000005E-2</v>
      </c>
      <c r="AL148" s="51">
        <f>IFERROR((_xlfn.XLOOKUP($G148,'Modelling New'!D:D,'Modelling New'!$O:$O)*PA[[#This Row],[Lost PoA(kWh/m2)]]*PA[[#This Row],[DC Capacity Affected (kW)]]),"")</f>
        <v>327.25946509986818</v>
      </c>
      <c r="AM148" s="33"/>
      <c r="AN148" s="33"/>
      <c r="AO148" s="33">
        <v>4657</v>
      </c>
      <c r="AP148" s="33"/>
    </row>
    <row r="149" spans="1:42">
      <c r="A149" s="30">
        <v>148</v>
      </c>
      <c r="B149" s="31">
        <v>45839</v>
      </c>
      <c r="C149" s="32">
        <f>YEAR(PA[[#This Row],[Date]])+IF(MONTH(PA[[#This Row],[Date]])&gt;=4,1,0)</f>
        <v>2026</v>
      </c>
      <c r="D149" s="32">
        <f>YEAR(PA[[#This Row],[Date]])</f>
        <v>2025</v>
      </c>
      <c r="E149" s="33" t="s">
        <v>219</v>
      </c>
      <c r="F149" s="33" t="s">
        <v>219</v>
      </c>
      <c r="G149" s="196">
        <f>PA[[#This Row],[Date]]-DAY(PA[[#This Row],[Date]])+1</f>
        <v>45839</v>
      </c>
      <c r="H149" s="32">
        <f>DAY(EOMONTH(PA[[#This Row],[Month Year]],0))</f>
        <v>31</v>
      </c>
      <c r="I149" s="122">
        <v>0.2638888888888889</v>
      </c>
      <c r="J149" s="122">
        <v>0.75555555555555554</v>
      </c>
      <c r="K149" s="35">
        <f>IFERROR((PA[[#This Row],[Sunset Time (POA&lt;20 W/m2)]]-PA[[#This Row],[Sunrise Time (POA&gt;20 W/m2)]])*24,"")</f>
        <v>11.799999999999999</v>
      </c>
      <c r="L149" s="33" t="s">
        <v>293</v>
      </c>
      <c r="M149" s="33" t="s">
        <v>294</v>
      </c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9" s="35">
        <f>IFERROR(_xlfn.XLOOKUP(PA[[#This Row],[Affected Equipment ]],'Basic Data'!N:N,'Basic Data'!Q:Q),"")</f>
        <v>6511.66</v>
      </c>
      <c r="V149" s="39">
        <f ca="1">IFERROR(_xlfn.XLOOKUP(PA[[#This Row],[Affected Equipment ]],'Basic Data'!N:N,'Basic Data'!R:R),"")</f>
        <v>0.1660714103545014</v>
      </c>
      <c r="W149" s="36" t="s">
        <v>345</v>
      </c>
      <c r="X149" s="40"/>
      <c r="Y149" s="40" t="s">
        <v>372</v>
      </c>
      <c r="Z149" s="46">
        <v>0.62638888888888888</v>
      </c>
      <c r="AA149" s="46">
        <v>0.62638888888888888</v>
      </c>
      <c r="AB149" s="46">
        <v>0.62638888888888888</v>
      </c>
      <c r="AC149" s="46">
        <v>0.64444444444444449</v>
      </c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0.43333333333333446</v>
      </c>
      <c r="AG149" s="44">
        <f>IFERROR((PA[[#This Row],[Work Completion time on fault]]-PA[[#This Row],[Fault Time]])*24,"")</f>
        <v>0.43333333333333446</v>
      </c>
      <c r="AH149" s="36" t="s">
        <v>373</v>
      </c>
      <c r="AI149" s="33" t="s">
        <v>298</v>
      </c>
      <c r="AJ149" s="35">
        <f ca="1">IFERROR(PA[[#This Row],[Breakdown Time]]*PA[[#This Row],[Plant Equivalent Weightage]],"")</f>
        <v>7.1964277820284125E-2</v>
      </c>
      <c r="AK149" s="36">
        <v>8.1273339999999999E-2</v>
      </c>
      <c r="AL149" s="51">
        <f>IFERROR((_xlfn.XLOOKUP($G149,'Modelling New'!D:D,'Modelling New'!$O:$O)*PA[[#This Row],[Lost PoA(kWh/m2)]]*PA[[#This Row],[DC Capacity Affected (kW)]]),"")</f>
        <v>437.6806182040188</v>
      </c>
      <c r="AM149" s="33"/>
      <c r="AN149" s="33"/>
      <c r="AO149" s="33">
        <v>4657</v>
      </c>
      <c r="AP149" s="33"/>
    </row>
    <row r="150" spans="1:42">
      <c r="A150" s="30">
        <v>149</v>
      </c>
      <c r="B150" s="31">
        <v>45839</v>
      </c>
      <c r="C150" s="32">
        <f>YEAR(PA[[#This Row],[Date]])+IF(MONTH(PA[[#This Row],[Date]])&gt;=4,1,0)</f>
        <v>2026</v>
      </c>
      <c r="D150" s="32">
        <f>YEAR(PA[[#This Row],[Date]])</f>
        <v>2025</v>
      </c>
      <c r="E150" s="33" t="s">
        <v>219</v>
      </c>
      <c r="F150" s="33" t="s">
        <v>219</v>
      </c>
      <c r="G150" s="196">
        <f>PA[[#This Row],[Date]]-DAY(PA[[#This Row],[Date]])+1</f>
        <v>45839</v>
      </c>
      <c r="H150" s="32">
        <f>DAY(EOMONTH(PA[[#This Row],[Month Year]],0))</f>
        <v>31</v>
      </c>
      <c r="I150" s="122">
        <v>0.2638888888888889</v>
      </c>
      <c r="J150" s="122">
        <v>0.75555555555555554</v>
      </c>
      <c r="K150" s="35">
        <f>IFERROR((PA[[#This Row],[Sunset Time (POA&lt;20 W/m2)]]-PA[[#This Row],[Sunrise Time (POA&gt;20 W/m2)]])*24,"")</f>
        <v>11.799999999999999</v>
      </c>
      <c r="L150" s="33" t="s">
        <v>293</v>
      </c>
      <c r="M150" s="33" t="s">
        <v>299</v>
      </c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0" s="35">
        <f>IFERROR(_xlfn.XLOOKUP(PA[[#This Row],[Affected Equipment ]],'Basic Data'!N:N,'Basic Data'!Q:Q),"")</f>
        <v>6495.8549999999996</v>
      </c>
      <c r="V150" s="39">
        <f ca="1">IFERROR(_xlfn.XLOOKUP(PA[[#This Row],[Affected Equipment ]],'Basic Data'!N:N,'Basic Data'!R:R),"")</f>
        <v>0.16566832440703902</v>
      </c>
      <c r="W150" s="36" t="s">
        <v>345</v>
      </c>
      <c r="X150" s="40"/>
      <c r="Y150" s="40" t="s">
        <v>372</v>
      </c>
      <c r="Z150" s="46">
        <v>0.62638888888888888</v>
      </c>
      <c r="AA150" s="46">
        <v>0.62638888888888888</v>
      </c>
      <c r="AB150" s="46">
        <v>0.62638888888888888</v>
      </c>
      <c r="AC150" s="46">
        <v>0.64444444444444449</v>
      </c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0.43333333333333446</v>
      </c>
      <c r="AG150" s="44">
        <f>IFERROR((PA[[#This Row],[Work Completion time on fault]]-PA[[#This Row],[Fault Time]])*24,"")</f>
        <v>0.43333333333333446</v>
      </c>
      <c r="AH150" s="36" t="s">
        <v>373</v>
      </c>
      <c r="AI150" s="33" t="s">
        <v>298</v>
      </c>
      <c r="AJ150" s="35">
        <f ca="1">IFERROR(PA[[#This Row],[Breakdown Time]]*PA[[#This Row],[Plant Equivalent Weightage]],"")</f>
        <v>7.1789607243050432E-2</v>
      </c>
      <c r="AK150" s="36">
        <v>8.1273339999999999E-2</v>
      </c>
      <c r="AL150" s="51">
        <f>IFERROR((_xlfn.XLOOKUP($G150,'Modelling New'!D:D,'Modelling New'!$O:$O)*PA[[#This Row],[Lost PoA(kWh/m2)]]*PA[[#This Row],[DC Capacity Affected (kW)]]),"")</f>
        <v>436.61828660643619</v>
      </c>
      <c r="AM150" s="33"/>
      <c r="AN150" s="33"/>
      <c r="AO150" s="33">
        <v>4657</v>
      </c>
      <c r="AP150" s="33"/>
    </row>
    <row r="151" spans="1:42">
      <c r="A151" s="30">
        <v>150</v>
      </c>
      <c r="B151" s="31">
        <v>45839</v>
      </c>
      <c r="C151" s="32">
        <f>YEAR(PA[[#This Row],[Date]])+IF(MONTH(PA[[#This Row],[Date]])&gt;=4,1,0)</f>
        <v>2026</v>
      </c>
      <c r="D151" s="32">
        <f>YEAR(PA[[#This Row],[Date]])</f>
        <v>2025</v>
      </c>
      <c r="E151" s="33" t="s">
        <v>219</v>
      </c>
      <c r="F151" s="33" t="s">
        <v>219</v>
      </c>
      <c r="G151" s="196">
        <f>PA[[#This Row],[Date]]-DAY(PA[[#This Row],[Date]])+1</f>
        <v>45839</v>
      </c>
      <c r="H151" s="32">
        <f>DAY(EOMONTH(PA[[#This Row],[Month Year]],0))</f>
        <v>31</v>
      </c>
      <c r="I151" s="122">
        <v>0.2638888888888889</v>
      </c>
      <c r="J151" s="122">
        <v>0.75555555555555554</v>
      </c>
      <c r="K151" s="35">
        <f>IFERROR((PA[[#This Row],[Sunset Time (POA&lt;20 W/m2)]]-PA[[#This Row],[Sunrise Time (POA&gt;20 W/m2)]])*24,"")</f>
        <v>11.799999999999999</v>
      </c>
      <c r="L151" s="33" t="s">
        <v>302</v>
      </c>
      <c r="M151" s="33" t="s">
        <v>294</v>
      </c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1" s="35">
        <f>IFERROR(_xlfn.XLOOKUP(PA[[#This Row],[Affected Equipment ]],'Basic Data'!N:N,'Basic Data'!Q:Q),"")</f>
        <v>6527.4649999999992</v>
      </c>
      <c r="V151" s="39">
        <f ca="1">IFERROR(_xlfn.XLOOKUP(PA[[#This Row],[Affected Equipment ]],'Basic Data'!N:N,'Basic Data'!R:R),"")</f>
        <v>0.16647449630196376</v>
      </c>
      <c r="W151" s="36" t="s">
        <v>345</v>
      </c>
      <c r="X151" s="40"/>
      <c r="Y151" s="40" t="s">
        <v>372</v>
      </c>
      <c r="Z151" s="46">
        <v>0.62638888888888888</v>
      </c>
      <c r="AA151" s="46">
        <v>0.62638888888888888</v>
      </c>
      <c r="AB151" s="46">
        <v>0.62638888888888888</v>
      </c>
      <c r="AC151" s="46">
        <v>0.64236111111111116</v>
      </c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0.38333333333333464</v>
      </c>
      <c r="AG151" s="44">
        <f>IFERROR((PA[[#This Row],[Work Completion time on fault]]-PA[[#This Row],[Fault Time]])*24,"")</f>
        <v>0.38333333333333464</v>
      </c>
      <c r="AH151" s="36" t="s">
        <v>373</v>
      </c>
      <c r="AI151" s="33" t="s">
        <v>298</v>
      </c>
      <c r="AJ151" s="35">
        <f ca="1">IFERROR(PA[[#This Row],[Breakdown Time]]*PA[[#This Row],[Plant Equivalent Weightage]],"")</f>
        <v>6.3815223582419658E-2</v>
      </c>
      <c r="AK151" s="36">
        <v>7.0935888000000002E-2</v>
      </c>
      <c r="AL151" s="51">
        <f>IFERROR((_xlfn.XLOOKUP($G151,'Modelling New'!D:D,'Modelling New'!$O:$O)*PA[[#This Row],[Lost PoA(kWh/m2)]]*PA[[#This Row],[DC Capacity Affected (kW)]]),"")</f>
        <v>382.93763671969202</v>
      </c>
      <c r="AM151" s="33"/>
      <c r="AN151" s="33"/>
      <c r="AO151" s="33">
        <v>4657</v>
      </c>
      <c r="AP151" s="33"/>
    </row>
    <row r="152" spans="1:42">
      <c r="A152" s="30">
        <v>151</v>
      </c>
      <c r="B152" s="31">
        <v>45839</v>
      </c>
      <c r="C152" s="32">
        <f>YEAR(PA[[#This Row],[Date]])+IF(MONTH(PA[[#This Row],[Date]])&gt;=4,1,0)</f>
        <v>2026</v>
      </c>
      <c r="D152" s="32">
        <f>YEAR(PA[[#This Row],[Date]])</f>
        <v>2025</v>
      </c>
      <c r="E152" s="33" t="s">
        <v>219</v>
      </c>
      <c r="F152" s="33" t="s">
        <v>219</v>
      </c>
      <c r="G152" s="196">
        <f>PA[[#This Row],[Date]]-DAY(PA[[#This Row],[Date]])+1</f>
        <v>45839</v>
      </c>
      <c r="H152" s="32">
        <f>DAY(EOMONTH(PA[[#This Row],[Month Year]],0))</f>
        <v>31</v>
      </c>
      <c r="I152" s="122">
        <v>0.2638888888888889</v>
      </c>
      <c r="J152" s="122">
        <v>0.75555555555555554</v>
      </c>
      <c r="K152" s="35">
        <f>IFERROR((PA[[#This Row],[Sunset Time (POA&lt;20 W/m2)]]-PA[[#This Row],[Sunrise Time (POA&gt;20 W/m2)]])*24,"")</f>
        <v>11.799999999999999</v>
      </c>
      <c r="L152" s="33" t="s">
        <v>303</v>
      </c>
      <c r="M152" s="33" t="s">
        <v>294</v>
      </c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2" s="35">
        <f>IFERROR(_xlfn.XLOOKUP(PA[[#This Row],[Affected Equipment ]],'Basic Data'!N:N,'Basic Data'!Q:Q),"")</f>
        <v>5104</v>
      </c>
      <c r="V152" s="39">
        <f ca="1">IFERROR(_xlfn.XLOOKUP(PA[[#This Row],[Affected Equipment ]],'Basic Data'!N:N,'Basic Data'!R:R),"")</f>
        <v>0.13017087477684264</v>
      </c>
      <c r="W152" s="36" t="s">
        <v>345</v>
      </c>
      <c r="X152" s="40"/>
      <c r="Y152" s="40" t="s">
        <v>372</v>
      </c>
      <c r="Z152" s="46">
        <v>0.62638888888888888</v>
      </c>
      <c r="AA152" s="46">
        <v>0.62638888888888888</v>
      </c>
      <c r="AB152" s="46">
        <v>0.62638888888888888</v>
      </c>
      <c r="AC152" s="46">
        <v>0.64097222222222228</v>
      </c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0.35000000000000142</v>
      </c>
      <c r="AG152" s="44">
        <f>IFERROR((PA[[#This Row],[Work Completion time on fault]]-PA[[#This Row],[Fault Time]])*24,"")</f>
        <v>0.35000000000000142</v>
      </c>
      <c r="AH152" s="36" t="s">
        <v>373</v>
      </c>
      <c r="AI152" s="33" t="s">
        <v>298</v>
      </c>
      <c r="AJ152" s="35">
        <f ca="1">IFERROR(PA[[#This Row],[Breakdown Time]]*PA[[#This Row],[Plant Equivalent Weightage]],"")</f>
        <v>4.5559806171895111E-2</v>
      </c>
      <c r="AK152" s="36">
        <v>6.5984580000000001E-2</v>
      </c>
      <c r="AL152" s="51">
        <f>IFERROR((_xlfn.XLOOKUP($G152,'Modelling New'!D:D,'Modelling New'!$O:$O)*PA[[#This Row],[Lost PoA(kWh/m2)]]*PA[[#This Row],[DC Capacity Affected (kW)]]),"")</f>
        <v>278.52912418984079</v>
      </c>
      <c r="AM152" s="33"/>
      <c r="AN152" s="33"/>
      <c r="AO152" s="33">
        <v>4657</v>
      </c>
      <c r="AP152" s="33"/>
    </row>
    <row r="153" spans="1:42">
      <c r="A153" s="30">
        <v>152</v>
      </c>
      <c r="B153" s="31">
        <v>45839</v>
      </c>
      <c r="C153" s="32">
        <f>YEAR(PA[[#This Row],[Date]])+IF(MONTH(PA[[#This Row],[Date]])&gt;=4,1,0)</f>
        <v>2026</v>
      </c>
      <c r="D153" s="32">
        <f>YEAR(PA[[#This Row],[Date]])</f>
        <v>2025</v>
      </c>
      <c r="E153" s="33" t="s">
        <v>219</v>
      </c>
      <c r="F153" s="33" t="s">
        <v>219</v>
      </c>
      <c r="G153" s="196">
        <f>PA[[#This Row],[Date]]-DAY(PA[[#This Row],[Date]])+1</f>
        <v>45839</v>
      </c>
      <c r="H153" s="32">
        <f>DAY(EOMONTH(PA[[#This Row],[Month Year]],0))</f>
        <v>31</v>
      </c>
      <c r="I153" s="122">
        <v>0.2638888888888889</v>
      </c>
      <c r="J153" s="122">
        <v>0.75555555555555554</v>
      </c>
      <c r="K153" s="35">
        <f>IFERROR((PA[[#This Row],[Sunset Time (POA&lt;20 W/m2)]]-PA[[#This Row],[Sunrise Time (POA&gt;20 W/m2)]])*24,"")</f>
        <v>11.799999999999999</v>
      </c>
      <c r="L153" s="33" t="s">
        <v>303</v>
      </c>
      <c r="M153" s="33" t="s">
        <v>299</v>
      </c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53" s="35">
        <f>IFERROR(_xlfn.XLOOKUP(PA[[#This Row],[Affected Equipment ]],'Basic Data'!N:N,'Basic Data'!Q:Q),"")</f>
        <v>5104</v>
      </c>
      <c r="V153" s="39">
        <f ca="1">IFERROR(_xlfn.XLOOKUP(PA[[#This Row],[Affected Equipment ]],'Basic Data'!N:N,'Basic Data'!R:R),"")</f>
        <v>0.13017087477684264</v>
      </c>
      <c r="W153" s="36" t="s">
        <v>345</v>
      </c>
      <c r="X153" s="40"/>
      <c r="Y153" s="40" t="s">
        <v>372</v>
      </c>
      <c r="Z153" s="46">
        <v>0.62638888888888888</v>
      </c>
      <c r="AA153" s="46">
        <v>0.62638888888888888</v>
      </c>
      <c r="AB153" s="46">
        <v>0.62638888888888888</v>
      </c>
      <c r="AC153" s="46">
        <v>0.6430555555555556</v>
      </c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0.40000000000000124</v>
      </c>
      <c r="AG153" s="44">
        <f>IFERROR((PA[[#This Row],[Work Completion time on fault]]-PA[[#This Row],[Fault Time]])*24,"")</f>
        <v>0.40000000000000124</v>
      </c>
      <c r="AH153" s="36" t="s">
        <v>373</v>
      </c>
      <c r="AI153" s="33" t="s">
        <v>298</v>
      </c>
      <c r="AJ153" s="35">
        <f ca="1">IFERROR(PA[[#This Row],[Breakdown Time]]*PA[[#This Row],[Plant Equivalent Weightage]],"")</f>
        <v>5.2068349910737215E-2</v>
      </c>
      <c r="AK153" s="36">
        <v>7.3908917000000005E-2</v>
      </c>
      <c r="AL153" s="51">
        <f>IFERROR((_xlfn.XLOOKUP($G153,'Modelling New'!D:D,'Modelling New'!$O:$O)*PA[[#This Row],[Lost PoA(kWh/m2)]]*PA[[#This Row],[DC Capacity Affected (kW)]]),"")</f>
        <v>311.97873687806509</v>
      </c>
      <c r="AM153" s="33"/>
      <c r="AN153" s="33"/>
      <c r="AO153" s="33">
        <v>4657</v>
      </c>
      <c r="AP153" s="33"/>
    </row>
    <row r="154" spans="1:42">
      <c r="A154" s="30">
        <v>153</v>
      </c>
      <c r="B154" s="31">
        <v>45840</v>
      </c>
      <c r="C154" s="32">
        <f>YEAR(PA[[#This Row],[Date]])+IF(MONTH(PA[[#This Row],[Date]])&gt;=4,1,0)</f>
        <v>2026</v>
      </c>
      <c r="D154" s="32">
        <f>YEAR(PA[[#This Row],[Date]])</f>
        <v>2025</v>
      </c>
      <c r="E154" s="33" t="s">
        <v>219</v>
      </c>
      <c r="F154" s="33" t="s">
        <v>219</v>
      </c>
      <c r="G154" s="196">
        <f>PA[[#This Row],[Date]]-DAY(PA[[#This Row],[Date]])+1</f>
        <v>45839</v>
      </c>
      <c r="H154" s="32">
        <f>DAY(EOMONTH(PA[[#This Row],[Month Year]],0))</f>
        <v>31</v>
      </c>
      <c r="I154" s="122">
        <v>0.25486111111111109</v>
      </c>
      <c r="J154" s="122">
        <v>0.7319444444444444</v>
      </c>
      <c r="K154" s="35">
        <f>IFERROR((PA[[#This Row],[Sunset Time (POA&lt;20 W/m2)]]-PA[[#This Row],[Sunrise Time (POA&gt;20 W/m2)]])*24,"")</f>
        <v>11.45</v>
      </c>
      <c r="L154" s="33" t="s">
        <v>300</v>
      </c>
      <c r="M154" s="33" t="s">
        <v>294</v>
      </c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54" s="35">
        <f>IFERROR(_xlfn.XLOOKUP(PA[[#This Row],[Affected Equipment ]],'Basic Data'!N:N,'Basic Data'!Q:Q),"")</f>
        <v>4662.4750000000004</v>
      </c>
      <c r="V154" s="39">
        <f ca="1">IFERROR(_xlfn.XLOOKUP(PA[[#This Row],[Affected Equipment ]],'Basic Data'!N:N,'Basic Data'!R:R),"")</f>
        <v>0.11891035450140271</v>
      </c>
      <c r="W154" s="36" t="s">
        <v>345</v>
      </c>
      <c r="X154" s="40"/>
      <c r="Y154" s="40" t="s">
        <v>372</v>
      </c>
      <c r="Z154" s="46">
        <v>0.58402777777777781</v>
      </c>
      <c r="AA154" s="46">
        <v>0.58402777777777781</v>
      </c>
      <c r="AB154" s="46">
        <v>0.58402777777777781</v>
      </c>
      <c r="AC154" s="46">
        <v>0.60624999999999996</v>
      </c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0.53333333333333144</v>
      </c>
      <c r="AG154" s="44">
        <f>IFERROR((PA[[#This Row],[Work Completion time on fault]]-PA[[#This Row],[Fault Time]])*24,"")</f>
        <v>0.53333333333333144</v>
      </c>
      <c r="AH154" s="36" t="s">
        <v>373</v>
      </c>
      <c r="AI154" s="33" t="s">
        <v>298</v>
      </c>
      <c r="AJ154" s="35">
        <f ca="1">IFERROR(PA[[#This Row],[Breakdown Time]]*PA[[#This Row],[Plant Equivalent Weightage]],"")</f>
        <v>6.3418855734081223E-2</v>
      </c>
      <c r="AK154" s="36">
        <v>0.138228345</v>
      </c>
      <c r="AL154" s="51">
        <f>IFERROR((_xlfn.XLOOKUP($G154,'Modelling New'!D:D,'Modelling New'!$O:$O)*PA[[#This Row],[Lost PoA(kWh/m2)]]*PA[[#This Row],[DC Capacity Affected (kW)]]),"")</f>
        <v>533.00479443367499</v>
      </c>
      <c r="AM154" s="33"/>
      <c r="AN154" s="33"/>
      <c r="AO154" s="33">
        <v>4674</v>
      </c>
      <c r="AP154" s="33"/>
    </row>
    <row r="155" spans="1:42">
      <c r="A155" s="30">
        <v>154</v>
      </c>
      <c r="B155" s="31">
        <v>45840</v>
      </c>
      <c r="C155" s="32">
        <f>YEAR(PA[[#This Row],[Date]])+IF(MONTH(PA[[#This Row],[Date]])&gt;=4,1,0)</f>
        <v>2026</v>
      </c>
      <c r="D155" s="32">
        <f>YEAR(PA[[#This Row],[Date]])</f>
        <v>2025</v>
      </c>
      <c r="E155" s="33" t="s">
        <v>219</v>
      </c>
      <c r="F155" s="33" t="s">
        <v>219</v>
      </c>
      <c r="G155" s="196">
        <f>PA[[#This Row],[Date]]-DAY(PA[[#This Row],[Date]])+1</f>
        <v>45839</v>
      </c>
      <c r="H155" s="32">
        <f>DAY(EOMONTH(PA[[#This Row],[Month Year]],0))</f>
        <v>31</v>
      </c>
      <c r="I155" s="122">
        <v>0.25486111111111109</v>
      </c>
      <c r="J155" s="122">
        <v>0.7319444444444444</v>
      </c>
      <c r="K155" s="35">
        <f>IFERROR((PA[[#This Row],[Sunset Time (POA&lt;20 W/m2)]]-PA[[#This Row],[Sunrise Time (POA&gt;20 W/m2)]])*24,"")</f>
        <v>11.45</v>
      </c>
      <c r="L155" s="33" t="s">
        <v>300</v>
      </c>
      <c r="M155" s="33" t="s">
        <v>299</v>
      </c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5" s="35">
        <f>IFERROR(_xlfn.XLOOKUP(PA[[#This Row],[Affected Equipment ]],'Basic Data'!N:N,'Basic Data'!Q:Q),"")</f>
        <v>4662.4750000000004</v>
      </c>
      <c r="V155" s="39">
        <f ca="1">IFERROR(_xlfn.XLOOKUP(PA[[#This Row],[Affected Equipment ]],'Basic Data'!N:N,'Basic Data'!R:R),"")</f>
        <v>0.11891035450140271</v>
      </c>
      <c r="W155" s="36" t="s">
        <v>345</v>
      </c>
      <c r="X155" s="40"/>
      <c r="Y155" s="40" t="s">
        <v>372</v>
      </c>
      <c r="Z155" s="46">
        <v>0.58402777777777781</v>
      </c>
      <c r="AA155" s="46">
        <v>0.58402777777777781</v>
      </c>
      <c r="AB155" s="46">
        <v>0.58402777777777781</v>
      </c>
      <c r="AC155" s="46">
        <v>0.60624999999999996</v>
      </c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0.53333333333333144</v>
      </c>
      <c r="AG155" s="44">
        <f>IFERROR((PA[[#This Row],[Work Completion time on fault]]-PA[[#This Row],[Fault Time]])*24,"")</f>
        <v>0.53333333333333144</v>
      </c>
      <c r="AH155" s="36" t="s">
        <v>373</v>
      </c>
      <c r="AI155" s="33" t="s">
        <v>298</v>
      </c>
      <c r="AJ155" s="35">
        <f ca="1">IFERROR(PA[[#This Row],[Breakdown Time]]*PA[[#This Row],[Plant Equivalent Weightage]],"")</f>
        <v>6.3418855734081223E-2</v>
      </c>
      <c r="AK155" s="36">
        <v>0.138228345</v>
      </c>
      <c r="AL155" s="51">
        <f>IFERROR((_xlfn.XLOOKUP($G155,'Modelling New'!D:D,'Modelling New'!$O:$O)*PA[[#This Row],[Lost PoA(kWh/m2)]]*PA[[#This Row],[DC Capacity Affected (kW)]]),"")</f>
        <v>533.00479443367499</v>
      </c>
      <c r="AM155" s="33"/>
      <c r="AN155" s="33"/>
      <c r="AO155" s="33">
        <v>4674</v>
      </c>
      <c r="AP155" s="33"/>
    </row>
    <row r="156" spans="1:42">
      <c r="A156" s="30">
        <v>155</v>
      </c>
      <c r="B156" s="31">
        <v>45840</v>
      </c>
      <c r="C156" s="32">
        <f>YEAR(PA[[#This Row],[Date]])+IF(MONTH(PA[[#This Row],[Date]])&gt;=4,1,0)</f>
        <v>2026</v>
      </c>
      <c r="D156" s="32">
        <f>YEAR(PA[[#This Row],[Date]])</f>
        <v>2025</v>
      </c>
      <c r="E156" s="33" t="s">
        <v>219</v>
      </c>
      <c r="F156" s="33" t="s">
        <v>219</v>
      </c>
      <c r="G156" s="196">
        <f>PA[[#This Row],[Date]]-DAY(PA[[#This Row],[Date]])+1</f>
        <v>45839</v>
      </c>
      <c r="H156" s="32">
        <f>DAY(EOMONTH(PA[[#This Row],[Month Year]],0))</f>
        <v>31</v>
      </c>
      <c r="I156" s="122">
        <v>0.25486111111111109</v>
      </c>
      <c r="J156" s="122">
        <v>0.7319444444444444</v>
      </c>
      <c r="K156" s="35">
        <f>IFERROR((PA[[#This Row],[Sunset Time (POA&lt;20 W/m2)]]-PA[[#This Row],[Sunrise Time (POA&gt;20 W/m2)]])*24,"")</f>
        <v>11.45</v>
      </c>
      <c r="L156" s="33" t="s">
        <v>293</v>
      </c>
      <c r="M156" s="33" t="s">
        <v>294</v>
      </c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56" s="35">
        <f>IFERROR(_xlfn.XLOOKUP(PA[[#This Row],[Affected Equipment ]],'Basic Data'!N:N,'Basic Data'!Q:Q),"")</f>
        <v>6511.66</v>
      </c>
      <c r="V156" s="39">
        <f ca="1">IFERROR(_xlfn.XLOOKUP(PA[[#This Row],[Affected Equipment ]],'Basic Data'!N:N,'Basic Data'!R:R),"")</f>
        <v>0.1660714103545014</v>
      </c>
      <c r="W156" s="36" t="s">
        <v>345</v>
      </c>
      <c r="X156" s="40"/>
      <c r="Y156" s="40" t="s">
        <v>372</v>
      </c>
      <c r="Z156" s="46">
        <v>0.58402777777777781</v>
      </c>
      <c r="AA156" s="46">
        <v>0.58402777777777781</v>
      </c>
      <c r="AB156" s="46">
        <v>0.58402777777777781</v>
      </c>
      <c r="AC156" s="46">
        <v>0.66736111111111107</v>
      </c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1.9999999999999982</v>
      </c>
      <c r="AG156" s="44">
        <f>IFERROR((PA[[#This Row],[Work Completion time on fault]]-PA[[#This Row],[Fault Time]])*24,"")</f>
        <v>1.9999999999999982</v>
      </c>
      <c r="AH156" s="36" t="s">
        <v>373</v>
      </c>
      <c r="AI156" s="33" t="s">
        <v>298</v>
      </c>
      <c r="AJ156" s="35">
        <f ca="1">IFERROR(PA[[#This Row],[Breakdown Time]]*PA[[#This Row],[Plant Equivalent Weightage]],"")</f>
        <v>0.33214282070900253</v>
      </c>
      <c r="AK156" s="36">
        <v>0.22273204499999999</v>
      </c>
      <c r="AL156" s="51">
        <f>IFERROR((_xlfn.XLOOKUP($G156,'Modelling New'!D:D,'Modelling New'!$O:$O)*PA[[#This Row],[Lost PoA(kWh/m2)]]*PA[[#This Row],[DC Capacity Affected (kW)]]),"")</f>
        <v>1199.4769643950319</v>
      </c>
      <c r="AM156" s="33"/>
      <c r="AN156" s="33"/>
      <c r="AO156" s="33">
        <v>4674</v>
      </c>
      <c r="AP156" s="33"/>
    </row>
    <row r="157" spans="1:42">
      <c r="A157" s="30">
        <v>156</v>
      </c>
      <c r="B157" s="31">
        <v>45840</v>
      </c>
      <c r="C157" s="32">
        <f>YEAR(PA[[#This Row],[Date]])+IF(MONTH(PA[[#This Row],[Date]])&gt;=4,1,0)</f>
        <v>2026</v>
      </c>
      <c r="D157" s="32">
        <f>YEAR(PA[[#This Row],[Date]])</f>
        <v>2025</v>
      </c>
      <c r="E157" s="33" t="s">
        <v>219</v>
      </c>
      <c r="F157" s="33" t="s">
        <v>219</v>
      </c>
      <c r="G157" s="196">
        <f>PA[[#This Row],[Date]]-DAY(PA[[#This Row],[Date]])+1</f>
        <v>45839</v>
      </c>
      <c r="H157" s="32">
        <f>DAY(EOMONTH(PA[[#This Row],[Month Year]],0))</f>
        <v>31</v>
      </c>
      <c r="I157" s="122">
        <v>0.25486111111111109</v>
      </c>
      <c r="J157" s="122">
        <v>0.7319444444444444</v>
      </c>
      <c r="K157" s="35">
        <f>IFERROR((PA[[#This Row],[Sunset Time (POA&lt;20 W/m2)]]-PA[[#This Row],[Sunrise Time (POA&gt;20 W/m2)]])*24,"")</f>
        <v>11.45</v>
      </c>
      <c r="L157" s="33" t="s">
        <v>293</v>
      </c>
      <c r="M157" s="33" t="s">
        <v>299</v>
      </c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7" s="35">
        <f>IFERROR(_xlfn.XLOOKUP(PA[[#This Row],[Affected Equipment ]],'Basic Data'!N:N,'Basic Data'!Q:Q),"")</f>
        <v>6495.8549999999996</v>
      </c>
      <c r="V157" s="39">
        <f ca="1">IFERROR(_xlfn.XLOOKUP(PA[[#This Row],[Affected Equipment ]],'Basic Data'!N:N,'Basic Data'!R:R),"")</f>
        <v>0.16566832440703902</v>
      </c>
      <c r="W157" s="36" t="s">
        <v>345</v>
      </c>
      <c r="X157" s="40"/>
      <c r="Y157" s="40" t="s">
        <v>372</v>
      </c>
      <c r="Z157" s="46">
        <v>0.58402777777777781</v>
      </c>
      <c r="AA157" s="46">
        <v>0.58402777777777781</v>
      </c>
      <c r="AB157" s="46">
        <v>0.58402777777777781</v>
      </c>
      <c r="AC157" s="46">
        <v>0.66736111111111107</v>
      </c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1.9999999999999982</v>
      </c>
      <c r="AG157" s="44">
        <f>IFERROR((PA[[#This Row],[Work Completion time on fault]]-PA[[#This Row],[Fault Time]])*24,"")</f>
        <v>1.9999999999999982</v>
      </c>
      <c r="AH157" s="36" t="s">
        <v>373</v>
      </c>
      <c r="AI157" s="33" t="s">
        <v>298</v>
      </c>
      <c r="AJ157" s="35">
        <f ca="1">IFERROR(PA[[#This Row],[Breakdown Time]]*PA[[#This Row],[Plant Equivalent Weightage]],"")</f>
        <v>0.33133664881407776</v>
      </c>
      <c r="AK157" s="36">
        <v>0.22273204499999999</v>
      </c>
      <c r="AL157" s="51">
        <f>IFERROR((_xlfn.XLOOKUP($G157,'Modelling New'!D:D,'Modelling New'!$O:$O)*PA[[#This Row],[Lost PoA(kWh/m2)]]*PA[[#This Row],[DC Capacity Affected (kW)]]),"")</f>
        <v>1196.565612539704</v>
      </c>
      <c r="AM157" s="33"/>
      <c r="AN157" s="33"/>
      <c r="AO157" s="33">
        <v>4674</v>
      </c>
      <c r="AP157" s="33"/>
    </row>
    <row r="158" spans="1:42">
      <c r="A158" s="30">
        <v>157</v>
      </c>
      <c r="B158" s="31">
        <v>45840</v>
      </c>
      <c r="C158" s="32">
        <f>YEAR(PA[[#This Row],[Date]])+IF(MONTH(PA[[#This Row],[Date]])&gt;=4,1,0)</f>
        <v>2026</v>
      </c>
      <c r="D158" s="32">
        <f>YEAR(PA[[#This Row],[Date]])</f>
        <v>2025</v>
      </c>
      <c r="E158" s="33" t="s">
        <v>219</v>
      </c>
      <c r="F158" s="33" t="s">
        <v>219</v>
      </c>
      <c r="G158" s="196">
        <f>PA[[#This Row],[Date]]-DAY(PA[[#This Row],[Date]])+1</f>
        <v>45839</v>
      </c>
      <c r="H158" s="32">
        <f>DAY(EOMONTH(PA[[#This Row],[Month Year]],0))</f>
        <v>31</v>
      </c>
      <c r="I158" s="122">
        <v>0.25486111111111109</v>
      </c>
      <c r="J158" s="122">
        <v>0.7319444444444444</v>
      </c>
      <c r="K158" s="35">
        <f>IFERROR((PA[[#This Row],[Sunset Time (POA&lt;20 W/m2)]]-PA[[#This Row],[Sunrise Time (POA&gt;20 W/m2)]])*24,"")</f>
        <v>11.45</v>
      </c>
      <c r="L158" s="33" t="s">
        <v>302</v>
      </c>
      <c r="M158" s="33" t="s">
        <v>294</v>
      </c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8" s="35">
        <f>IFERROR(_xlfn.XLOOKUP(PA[[#This Row],[Affected Equipment ]],'Basic Data'!N:N,'Basic Data'!Q:Q),"")</f>
        <v>6527.4649999999992</v>
      </c>
      <c r="V158" s="39">
        <f ca="1">IFERROR(_xlfn.XLOOKUP(PA[[#This Row],[Affected Equipment ]],'Basic Data'!N:N,'Basic Data'!R:R),"")</f>
        <v>0.16647449630196376</v>
      </c>
      <c r="W158" s="36" t="s">
        <v>345</v>
      </c>
      <c r="X158" s="40"/>
      <c r="Y158" s="40" t="s">
        <v>372</v>
      </c>
      <c r="Z158" s="46">
        <v>0.58402777777777781</v>
      </c>
      <c r="AA158" s="46">
        <v>0.58402777777777781</v>
      </c>
      <c r="AB158" s="46">
        <v>0.58402777777777781</v>
      </c>
      <c r="AC158" s="46">
        <v>0.60277777777777775</v>
      </c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0.4499999999999984</v>
      </c>
      <c r="AG158" s="44">
        <f>IFERROR((PA[[#This Row],[Work Completion time on fault]]-PA[[#This Row],[Fault Time]])*24,"")</f>
        <v>0.4499999999999984</v>
      </c>
      <c r="AH158" s="36" t="s">
        <v>373</v>
      </c>
      <c r="AI158" s="33" t="s">
        <v>298</v>
      </c>
      <c r="AJ158" s="35">
        <f ca="1">IFERROR(PA[[#This Row],[Breakdown Time]]*PA[[#This Row],[Plant Equivalent Weightage]],"")</f>
        <v>7.4913523335883428E-2</v>
      </c>
      <c r="AK158" s="36">
        <v>0.129250742</v>
      </c>
      <c r="AL158" s="51">
        <f>IFERROR((_xlfn.XLOOKUP($G158,'Modelling New'!D:D,'Modelling New'!$O:$O)*PA[[#This Row],[Lost PoA(kWh/m2)]]*PA[[#This Row],[DC Capacity Affected (kW)]]),"")</f>
        <v>697.74235695402365</v>
      </c>
      <c r="AM158" s="33"/>
      <c r="AN158" s="33"/>
      <c r="AO158" s="33">
        <v>4674</v>
      </c>
      <c r="AP158" s="33"/>
    </row>
    <row r="159" spans="1:42">
      <c r="A159" s="30">
        <v>158</v>
      </c>
      <c r="B159" s="31">
        <v>45840</v>
      </c>
      <c r="C159" s="32">
        <f>YEAR(PA[[#This Row],[Date]])+IF(MONTH(PA[[#This Row],[Date]])&gt;=4,1,0)</f>
        <v>2026</v>
      </c>
      <c r="D159" s="32">
        <f>YEAR(PA[[#This Row],[Date]])</f>
        <v>2025</v>
      </c>
      <c r="E159" s="33" t="s">
        <v>219</v>
      </c>
      <c r="F159" s="33" t="s">
        <v>219</v>
      </c>
      <c r="G159" s="196">
        <f>PA[[#This Row],[Date]]-DAY(PA[[#This Row],[Date]])+1</f>
        <v>45839</v>
      </c>
      <c r="H159" s="32">
        <f>DAY(EOMONTH(PA[[#This Row],[Month Year]],0))</f>
        <v>31</v>
      </c>
      <c r="I159" s="122">
        <v>0.25486111111111109</v>
      </c>
      <c r="J159" s="122">
        <v>0.7319444444444444</v>
      </c>
      <c r="K159" s="35">
        <f>IFERROR((PA[[#This Row],[Sunset Time (POA&lt;20 W/m2)]]-PA[[#This Row],[Sunrise Time (POA&gt;20 W/m2)]])*24,"")</f>
        <v>11.45</v>
      </c>
      <c r="L159" s="33" t="s">
        <v>303</v>
      </c>
      <c r="M159" s="33" t="s">
        <v>294</v>
      </c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9" s="35">
        <f>IFERROR(_xlfn.XLOOKUP(PA[[#This Row],[Affected Equipment ]],'Basic Data'!N:N,'Basic Data'!Q:Q),"")</f>
        <v>5104</v>
      </c>
      <c r="V159" s="39">
        <f ca="1">IFERROR(_xlfn.XLOOKUP(PA[[#This Row],[Affected Equipment ]],'Basic Data'!N:N,'Basic Data'!R:R),"")</f>
        <v>0.13017087477684264</v>
      </c>
      <c r="W159" s="36" t="s">
        <v>345</v>
      </c>
      <c r="X159" s="40"/>
      <c r="Y159" s="40" t="s">
        <v>372</v>
      </c>
      <c r="Z159" s="46">
        <v>0.58402777777777781</v>
      </c>
      <c r="AA159" s="46">
        <v>0.58402777777777781</v>
      </c>
      <c r="AB159" s="46">
        <v>0.58402777777777781</v>
      </c>
      <c r="AC159" s="46">
        <v>0.60277777777777775</v>
      </c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0.4499999999999984</v>
      </c>
      <c r="AG159" s="44">
        <f>IFERROR((PA[[#This Row],[Work Completion time on fault]]-PA[[#This Row],[Fault Time]])*24,"")</f>
        <v>0.4499999999999984</v>
      </c>
      <c r="AH159" s="36" t="s">
        <v>373</v>
      </c>
      <c r="AI159" s="33" t="s">
        <v>298</v>
      </c>
      <c r="AJ159" s="35">
        <f ca="1">IFERROR(PA[[#This Row],[Breakdown Time]]*PA[[#This Row],[Plant Equivalent Weightage]],"")</f>
        <v>5.8576893649578979E-2</v>
      </c>
      <c r="AK159" s="36">
        <v>0.129250742</v>
      </c>
      <c r="AL159" s="51">
        <f>IFERROR((_xlfn.XLOOKUP($G159,'Modelling New'!D:D,'Modelling New'!$O:$O)*PA[[#This Row],[Lost PoA(kWh/m2)]]*PA[[#This Row],[DC Capacity Affected (kW)]]),"")</f>
        <v>545.58346768513309</v>
      </c>
      <c r="AM159" s="33"/>
      <c r="AN159" s="33"/>
      <c r="AO159" s="33">
        <v>4674</v>
      </c>
      <c r="AP159" s="33"/>
    </row>
    <row r="160" spans="1:42">
      <c r="A160" s="30">
        <v>159</v>
      </c>
      <c r="B160" s="31">
        <v>45840</v>
      </c>
      <c r="C160" s="32">
        <f>YEAR(PA[[#This Row],[Date]])+IF(MONTH(PA[[#This Row],[Date]])&gt;=4,1,0)</f>
        <v>2026</v>
      </c>
      <c r="D160" s="32">
        <f>YEAR(PA[[#This Row],[Date]])</f>
        <v>2025</v>
      </c>
      <c r="E160" s="33" t="s">
        <v>219</v>
      </c>
      <c r="F160" s="33" t="s">
        <v>219</v>
      </c>
      <c r="G160" s="196">
        <f>PA[[#This Row],[Date]]-DAY(PA[[#This Row],[Date]])+1</f>
        <v>45839</v>
      </c>
      <c r="H160" s="32">
        <f>DAY(EOMONTH(PA[[#This Row],[Month Year]],0))</f>
        <v>31</v>
      </c>
      <c r="I160" s="122">
        <v>0.25486111111111109</v>
      </c>
      <c r="J160" s="122">
        <v>0.7319444444444444</v>
      </c>
      <c r="K160" s="35">
        <f>IFERROR((PA[[#This Row],[Sunset Time (POA&lt;20 W/m2)]]-PA[[#This Row],[Sunrise Time (POA&gt;20 W/m2)]])*24,"")</f>
        <v>11.45</v>
      </c>
      <c r="L160" s="33" t="s">
        <v>303</v>
      </c>
      <c r="M160" s="33" t="s">
        <v>299</v>
      </c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0" s="35">
        <f>IFERROR(_xlfn.XLOOKUP(PA[[#This Row],[Affected Equipment ]],'Basic Data'!N:N,'Basic Data'!Q:Q),"")</f>
        <v>5104</v>
      </c>
      <c r="V160" s="39">
        <f ca="1">IFERROR(_xlfn.XLOOKUP(PA[[#This Row],[Affected Equipment ]],'Basic Data'!N:N,'Basic Data'!R:R),"")</f>
        <v>0.13017087477684264</v>
      </c>
      <c r="W160" s="36" t="s">
        <v>345</v>
      </c>
      <c r="X160" s="40"/>
      <c r="Y160" s="40" t="s">
        <v>372</v>
      </c>
      <c r="Z160" s="46">
        <v>0.58402777777777781</v>
      </c>
      <c r="AA160" s="46">
        <v>0.58402777777777781</v>
      </c>
      <c r="AB160" s="46">
        <v>0.58402777777777781</v>
      </c>
      <c r="AC160" s="46">
        <v>0.60486111111111107</v>
      </c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0.49999999999999822</v>
      </c>
      <c r="AG160" s="44">
        <f>IFERROR((PA[[#This Row],[Work Completion time on fault]]-PA[[#This Row],[Fault Time]])*24,"")</f>
        <v>0.49999999999999822</v>
      </c>
      <c r="AH160" s="36" t="s">
        <v>373</v>
      </c>
      <c r="AI160" s="33" t="s">
        <v>298</v>
      </c>
      <c r="AJ160" s="35">
        <f ca="1">IFERROR(PA[[#This Row],[Breakdown Time]]*PA[[#This Row],[Plant Equivalent Weightage]],"")</f>
        <v>6.5085437388421083E-2</v>
      </c>
      <c r="AK160" s="36">
        <v>0.13480704800000001</v>
      </c>
      <c r="AL160" s="51">
        <f>IFERROR((_xlfn.XLOOKUP($G160,'Modelling New'!D:D,'Modelling New'!$O:$O)*PA[[#This Row],[Lost PoA(kWh/m2)]]*PA[[#This Row],[DC Capacity Affected (kW)]]),"")</f>
        <v>569.03732681268616</v>
      </c>
      <c r="AM160" s="33"/>
      <c r="AN160" s="33"/>
      <c r="AO160" s="33">
        <v>4674</v>
      </c>
      <c r="AP160" s="33"/>
    </row>
    <row r="161" spans="1:42">
      <c r="A161" s="30">
        <v>160</v>
      </c>
      <c r="B161" s="31">
        <v>45840</v>
      </c>
      <c r="C161" s="32">
        <f>YEAR(PA[[#This Row],[Date]])+IF(MONTH(PA[[#This Row],[Date]])&gt;=4,1,0)</f>
        <v>2026</v>
      </c>
      <c r="D161" s="32">
        <f>YEAR(PA[[#This Row],[Date]])</f>
        <v>2025</v>
      </c>
      <c r="E161" s="33" t="s">
        <v>219</v>
      </c>
      <c r="F161" s="33" t="s">
        <v>219</v>
      </c>
      <c r="G161" s="196">
        <f>PA[[#This Row],[Date]]-DAY(PA[[#This Row],[Date]])+1</f>
        <v>45839</v>
      </c>
      <c r="H161" s="32">
        <f>DAY(EOMONTH(PA[[#This Row],[Month Year]],0))</f>
        <v>31</v>
      </c>
      <c r="I161" s="122">
        <v>0.25486111111111109</v>
      </c>
      <c r="J161" s="122">
        <v>0.7319444444444444</v>
      </c>
      <c r="K161" s="35">
        <f>IFERROR((PA[[#This Row],[Sunset Time (POA&lt;20 W/m2)]]-PA[[#This Row],[Sunrise Time (POA&gt;20 W/m2)]])*24,"")</f>
        <v>11.45</v>
      </c>
      <c r="L161" s="33" t="s">
        <v>302</v>
      </c>
      <c r="M161" s="33" t="s">
        <v>294</v>
      </c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1" s="35">
        <f>IFERROR(_xlfn.XLOOKUP(PA[[#This Row],[Affected Equipment ]],'Basic Data'!N:N,'Basic Data'!Q:Q),"")</f>
        <v>6527.4649999999992</v>
      </c>
      <c r="V161" s="39">
        <f ca="1">IFERROR(_xlfn.XLOOKUP(PA[[#This Row],[Affected Equipment ]],'Basic Data'!N:N,'Basic Data'!R:R),"")</f>
        <v>0.16647449630196376</v>
      </c>
      <c r="W161" s="36" t="s">
        <v>295</v>
      </c>
      <c r="X161" s="40"/>
      <c r="Y161" s="367" t="s">
        <v>754</v>
      </c>
      <c r="Z161" s="46">
        <v>0.64166666666666672</v>
      </c>
      <c r="AA161" s="46">
        <v>0.64166666666666672</v>
      </c>
      <c r="AB161" s="46">
        <v>0.64166666666666672</v>
      </c>
      <c r="AC161" s="42">
        <v>0.66319444444444442</v>
      </c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0.51666666666666483</v>
      </c>
      <c r="AG161" s="44">
        <f>IFERROR((PA[[#This Row],[Work Completion time on fault]]-PA[[#This Row],[Fault Time]])*24,"")</f>
        <v>0.51666666666666483</v>
      </c>
      <c r="AH161" s="36" t="s">
        <v>755</v>
      </c>
      <c r="AI161" s="33" t="s">
        <v>298</v>
      </c>
      <c r="AJ161" s="35">
        <f ca="1">IFERROR(PA[[#This Row],[Breakdown Time]]*PA[[#This Row],[Plant Equivalent Weightage]],"")</f>
        <v>8.6011823089347642E-2</v>
      </c>
      <c r="AK161" s="36">
        <v>1.8622637000000001E-2</v>
      </c>
      <c r="AL161" s="51">
        <f>IFERROR((_xlfn.XLOOKUP($G161,'Modelling New'!D:D,'Modelling New'!$O:$O)*PA[[#This Row],[Lost PoA(kWh/m2)]]*PA[[#This Row],[DC Capacity Affected (kW)]]),"")</f>
        <v>100.53174497891244</v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>
        <v>45841</v>
      </c>
      <c r="C162" s="32">
        <f>YEAR(PA[[#This Row],[Date]])+IF(MONTH(PA[[#This Row],[Date]])&gt;=4,1,0)</f>
        <v>2026</v>
      </c>
      <c r="D162" s="32">
        <f>YEAR(PA[[#This Row],[Date]])</f>
        <v>2025</v>
      </c>
      <c r="E162" s="33" t="s">
        <v>219</v>
      </c>
      <c r="F162" s="33" t="s">
        <v>219</v>
      </c>
      <c r="G162" s="196">
        <f>PA[[#This Row],[Date]]-DAY(PA[[#This Row],[Date]])+1</f>
        <v>45839</v>
      </c>
      <c r="H162" s="32">
        <f>DAY(EOMONTH(PA[[#This Row],[Month Year]],0))</f>
        <v>31</v>
      </c>
      <c r="I162" s="122">
        <v>0.25763888888888886</v>
      </c>
      <c r="J162" s="122">
        <v>0.77152777777777781</v>
      </c>
      <c r="K162" s="35">
        <f>IFERROR((PA[[#This Row],[Sunset Time (POA&lt;20 W/m2)]]-PA[[#This Row],[Sunrise Time (POA&gt;20 W/m2)]])*24,"")</f>
        <v>12.333333333333336</v>
      </c>
      <c r="L162" s="33" t="s">
        <v>303</v>
      </c>
      <c r="M162" s="33" t="s">
        <v>299</v>
      </c>
      <c r="N162" s="33" t="s">
        <v>313</v>
      </c>
      <c r="O162" s="36" t="s">
        <v>352</v>
      </c>
      <c r="P162" s="36" t="s">
        <v>348</v>
      </c>
      <c r="Q162" s="33"/>
      <c r="R162" s="32">
        <f>IF((PA[[#This Row],[String Type(If String BD)]]&amp;PA[[#This Row],[Equipment (If any BD other than PV  array and inv)]])="",1,0)</f>
        <v>0</v>
      </c>
      <c r="S162" s="32">
        <f>IF(PA[[#This Row],[String Type(If String BD)]]="",1,0)</f>
        <v>0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62" s="35">
        <f>IFERROR(_xlfn.XLOOKUP(PA[[#This Row],[Affected Equipment ]],'Basic Data'!N:N,'Basic Data'!Q:Q),"")</f>
        <v>31.9</v>
      </c>
      <c r="V162" s="39">
        <f ca="1">IFERROR(_xlfn.XLOOKUP(PA[[#This Row],[Affected Equipment ]],'Basic Data'!N:N,'Basic Data'!R:R),"")</f>
        <v>8.1356796735526649E-4</v>
      </c>
      <c r="W162" s="36" t="s">
        <v>349</v>
      </c>
      <c r="X162" s="40"/>
      <c r="Y162" s="40" t="s">
        <v>350</v>
      </c>
      <c r="Z162" s="46">
        <v>0.25763888888888886</v>
      </c>
      <c r="AA162" s="46">
        <v>0.25763888888888886</v>
      </c>
      <c r="AB162" s="46">
        <v>0.25763888888888886</v>
      </c>
      <c r="AC162" s="42">
        <v>0.66666666666666663</v>
      </c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9.8166666666666664</v>
      </c>
      <c r="AG162" s="44">
        <f>IFERROR((PA[[#This Row],[Work Completion time on fault]]-PA[[#This Row],[Fault Time]])*24,"")</f>
        <v>9.8166666666666664</v>
      </c>
      <c r="AH162" s="36" t="s">
        <v>351</v>
      </c>
      <c r="AI162" s="33" t="s">
        <v>298</v>
      </c>
      <c r="AJ162" s="35">
        <f ca="1">IFERROR(PA[[#This Row],[Breakdown Time]]*PA[[#This Row],[Plant Equivalent Weightage]],"")</f>
        <v>7.9865255462041995E-3</v>
      </c>
      <c r="AK162" s="36">
        <v>3.644533</v>
      </c>
      <c r="AL162" s="51">
        <f>IFERROR((_xlfn.XLOOKUP($G162,'Modelling New'!D:D,'Modelling New'!$O:$O)*PA[[#This Row],[Lost PoA(kWh/m2)]]*PA[[#This Row],[DC Capacity Affected (kW)]]),"")</f>
        <v>96.150171048578045</v>
      </c>
      <c r="AM162" s="33"/>
      <c r="AN162" s="33"/>
      <c r="AO162" s="33">
        <v>4703</v>
      </c>
      <c r="AP162" s="33" t="s">
        <v>756</v>
      </c>
    </row>
    <row r="163" spans="1:42">
      <c r="A163" s="30">
        <f t="shared" si="0"/>
        <v>162</v>
      </c>
      <c r="B163" s="31">
        <v>45844</v>
      </c>
      <c r="C163" s="32">
        <f>YEAR(PA[[#This Row],[Date]])+IF(MONTH(PA[[#This Row],[Date]])&gt;=4,1,0)</f>
        <v>2026</v>
      </c>
      <c r="D163" s="32">
        <f>YEAR(PA[[#This Row],[Date]])</f>
        <v>2025</v>
      </c>
      <c r="E163" s="33" t="s">
        <v>219</v>
      </c>
      <c r="F163" s="33" t="s">
        <v>219</v>
      </c>
      <c r="G163" s="196">
        <f>PA[[#This Row],[Date]]-DAY(PA[[#This Row],[Date]])+1</f>
        <v>45839</v>
      </c>
      <c r="H163" s="32">
        <f>DAY(EOMONTH(PA[[#This Row],[Month Year]],0))</f>
        <v>31</v>
      </c>
      <c r="I163" s="122">
        <v>0.27291666666666664</v>
      </c>
      <c r="J163" s="122">
        <v>0.74861111111111112</v>
      </c>
      <c r="K163" s="35">
        <f>IFERROR((PA[[#This Row],[Sunset Time (POA&lt;20 W/m2)]]-PA[[#This Row],[Sunrise Time (POA&gt;20 W/m2)]])*24,"")</f>
        <v>11.416666666666668</v>
      </c>
      <c r="L163" s="33" t="s">
        <v>300</v>
      </c>
      <c r="M163" s="33" t="s">
        <v>294</v>
      </c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63" s="35">
        <f>IFERROR(_xlfn.XLOOKUP(PA[[#This Row],[Affected Equipment ]],'Basic Data'!N:N,'Basic Data'!Q:Q),"")</f>
        <v>4662.4750000000004</v>
      </c>
      <c r="V163" s="39">
        <f ca="1">IFERROR(_xlfn.XLOOKUP(PA[[#This Row],[Affected Equipment ]],'Basic Data'!N:N,'Basic Data'!R:R),"")</f>
        <v>0.11891035450140271</v>
      </c>
      <c r="W163" s="36" t="s">
        <v>345</v>
      </c>
      <c r="X163" s="40"/>
      <c r="Y163" s="40" t="s">
        <v>372</v>
      </c>
      <c r="Z163" s="42">
        <v>0.58333333333333337</v>
      </c>
      <c r="AA163" s="42">
        <v>0.58333333333333337</v>
      </c>
      <c r="AB163" s="42">
        <v>0.58333333333333337</v>
      </c>
      <c r="AC163" s="42">
        <v>0.61111111111111116</v>
      </c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0.66666666666666696</v>
      </c>
      <c r="AG163" s="44">
        <f>IFERROR((PA[[#This Row],[Work Completion time on fault]]-PA[[#This Row],[Fault Time]])*24,"")</f>
        <v>0.66666666666666696</v>
      </c>
      <c r="AH163" s="36" t="s">
        <v>373</v>
      </c>
      <c r="AI163" s="33" t="s">
        <v>298</v>
      </c>
      <c r="AJ163" s="35">
        <f ca="1">IFERROR(PA[[#This Row],[Breakdown Time]]*PA[[#This Row],[Plant Equivalent Weightage]],"")</f>
        <v>7.9273569667601837E-2</v>
      </c>
      <c r="AK163" s="36">
        <v>0.25965670000000002</v>
      </c>
      <c r="AL163" s="51">
        <f>IFERROR((_xlfn.XLOOKUP($G163,'Modelling New'!D:D,'Modelling New'!$O:$O)*PA[[#This Row],[Lost PoA(kWh/m2)]]*PA[[#This Row],[DC Capacity Affected (kW)]]),"")</f>
        <v>1001.2292775901094</v>
      </c>
      <c r="AM163" s="33"/>
      <c r="AN163" s="33"/>
      <c r="AO163" s="33">
        <v>4774</v>
      </c>
      <c r="AP163" s="33" t="s">
        <v>757</v>
      </c>
    </row>
    <row r="164" spans="1:42">
      <c r="A164" s="30">
        <f t="shared" si="0"/>
        <v>163</v>
      </c>
      <c r="B164" s="31">
        <v>45844</v>
      </c>
      <c r="C164" s="32">
        <f>YEAR(PA[[#This Row],[Date]])+IF(MONTH(PA[[#This Row],[Date]])&gt;=4,1,0)</f>
        <v>2026</v>
      </c>
      <c r="D164" s="32">
        <f>YEAR(PA[[#This Row],[Date]])</f>
        <v>2025</v>
      </c>
      <c r="E164" s="33" t="s">
        <v>219</v>
      </c>
      <c r="F164" s="33" t="s">
        <v>219</v>
      </c>
      <c r="G164" s="196">
        <f>PA[[#This Row],[Date]]-DAY(PA[[#This Row],[Date]])+1</f>
        <v>45839</v>
      </c>
      <c r="H164" s="32">
        <f>DAY(EOMONTH(PA[[#This Row],[Month Year]],0))</f>
        <v>31</v>
      </c>
      <c r="I164" s="122">
        <v>0.27291666666666664</v>
      </c>
      <c r="J164" s="122">
        <v>0.74861111111111112</v>
      </c>
      <c r="K164" s="35">
        <f>IFERROR((PA[[#This Row],[Sunset Time (POA&lt;20 W/m2)]]-PA[[#This Row],[Sunrise Time (POA&gt;20 W/m2)]])*24,"")</f>
        <v>11.416666666666668</v>
      </c>
      <c r="L164" s="33" t="s">
        <v>300</v>
      </c>
      <c r="M164" s="33" t="s">
        <v>299</v>
      </c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64" s="35">
        <f>IFERROR(_xlfn.XLOOKUP(PA[[#This Row],[Affected Equipment ]],'Basic Data'!N:N,'Basic Data'!Q:Q),"")</f>
        <v>4662.4750000000004</v>
      </c>
      <c r="V164" s="39">
        <f ca="1">IFERROR(_xlfn.XLOOKUP(PA[[#This Row],[Affected Equipment ]],'Basic Data'!N:N,'Basic Data'!R:R),"")</f>
        <v>0.11891035450140271</v>
      </c>
      <c r="W164" s="36" t="s">
        <v>345</v>
      </c>
      <c r="X164" s="40"/>
      <c r="Y164" s="40" t="s">
        <v>372</v>
      </c>
      <c r="Z164" s="42">
        <v>0.58333333333333337</v>
      </c>
      <c r="AA164" s="42">
        <v>0.58333333333333337</v>
      </c>
      <c r="AB164" s="42">
        <v>0.58333333333333337</v>
      </c>
      <c r="AC164" s="42">
        <v>0.61111111111111116</v>
      </c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0.66666666666666696</v>
      </c>
      <c r="AG164" s="44">
        <f>IFERROR((PA[[#This Row],[Work Completion time on fault]]-PA[[#This Row],[Fault Time]])*24,"")</f>
        <v>0.66666666666666696</v>
      </c>
      <c r="AH164" s="36" t="s">
        <v>373</v>
      </c>
      <c r="AI164" s="33" t="s">
        <v>298</v>
      </c>
      <c r="AJ164" s="35">
        <f ca="1">IFERROR(PA[[#This Row],[Breakdown Time]]*PA[[#This Row],[Plant Equivalent Weightage]],"")</f>
        <v>7.9273569667601837E-2</v>
      </c>
      <c r="AK164" s="36">
        <v>0.25965670000000002</v>
      </c>
      <c r="AL164" s="51">
        <f>IFERROR((_xlfn.XLOOKUP($G164,'Modelling New'!D:D,'Modelling New'!$O:$O)*PA[[#This Row],[Lost PoA(kWh/m2)]]*PA[[#This Row],[DC Capacity Affected (kW)]]),"")</f>
        <v>1001.2292775901094</v>
      </c>
      <c r="AM164" s="33"/>
      <c r="AN164" s="33"/>
      <c r="AO164" s="33">
        <v>4774</v>
      </c>
      <c r="AP164" s="33" t="s">
        <v>758</v>
      </c>
    </row>
    <row r="165" spans="1:42">
      <c r="A165" s="30">
        <f t="shared" si="0"/>
        <v>164</v>
      </c>
      <c r="B165" s="31">
        <v>45844</v>
      </c>
      <c r="C165" s="32">
        <f>YEAR(PA[[#This Row],[Date]])+IF(MONTH(PA[[#This Row],[Date]])&gt;=4,1,0)</f>
        <v>2026</v>
      </c>
      <c r="D165" s="32">
        <f>YEAR(PA[[#This Row],[Date]])</f>
        <v>2025</v>
      </c>
      <c r="E165" s="33" t="s">
        <v>219</v>
      </c>
      <c r="F165" s="33" t="s">
        <v>219</v>
      </c>
      <c r="G165" s="196">
        <f>PA[[#This Row],[Date]]-DAY(PA[[#This Row],[Date]])+1</f>
        <v>45839</v>
      </c>
      <c r="H165" s="231">
        <f>DAY(EOMONTH(PA[[#This Row],[Month Year]],0))</f>
        <v>31</v>
      </c>
      <c r="I165" s="122">
        <v>0.27291666666666664</v>
      </c>
      <c r="J165" s="122">
        <v>0.74861111111111112</v>
      </c>
      <c r="K165" s="35">
        <f>IFERROR((PA[[#This Row],[Sunset Time (POA&lt;20 W/m2)]]-PA[[#This Row],[Sunrise Time (POA&gt;20 W/m2)]])*24,"")</f>
        <v>11.416666666666668</v>
      </c>
      <c r="L165" s="33" t="s">
        <v>293</v>
      </c>
      <c r="M165" s="33" t="s">
        <v>294</v>
      </c>
      <c r="N165" s="37"/>
      <c r="O165" s="38"/>
      <c r="P165" s="38"/>
      <c r="Q165" s="33"/>
      <c r="R165" s="231">
        <f>IF((PA[[#This Row],[String Type(If String BD)]]&amp;PA[[#This Row],[Equipment (If any BD other than PV  array and inv)]])="",1,0)</f>
        <v>1</v>
      </c>
      <c r="S165" s="231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5" s="233">
        <f>IFERROR(_xlfn.XLOOKUP(PA[[#This Row],[Affected Equipment ]],'Basic Data'!N:N,'Basic Data'!Q:Q),"")</f>
        <v>6511.66</v>
      </c>
      <c r="V165" s="237">
        <f ca="1">IFERROR(_xlfn.XLOOKUP(PA[[#This Row],[Affected Equipment ]],'Basic Data'!N:N,'Basic Data'!R:R),"")</f>
        <v>0.1660714103545014</v>
      </c>
      <c r="W165" s="36" t="s">
        <v>345</v>
      </c>
      <c r="X165" s="41"/>
      <c r="Y165" s="40" t="s">
        <v>372</v>
      </c>
      <c r="Z165" s="42">
        <v>0.58333333333333337</v>
      </c>
      <c r="AA165" s="42">
        <v>0.58333333333333337</v>
      </c>
      <c r="AB165" s="42">
        <v>0.58333333333333337</v>
      </c>
      <c r="AC165" s="42">
        <v>0.60555555555555551</v>
      </c>
      <c r="AD165" s="234">
        <f>IF(PA[[#This Row],[Acknowledgement Time ]]="NA","",(PA[[#This Row],[Acknowledgement Time ]]-PA[[#This Row],[Fault Time]])*24)</f>
        <v>0</v>
      </c>
      <c r="AE165" s="234">
        <f>IF(PA[[#This Row],[Work Start time on Fault]]="NA","",(PA[[#This Row],[Work Start time on Fault]]-PA[[#This Row],[Fault Time]])*24)</f>
        <v>0</v>
      </c>
      <c r="AF165" s="235">
        <f>IF(PA[[#This Row],[Status]]="Open","",(PA[[#This Row],[Work Completion time on fault]]-PA[[#This Row],[Fault Time]])*24)</f>
        <v>0.53333333333333144</v>
      </c>
      <c r="AG165" s="234">
        <f>IFERROR((PA[[#This Row],[Work Completion time on fault]]-PA[[#This Row],[Fault Time]])*24,"")</f>
        <v>0.53333333333333144</v>
      </c>
      <c r="AH165" s="36" t="s">
        <v>373</v>
      </c>
      <c r="AI165" s="33" t="s">
        <v>298</v>
      </c>
      <c r="AJ165" s="233">
        <f ca="1">IFERROR(PA[[#This Row],[Breakdown Time]]*PA[[#This Row],[Plant Equivalent Weightage]],"")</f>
        <v>8.8571418855733761E-2</v>
      </c>
      <c r="AK165" s="38">
        <v>0.245667</v>
      </c>
      <c r="AL165" s="51">
        <f>IFERROR((_xlfn.XLOOKUP($G165,'Modelling New'!D:D,'Modelling New'!$O:$O)*PA[[#This Row],[Lost PoA(kWh/m2)]]*PA[[#This Row],[DC Capacity Affected (kW)]]),"")</f>
        <v>1322.9883801050466</v>
      </c>
      <c r="AM165" s="33"/>
      <c r="AN165" s="33"/>
      <c r="AO165" s="33">
        <v>4774</v>
      </c>
      <c r="AP165" s="33" t="s">
        <v>759</v>
      </c>
    </row>
    <row r="166" spans="1:42">
      <c r="A166" s="30">
        <f t="shared" si="0"/>
        <v>165</v>
      </c>
      <c r="B166" s="31">
        <v>45844</v>
      </c>
      <c r="C166" s="32">
        <f>YEAR(PA[[#This Row],[Date]])+IF(MONTH(PA[[#This Row],[Date]])&gt;=4,1,0)</f>
        <v>2026</v>
      </c>
      <c r="D166" s="32">
        <f>YEAR(PA[[#This Row],[Date]])</f>
        <v>2025</v>
      </c>
      <c r="E166" s="33" t="s">
        <v>219</v>
      </c>
      <c r="F166" s="33" t="s">
        <v>219</v>
      </c>
      <c r="G166" s="196">
        <f>PA[[#This Row],[Date]]-DAY(PA[[#This Row],[Date]])+1</f>
        <v>45839</v>
      </c>
      <c r="H166" s="231">
        <f>DAY(EOMONTH(PA[[#This Row],[Month Year]],0))</f>
        <v>31</v>
      </c>
      <c r="I166" s="122">
        <v>0.27291666666666664</v>
      </c>
      <c r="J166" s="122">
        <v>0.74861111111111112</v>
      </c>
      <c r="K166" s="35">
        <f>IFERROR((PA[[#This Row],[Sunset Time (POA&lt;20 W/m2)]]-PA[[#This Row],[Sunrise Time (POA&gt;20 W/m2)]])*24,"")</f>
        <v>11.416666666666668</v>
      </c>
      <c r="L166" s="33" t="s">
        <v>293</v>
      </c>
      <c r="M166" s="33" t="s">
        <v>299</v>
      </c>
      <c r="N166" s="37"/>
      <c r="O166" s="38"/>
      <c r="P166" s="38"/>
      <c r="Q166" s="33"/>
      <c r="R166" s="231">
        <f>IF((PA[[#This Row],[String Type(If String BD)]]&amp;PA[[#This Row],[Equipment (If any BD other than PV  array and inv)]])="",1,0)</f>
        <v>1</v>
      </c>
      <c r="S166" s="231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66" s="233">
        <f>IFERROR(_xlfn.XLOOKUP(PA[[#This Row],[Affected Equipment ]],'Basic Data'!N:N,'Basic Data'!Q:Q),"")</f>
        <v>6495.8549999999996</v>
      </c>
      <c r="V166" s="237">
        <f ca="1">IFERROR(_xlfn.XLOOKUP(PA[[#This Row],[Affected Equipment ]],'Basic Data'!N:N,'Basic Data'!R:R),"")</f>
        <v>0.16566832440703902</v>
      </c>
      <c r="W166" s="36" t="s">
        <v>345</v>
      </c>
      <c r="X166" s="41"/>
      <c r="Y166" s="40" t="s">
        <v>372</v>
      </c>
      <c r="Z166" s="42">
        <v>0.58333333333333337</v>
      </c>
      <c r="AA166" s="42">
        <v>0.58333333333333337</v>
      </c>
      <c r="AB166" s="42">
        <v>0.58333333333333337</v>
      </c>
      <c r="AC166" s="42">
        <v>0.63958333333333328</v>
      </c>
      <c r="AD166" s="234">
        <f>IF(PA[[#This Row],[Acknowledgement Time ]]="NA","",(PA[[#This Row],[Acknowledgement Time ]]-PA[[#This Row],[Fault Time]])*24)</f>
        <v>0</v>
      </c>
      <c r="AE166" s="234">
        <f>IF(PA[[#This Row],[Work Start time on Fault]]="NA","",(PA[[#This Row],[Work Start time on Fault]]-PA[[#This Row],[Fault Time]])*24)</f>
        <v>0</v>
      </c>
      <c r="AF166" s="235">
        <f>IF(PA[[#This Row],[Status]]="Open","",(PA[[#This Row],[Work Completion time on fault]]-PA[[#This Row],[Fault Time]])*24)</f>
        <v>1.3499999999999979</v>
      </c>
      <c r="AG166" s="234">
        <f>IFERROR((PA[[#This Row],[Work Completion time on fault]]-PA[[#This Row],[Fault Time]])*24,"")</f>
        <v>1.3499999999999979</v>
      </c>
      <c r="AH166" s="36" t="s">
        <v>373</v>
      </c>
      <c r="AI166" s="33" t="s">
        <v>298</v>
      </c>
      <c r="AJ166" s="233">
        <f ca="1">IFERROR(PA[[#This Row],[Breakdown Time]]*PA[[#This Row],[Plant Equivalent Weightage]],"")</f>
        <v>0.22365223794950231</v>
      </c>
      <c r="AK166" s="38">
        <v>0.245172</v>
      </c>
      <c r="AL166" s="51">
        <f>IFERROR((_xlfn.XLOOKUP($G166,'Modelling New'!D:D,'Modelling New'!$O:$O)*PA[[#This Row],[Lost PoA(kWh/m2)]]*PA[[#This Row],[DC Capacity Affected (kW)]]),"")</f>
        <v>1317.1179942140091</v>
      </c>
      <c r="AM166" s="33"/>
      <c r="AN166" s="33"/>
      <c r="AO166" s="33">
        <v>4774</v>
      </c>
      <c r="AP166" s="33" t="s">
        <v>760</v>
      </c>
    </row>
    <row r="167" spans="1:42">
      <c r="A167" s="30">
        <f t="shared" si="0"/>
        <v>166</v>
      </c>
      <c r="B167" s="31">
        <v>45844</v>
      </c>
      <c r="C167" s="32">
        <f>YEAR(PA[[#This Row],[Date]])+IF(MONTH(PA[[#This Row],[Date]])&gt;=4,1,0)</f>
        <v>2026</v>
      </c>
      <c r="D167" s="32">
        <f>YEAR(PA[[#This Row],[Date]])</f>
        <v>2025</v>
      </c>
      <c r="E167" s="33" t="s">
        <v>219</v>
      </c>
      <c r="F167" s="33" t="s">
        <v>219</v>
      </c>
      <c r="G167" s="196">
        <f>PA[[#This Row],[Date]]-DAY(PA[[#This Row],[Date]])+1</f>
        <v>45839</v>
      </c>
      <c r="H167" s="32">
        <f>DAY(EOMONTH(PA[[#This Row],[Month Year]],0))</f>
        <v>31</v>
      </c>
      <c r="I167" s="122">
        <v>0.27291666666666664</v>
      </c>
      <c r="J167" s="122">
        <v>0.74861111111111112</v>
      </c>
      <c r="K167" s="35">
        <f>IFERROR((PA[[#This Row],[Sunset Time (POA&lt;20 W/m2)]]-PA[[#This Row],[Sunrise Time (POA&gt;20 W/m2)]])*24,"")</f>
        <v>11.416666666666668</v>
      </c>
      <c r="L167" s="33" t="s">
        <v>302</v>
      </c>
      <c r="M167" s="33" t="s">
        <v>294</v>
      </c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7" s="35">
        <f>IFERROR(_xlfn.XLOOKUP(PA[[#This Row],[Affected Equipment ]],'Basic Data'!N:N,'Basic Data'!Q:Q),"")</f>
        <v>6527.4649999999992</v>
      </c>
      <c r="V167" s="236">
        <f ca="1">IFERROR(_xlfn.XLOOKUP(PA[[#This Row],[Affected Equipment ]],'Basic Data'!N:N,'Basic Data'!R:R),"")</f>
        <v>0.16647449630196376</v>
      </c>
      <c r="W167" s="36" t="s">
        <v>345</v>
      </c>
      <c r="X167" s="40"/>
      <c r="Y167" s="40" t="s">
        <v>372</v>
      </c>
      <c r="Z167" s="42">
        <v>0.58333333333333337</v>
      </c>
      <c r="AA167" s="42">
        <v>0.58333333333333337</v>
      </c>
      <c r="AB167" s="42">
        <v>0.58333333333333337</v>
      </c>
      <c r="AC167" s="46">
        <v>0.63402777777777775</v>
      </c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1.216666666666665</v>
      </c>
      <c r="AG167" s="44">
        <f>IFERROR((PA[[#This Row],[Work Completion time on fault]]-PA[[#This Row],[Fault Time]])*24,"")</f>
        <v>1.216666666666665</v>
      </c>
      <c r="AH167" s="36" t="s">
        <v>373</v>
      </c>
      <c r="AI167" s="33" t="s">
        <v>298</v>
      </c>
      <c r="AJ167" s="35">
        <f ca="1">IFERROR(PA[[#This Row],[Breakdown Time]]*PA[[#This Row],[Plant Equivalent Weightage]],"")</f>
        <v>0.20254397050072229</v>
      </c>
      <c r="AK167" s="36">
        <v>0.304867</v>
      </c>
      <c r="AL167" s="51">
        <f>IFERROR((_xlfn.XLOOKUP($G167,'Modelling New'!D:D,'Modelling New'!$O:$O)*PA[[#This Row],[Lost PoA(kWh/m2)]]*PA[[#This Row],[DC Capacity Affected (kW)]]),"")</f>
        <v>1645.7825761456929</v>
      </c>
      <c r="AM167" s="33"/>
      <c r="AN167" s="33"/>
      <c r="AO167" s="33">
        <v>4774</v>
      </c>
      <c r="AP167" s="33" t="s">
        <v>761</v>
      </c>
    </row>
    <row r="168" spans="1:42">
      <c r="A168" s="30">
        <f t="shared" si="0"/>
        <v>167</v>
      </c>
      <c r="B168" s="31">
        <v>45844</v>
      </c>
      <c r="C168" s="32">
        <f>YEAR(PA[[#This Row],[Date]])+IF(MONTH(PA[[#This Row],[Date]])&gt;=4,1,0)</f>
        <v>2026</v>
      </c>
      <c r="D168" s="32">
        <f>YEAR(PA[[#This Row],[Date]])</f>
        <v>2025</v>
      </c>
      <c r="E168" s="33" t="s">
        <v>219</v>
      </c>
      <c r="F168" s="33" t="s">
        <v>219</v>
      </c>
      <c r="G168" s="196">
        <f>PA[[#This Row],[Date]]-DAY(PA[[#This Row],[Date]])+1</f>
        <v>45839</v>
      </c>
      <c r="H168" s="32">
        <f>DAY(EOMONTH(PA[[#This Row],[Month Year]],0))</f>
        <v>31</v>
      </c>
      <c r="I168" s="122">
        <v>0.27291666666666664</v>
      </c>
      <c r="J168" s="122">
        <v>0.74861111111111112</v>
      </c>
      <c r="K168" s="35">
        <f>IFERROR((PA[[#This Row],[Sunset Time (POA&lt;20 W/m2)]]-PA[[#This Row],[Sunrise Time (POA&gt;20 W/m2)]])*24,"")</f>
        <v>11.416666666666668</v>
      </c>
      <c r="L168" s="33" t="s">
        <v>303</v>
      </c>
      <c r="M168" s="33" t="s">
        <v>294</v>
      </c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68" s="35">
        <f>IFERROR(_xlfn.XLOOKUP(PA[[#This Row],[Affected Equipment ]],'Basic Data'!N:N,'Basic Data'!Q:Q),"")</f>
        <v>5104</v>
      </c>
      <c r="V168" s="236">
        <f ca="1">IFERROR(_xlfn.XLOOKUP(PA[[#This Row],[Affected Equipment ]],'Basic Data'!N:N,'Basic Data'!R:R),"")</f>
        <v>0.13017087477684264</v>
      </c>
      <c r="W168" s="36" t="s">
        <v>345</v>
      </c>
      <c r="X168" s="40"/>
      <c r="Y168" s="40" t="s">
        <v>372</v>
      </c>
      <c r="Z168" s="42">
        <v>0.58333333333333337</v>
      </c>
      <c r="AA168" s="42">
        <v>0.58333333333333337</v>
      </c>
      <c r="AB168" s="42">
        <v>0.58333333333333337</v>
      </c>
      <c r="AC168" s="46">
        <v>0.60972222222222228</v>
      </c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0.63333333333333375</v>
      </c>
      <c r="AG168" s="44">
        <f>IFERROR((PA[[#This Row],[Work Completion time on fault]]-PA[[#This Row],[Fault Time]])*24,"")</f>
        <v>0.63333333333333375</v>
      </c>
      <c r="AH168" s="36" t="s">
        <v>373</v>
      </c>
      <c r="AI168" s="33" t="s">
        <v>298</v>
      </c>
      <c r="AJ168" s="35">
        <f ca="1">IFERROR(PA[[#This Row],[Breakdown Time]]*PA[[#This Row],[Plant Equivalent Weightage]],"")</f>
        <v>8.2441554025333721E-2</v>
      </c>
      <c r="AK168" s="36">
        <v>0.32970699999999997</v>
      </c>
      <c r="AL168" s="51">
        <f>IFERROR((_xlfn.XLOOKUP($G168,'Modelling New'!D:D,'Modelling New'!$O:$O)*PA[[#This Row],[Lost PoA(kWh/m2)]]*PA[[#This Row],[DC Capacity Affected (kW)]]),"")</f>
        <v>1391.7342801797001</v>
      </c>
      <c r="AM168" s="33"/>
      <c r="AN168" s="33"/>
      <c r="AO168" s="33">
        <v>4774</v>
      </c>
      <c r="AP168" s="33" t="s">
        <v>762</v>
      </c>
    </row>
    <row r="169" spans="1:42">
      <c r="A169" s="30">
        <f t="shared" si="0"/>
        <v>168</v>
      </c>
      <c r="B169" s="31">
        <v>45844</v>
      </c>
      <c r="C169" s="32">
        <f>YEAR(PA[[#This Row],[Date]])+IF(MONTH(PA[[#This Row],[Date]])&gt;=4,1,0)</f>
        <v>2026</v>
      </c>
      <c r="D169" s="32">
        <f>YEAR(PA[[#This Row],[Date]])</f>
        <v>2025</v>
      </c>
      <c r="E169" s="33" t="s">
        <v>219</v>
      </c>
      <c r="F169" s="33" t="s">
        <v>219</v>
      </c>
      <c r="G169" s="196">
        <f>PA[[#This Row],[Date]]-DAY(PA[[#This Row],[Date]])+1</f>
        <v>45839</v>
      </c>
      <c r="H169" s="32">
        <f>DAY(EOMONTH(PA[[#This Row],[Month Year]],0))</f>
        <v>31</v>
      </c>
      <c r="I169" s="122">
        <v>0.27291666666666664</v>
      </c>
      <c r="J169" s="122">
        <v>0.74861111111111112</v>
      </c>
      <c r="K169" s="35">
        <f>IFERROR((PA[[#This Row],[Sunset Time (POA&lt;20 W/m2)]]-PA[[#This Row],[Sunrise Time (POA&gt;20 W/m2)]])*24,"")</f>
        <v>11.416666666666668</v>
      </c>
      <c r="L169" s="33" t="s">
        <v>303</v>
      </c>
      <c r="M169" s="33" t="s">
        <v>299</v>
      </c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9" s="35">
        <f>IFERROR(_xlfn.XLOOKUP(PA[[#This Row],[Affected Equipment ]],'Basic Data'!N:N,'Basic Data'!Q:Q),"")</f>
        <v>5104</v>
      </c>
      <c r="V169" s="236">
        <f ca="1">IFERROR(_xlfn.XLOOKUP(PA[[#This Row],[Affected Equipment ]],'Basic Data'!N:N,'Basic Data'!R:R),"")</f>
        <v>0.13017087477684264</v>
      </c>
      <c r="W169" s="36" t="s">
        <v>345</v>
      </c>
      <c r="X169" s="40"/>
      <c r="Y169" s="40" t="s">
        <v>372</v>
      </c>
      <c r="Z169" s="42">
        <v>0.58333333333333337</v>
      </c>
      <c r="AA169" s="42">
        <v>0.58333333333333337</v>
      </c>
      <c r="AB169" s="42">
        <v>0.58333333333333337</v>
      </c>
      <c r="AC169" s="46">
        <v>0.62708333333333333</v>
      </c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1.0499999999999989</v>
      </c>
      <c r="AG169" s="44">
        <f>IFERROR((PA[[#This Row],[Work Completion time on fault]]-PA[[#This Row],[Fault Time]])*24,"")</f>
        <v>1.0499999999999989</v>
      </c>
      <c r="AH169" s="36" t="s">
        <v>373</v>
      </c>
      <c r="AI169" s="33" t="s">
        <v>298</v>
      </c>
      <c r="AJ169" s="35">
        <f ca="1">IFERROR(PA[[#This Row],[Breakdown Time]]*PA[[#This Row],[Plant Equivalent Weightage]],"")</f>
        <v>0.13667941851568463</v>
      </c>
      <c r="AK169" s="36">
        <v>0.32569900000000002</v>
      </c>
      <c r="AL169" s="51">
        <f>IFERROR((_xlfn.XLOOKUP($G169,'Modelling New'!D:D,'Modelling New'!$O:$O)*PA[[#This Row],[Lost PoA(kWh/m2)]]*PA[[#This Row],[DC Capacity Affected (kW)]]),"")</f>
        <v>1374.816013370199</v>
      </c>
      <c r="AM169" s="33"/>
      <c r="AN169" s="33"/>
      <c r="AO169" s="33">
        <v>4774</v>
      </c>
      <c r="AP169" s="33" t="s">
        <v>763</v>
      </c>
    </row>
    <row r="170" spans="1:42">
      <c r="A170" s="30">
        <f t="shared" si="0"/>
        <v>169</v>
      </c>
      <c r="B170" s="31">
        <v>45846</v>
      </c>
      <c r="C170" s="32">
        <f>YEAR(PA[[#This Row],[Date]])+IF(MONTH(PA[[#This Row],[Date]])&gt;=4,1,0)</f>
        <v>2026</v>
      </c>
      <c r="D170" s="32">
        <f>YEAR(PA[[#This Row],[Date]])</f>
        <v>2025</v>
      </c>
      <c r="E170" s="33" t="s">
        <v>219</v>
      </c>
      <c r="F170" s="33" t="s">
        <v>219</v>
      </c>
      <c r="G170" s="196">
        <f>PA[[#This Row],[Date]]-DAY(PA[[#This Row],[Date]])+1</f>
        <v>45839</v>
      </c>
      <c r="H170" s="32">
        <f>DAY(EOMONTH(PA[[#This Row],[Month Year]],0))</f>
        <v>31</v>
      </c>
      <c r="I170" s="122">
        <v>0.26805555555555555</v>
      </c>
      <c r="J170" s="122">
        <v>0.75347222222222221</v>
      </c>
      <c r="K170" s="35">
        <f>IFERROR((PA[[#This Row],[Sunset Time (POA&lt;20 W/m2)]]-PA[[#This Row],[Sunrise Time (POA&gt;20 W/m2)]])*24,"")</f>
        <v>11.65</v>
      </c>
      <c r="L170" s="33" t="s">
        <v>303</v>
      </c>
      <c r="M170" s="33" t="s">
        <v>299</v>
      </c>
      <c r="N170" s="33" t="s">
        <v>322</v>
      </c>
      <c r="O170" s="36" t="s">
        <v>331</v>
      </c>
      <c r="P170" s="36" t="s">
        <v>348</v>
      </c>
      <c r="Q170" s="33"/>
      <c r="R170" s="32">
        <f>IF((PA[[#This Row],[String Type(If String BD)]]&amp;PA[[#This Row],[Equipment (If any BD other than PV  array and inv)]])="",1,0)</f>
        <v>0</v>
      </c>
      <c r="S170" s="32">
        <f>IF(PA[[#This Row],[String Type(If String BD)]]="",1,0)</f>
        <v>0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70" s="35">
        <f>IFERROR(_xlfn.XLOOKUP(PA[[#This Row],[Affected Equipment ]],'Basic Data'!N:N,'Basic Data'!Q:Q),"")</f>
        <v>31.9</v>
      </c>
      <c r="V170" s="236">
        <f ca="1">IFERROR(_xlfn.XLOOKUP(PA[[#This Row],[Affected Equipment ]],'Basic Data'!N:N,'Basic Data'!R:R),"")</f>
        <v>8.1356796735526649E-4</v>
      </c>
      <c r="W170" s="36" t="s">
        <v>349</v>
      </c>
      <c r="X170" s="40"/>
      <c r="Y170" s="40" t="s">
        <v>358</v>
      </c>
      <c r="Z170" s="46">
        <v>0.26805555555555555</v>
      </c>
      <c r="AA170" s="46">
        <v>0.26805555555555555</v>
      </c>
      <c r="AB170" s="46">
        <v>0.26805555555555555</v>
      </c>
      <c r="AC170" s="46">
        <v>0.67361111111111116</v>
      </c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9.7333333333333343</v>
      </c>
      <c r="AG170" s="44">
        <f>IFERROR((PA[[#This Row],[Work Completion time on fault]]-PA[[#This Row],[Fault Time]])*24,"")</f>
        <v>9.7333333333333343</v>
      </c>
      <c r="AH170" s="344" t="s">
        <v>359</v>
      </c>
      <c r="AI170" s="33" t="s">
        <v>298</v>
      </c>
      <c r="AJ170" s="35">
        <f ca="1">IFERROR(PA[[#This Row],[Breakdown Time]]*PA[[#This Row],[Plant Equivalent Weightage]],"")</f>
        <v>7.9187282155912617E-3</v>
      </c>
      <c r="AK170" s="36">
        <v>1.6</v>
      </c>
      <c r="AL170" s="51">
        <f>IFERROR((_xlfn.XLOOKUP($G170,'Modelling New'!D:D,'Modelling New'!$O:$O)*PA[[#This Row],[Lost PoA(kWh/m2)]]*PA[[#This Row],[DC Capacity Affected (kW)]]),"")</f>
        <v>42.211244534683836</v>
      </c>
      <c r="AM170" s="33"/>
      <c r="AN170" s="33"/>
      <c r="AO170" s="33">
        <v>4829</v>
      </c>
      <c r="AP170" s="33" t="s">
        <v>764</v>
      </c>
    </row>
    <row r="171" spans="1:42">
      <c r="A171" s="30">
        <f t="shared" si="0"/>
        <v>170</v>
      </c>
      <c r="B171" s="31">
        <v>45848</v>
      </c>
      <c r="C171" s="32">
        <f>YEAR(PA[[#This Row],[Date]])+IF(MONTH(PA[[#This Row],[Date]])&gt;=4,1,0)</f>
        <v>2026</v>
      </c>
      <c r="D171" s="32">
        <f>YEAR(PA[[#This Row],[Date]])</f>
        <v>2025</v>
      </c>
      <c r="E171" s="33" t="s">
        <v>219</v>
      </c>
      <c r="F171" s="33" t="s">
        <v>219</v>
      </c>
      <c r="G171" s="196">
        <f>PA[[#This Row],[Date]]-DAY(PA[[#This Row],[Date]])+1</f>
        <v>45839</v>
      </c>
      <c r="H171" s="32">
        <f>DAY(EOMONTH(PA[[#This Row],[Month Year]],0))</f>
        <v>31</v>
      </c>
      <c r="I171" s="122">
        <v>0.32361111111111113</v>
      </c>
      <c r="J171" s="122">
        <v>0.76527777777777772</v>
      </c>
      <c r="K171" s="35">
        <f>IFERROR((PA[[#This Row],[Sunset Time (POA&lt;20 W/m2)]]-PA[[#This Row],[Sunrise Time (POA&gt;20 W/m2)]])*24,"")</f>
        <v>10.599999999999998</v>
      </c>
      <c r="L171" s="33" t="s">
        <v>300</v>
      </c>
      <c r="M171" s="33" t="s">
        <v>294</v>
      </c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71" s="35">
        <f>IFERROR(_xlfn.XLOOKUP(PA[[#This Row],[Affected Equipment ]],'Basic Data'!N:N,'Basic Data'!Q:Q),"")</f>
        <v>4662.4750000000004</v>
      </c>
      <c r="V171" s="236">
        <f ca="1">IFERROR(_xlfn.XLOOKUP(PA[[#This Row],[Affected Equipment ]],'Basic Data'!N:N,'Basic Data'!R:R),"")</f>
        <v>0.11891035450140271</v>
      </c>
      <c r="W171" s="36" t="s">
        <v>345</v>
      </c>
      <c r="X171" s="40"/>
      <c r="Y171" s="40" t="s">
        <v>372</v>
      </c>
      <c r="Z171" s="46">
        <v>0.60624999999999996</v>
      </c>
      <c r="AA171" s="46">
        <v>0.60624999999999996</v>
      </c>
      <c r="AB171" s="46">
        <v>0.60624999999999996</v>
      </c>
      <c r="AC171" s="46">
        <v>0.63541666666666663</v>
      </c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0.70000000000000018</v>
      </c>
      <c r="AG171" s="44">
        <f>IFERROR((PA[[#This Row],[Work Completion time on fault]]-PA[[#This Row],[Fault Time]])*24,"")</f>
        <v>0.70000000000000018</v>
      </c>
      <c r="AH171" s="36" t="s">
        <v>373</v>
      </c>
      <c r="AI171" s="33" t="s">
        <v>298</v>
      </c>
      <c r="AJ171" s="35">
        <f ca="1">IFERROR(PA[[#This Row],[Breakdown Time]]*PA[[#This Row],[Plant Equivalent Weightage]],"")</f>
        <v>8.3237248150981921E-2</v>
      </c>
      <c r="AK171" s="36">
        <v>0.18508670499999999</v>
      </c>
      <c r="AL171" s="51">
        <f>IFERROR((_xlfn.XLOOKUP($G171,'Modelling New'!D:D,'Modelling New'!$O:$O)*PA[[#This Row],[Lost PoA(kWh/m2)]]*PA[[#This Row],[DC Capacity Affected (kW)]]),"")</f>
        <v>713.68937500431798</v>
      </c>
      <c r="AM171" s="33"/>
      <c r="AN171" s="33"/>
      <c r="AO171" s="33">
        <v>4876</v>
      </c>
      <c r="AP171" s="33" t="s">
        <v>765</v>
      </c>
    </row>
    <row r="172" spans="1:42">
      <c r="A172" s="30">
        <f t="shared" si="0"/>
        <v>171</v>
      </c>
      <c r="B172" s="31">
        <v>45848</v>
      </c>
      <c r="C172" s="32">
        <f>YEAR(PA[[#This Row],[Date]])+IF(MONTH(PA[[#This Row],[Date]])&gt;=4,1,0)</f>
        <v>2026</v>
      </c>
      <c r="D172" s="32">
        <f>YEAR(PA[[#This Row],[Date]])</f>
        <v>2025</v>
      </c>
      <c r="E172" s="33" t="s">
        <v>219</v>
      </c>
      <c r="F172" s="33" t="s">
        <v>219</v>
      </c>
      <c r="G172" s="196">
        <f>PA[[#This Row],[Date]]-DAY(PA[[#This Row],[Date]])+1</f>
        <v>45839</v>
      </c>
      <c r="H172" s="231">
        <f>DAY(EOMONTH(PA[[#This Row],[Month Year]],0))</f>
        <v>31</v>
      </c>
      <c r="I172" s="122">
        <v>0.32361111111111113</v>
      </c>
      <c r="J172" s="122">
        <v>0.76527777777777772</v>
      </c>
      <c r="K172" s="35">
        <f>IFERROR((PA[[#This Row],[Sunset Time (POA&lt;20 W/m2)]]-PA[[#This Row],[Sunrise Time (POA&gt;20 W/m2)]])*24,"")</f>
        <v>10.599999999999998</v>
      </c>
      <c r="L172" s="33" t="s">
        <v>300</v>
      </c>
      <c r="M172" s="33" t="s">
        <v>299</v>
      </c>
      <c r="N172" s="33"/>
      <c r="O172" s="36"/>
      <c r="P172" s="36"/>
      <c r="Q172" s="37"/>
      <c r="R172" s="231">
        <f>IF((PA[[#This Row],[String Type(If String BD)]]&amp;PA[[#This Row],[Equipment (If any BD other than PV  array and inv)]])="",1,0)</f>
        <v>1</v>
      </c>
      <c r="S172" s="231">
        <f>IF(PA[[#This Row],[String Type(If String BD)]]="",1,0)</f>
        <v>1</v>
      </c>
      <c r="T1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72" s="233">
        <f>IFERROR(_xlfn.XLOOKUP(PA[[#This Row],[Affected Equipment ]],'Basic Data'!N:N,'Basic Data'!Q:Q),"")</f>
        <v>4662.4750000000004</v>
      </c>
      <c r="V172" s="237">
        <f ca="1">IFERROR(_xlfn.XLOOKUP(PA[[#This Row],[Affected Equipment ]],'Basic Data'!N:N,'Basic Data'!R:R),"")</f>
        <v>0.11891035450140271</v>
      </c>
      <c r="W172" s="36" t="s">
        <v>345</v>
      </c>
      <c r="X172" s="41"/>
      <c r="Y172" s="40" t="s">
        <v>372</v>
      </c>
      <c r="Z172" s="46">
        <v>0.60624999999999996</v>
      </c>
      <c r="AA172" s="46">
        <v>0.60624999999999996</v>
      </c>
      <c r="AB172" s="46">
        <v>0.60624999999999996</v>
      </c>
      <c r="AC172" s="46">
        <v>0.63472222222222219</v>
      </c>
      <c r="AD172" s="234">
        <f>IF(PA[[#This Row],[Acknowledgement Time ]]="NA","",(PA[[#This Row],[Acknowledgement Time ]]-PA[[#This Row],[Fault Time]])*24)</f>
        <v>0</v>
      </c>
      <c r="AE172" s="234">
        <f>IF(PA[[#This Row],[Work Start time on Fault]]="NA","",(PA[[#This Row],[Work Start time on Fault]]-PA[[#This Row],[Fault Time]])*24)</f>
        <v>0</v>
      </c>
      <c r="AF172" s="235">
        <f>IF(PA[[#This Row],[Status]]="Open","",(PA[[#This Row],[Work Completion time on fault]]-PA[[#This Row],[Fault Time]])*24)</f>
        <v>0.68333333333333357</v>
      </c>
      <c r="AG172" s="234">
        <f>IFERROR((PA[[#This Row],[Work Completion time on fault]]-PA[[#This Row],[Fault Time]])*24,"")</f>
        <v>0.68333333333333357</v>
      </c>
      <c r="AH172" s="36" t="s">
        <v>373</v>
      </c>
      <c r="AI172" s="33" t="s">
        <v>298</v>
      </c>
      <c r="AJ172" s="233">
        <f ca="1">IFERROR(PA[[#This Row],[Breakdown Time]]*PA[[#This Row],[Plant Equivalent Weightage]],"")</f>
        <v>8.1255408909291879E-2</v>
      </c>
      <c r="AK172" s="38">
        <v>0.180891197</v>
      </c>
      <c r="AL172" s="51">
        <f>IFERROR((_xlfn.XLOOKUP($G172,'Modelling New'!D:D,'Modelling New'!$O:$O)*PA[[#This Row],[Lost PoA(kWh/m2)]]*PA[[#This Row],[DC Capacity Affected (kW)]]),"")</f>
        <v>697.51160857670982</v>
      </c>
      <c r="AM172" s="33"/>
      <c r="AN172" s="33"/>
      <c r="AO172" s="33">
        <v>4876</v>
      </c>
      <c r="AP172" s="33" t="s">
        <v>765</v>
      </c>
    </row>
    <row r="173" spans="1:42">
      <c r="A173" s="30">
        <f t="shared" si="0"/>
        <v>172</v>
      </c>
      <c r="B173" s="31">
        <v>45848</v>
      </c>
      <c r="C173" s="32">
        <f>YEAR(PA[[#This Row],[Date]])+IF(MONTH(PA[[#This Row],[Date]])&gt;=4,1,0)</f>
        <v>2026</v>
      </c>
      <c r="D173" s="32">
        <f>YEAR(PA[[#This Row],[Date]])</f>
        <v>2025</v>
      </c>
      <c r="E173" s="33" t="s">
        <v>219</v>
      </c>
      <c r="F173" s="33" t="s">
        <v>219</v>
      </c>
      <c r="G173" s="196">
        <f>PA[[#This Row],[Date]]-DAY(PA[[#This Row],[Date]])+1</f>
        <v>45839</v>
      </c>
      <c r="H173" s="231">
        <f>DAY(EOMONTH(PA[[#This Row],[Month Year]],0))</f>
        <v>31</v>
      </c>
      <c r="I173" s="122">
        <v>0.32361111111111113</v>
      </c>
      <c r="J173" s="122">
        <v>0.76527777777777772</v>
      </c>
      <c r="K173" s="35">
        <f>IFERROR((PA[[#This Row],[Sunset Time (POA&lt;20 W/m2)]]-PA[[#This Row],[Sunrise Time (POA&gt;20 W/m2)]])*24,"")</f>
        <v>10.599999999999998</v>
      </c>
      <c r="L173" s="37" t="s">
        <v>293</v>
      </c>
      <c r="M173" s="33" t="s">
        <v>294</v>
      </c>
      <c r="N173" s="33"/>
      <c r="O173" s="38"/>
      <c r="P173" s="38"/>
      <c r="Q173" s="37"/>
      <c r="R173" s="231">
        <f>IF((PA[[#This Row],[String Type(If String BD)]]&amp;PA[[#This Row],[Equipment (If any BD other than PV  array and inv)]])="",1,0)</f>
        <v>1</v>
      </c>
      <c r="S173" s="231">
        <f>IF(PA[[#This Row],[String Type(If String BD)]]="",1,0)</f>
        <v>1</v>
      </c>
      <c r="T17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73" s="233">
        <f>IFERROR(_xlfn.XLOOKUP(PA[[#This Row],[Affected Equipment ]],'Basic Data'!N:N,'Basic Data'!Q:Q),"")</f>
        <v>6511.66</v>
      </c>
      <c r="V173" s="237">
        <f ca="1">IFERROR(_xlfn.XLOOKUP(PA[[#This Row],[Affected Equipment ]],'Basic Data'!N:N,'Basic Data'!R:R),"")</f>
        <v>0.1660714103545014</v>
      </c>
      <c r="W173" s="36" t="s">
        <v>345</v>
      </c>
      <c r="X173" s="41"/>
      <c r="Y173" s="40" t="s">
        <v>372</v>
      </c>
      <c r="Z173" s="46">
        <v>0.60624999999999996</v>
      </c>
      <c r="AA173" s="46">
        <v>0.60624999999999996</v>
      </c>
      <c r="AB173" s="46">
        <v>0.60624999999999996</v>
      </c>
      <c r="AC173" s="47">
        <v>0.63263888888888886</v>
      </c>
      <c r="AD173" s="234">
        <f>IF(PA[[#This Row],[Acknowledgement Time ]]="NA","",(PA[[#This Row],[Acknowledgement Time ]]-PA[[#This Row],[Fault Time]])*24)</f>
        <v>0</v>
      </c>
      <c r="AE173" s="234">
        <f>IF(PA[[#This Row],[Work Start time on Fault]]="NA","",(PA[[#This Row],[Work Start time on Fault]]-PA[[#This Row],[Fault Time]])*24)</f>
        <v>0</v>
      </c>
      <c r="AF173" s="235">
        <f>IF(PA[[#This Row],[Status]]="Open","",(PA[[#This Row],[Work Completion time on fault]]-PA[[#This Row],[Fault Time]])*24)</f>
        <v>0.63333333333333375</v>
      </c>
      <c r="AG173" s="234">
        <f>IFERROR((PA[[#This Row],[Work Completion time on fault]]-PA[[#This Row],[Fault Time]])*24,"")</f>
        <v>0.63333333333333375</v>
      </c>
      <c r="AH173" s="36" t="s">
        <v>373</v>
      </c>
      <c r="AI173" s="33" t="s">
        <v>298</v>
      </c>
      <c r="AJ173" s="233">
        <f ca="1">IFERROR(PA[[#This Row],[Breakdown Time]]*PA[[#This Row],[Plant Equivalent Weightage]],"")</f>
        <v>0.10517855989118428</v>
      </c>
      <c r="AK173" s="38">
        <v>0.16826694</v>
      </c>
      <c r="AL173" s="51">
        <f>IFERROR((_xlfn.XLOOKUP($G173,'Modelling New'!D:D,'Modelling New'!$O:$O)*PA[[#This Row],[Lost PoA(kWh/m2)]]*PA[[#This Row],[DC Capacity Affected (kW)]]),"")</f>
        <v>906.16650333920734</v>
      </c>
      <c r="AM173" s="33"/>
      <c r="AN173" s="33"/>
      <c r="AO173" s="33">
        <v>4876</v>
      </c>
      <c r="AP173" s="33" t="s">
        <v>765</v>
      </c>
    </row>
    <row r="174" spans="1:42">
      <c r="A174" s="30">
        <f t="shared" si="0"/>
        <v>173</v>
      </c>
      <c r="B174" s="31">
        <v>45848</v>
      </c>
      <c r="C174" s="32">
        <f>YEAR(PA[[#This Row],[Date]])+IF(MONTH(PA[[#This Row],[Date]])&gt;=4,1,0)</f>
        <v>2026</v>
      </c>
      <c r="D174" s="32">
        <f>YEAR(PA[[#This Row],[Date]])</f>
        <v>2025</v>
      </c>
      <c r="E174" s="33" t="s">
        <v>219</v>
      </c>
      <c r="F174" s="33" t="s">
        <v>219</v>
      </c>
      <c r="G174" s="196">
        <f>PA[[#This Row],[Date]]-DAY(PA[[#This Row],[Date]])+1</f>
        <v>45839</v>
      </c>
      <c r="H174" s="231">
        <f>DAY(EOMONTH(PA[[#This Row],[Month Year]],0))</f>
        <v>31</v>
      </c>
      <c r="I174" s="122">
        <v>0.32361111111111113</v>
      </c>
      <c r="J174" s="122">
        <v>0.76527777777777772</v>
      </c>
      <c r="K174" s="35">
        <f>IFERROR((PA[[#This Row],[Sunset Time (POA&lt;20 W/m2)]]-PA[[#This Row],[Sunrise Time (POA&gt;20 W/m2)]])*24,"")</f>
        <v>10.599999999999998</v>
      </c>
      <c r="L174" s="37" t="s">
        <v>293</v>
      </c>
      <c r="M174" s="33" t="s">
        <v>299</v>
      </c>
      <c r="N174" s="33"/>
      <c r="O174" s="36"/>
      <c r="P174" s="38"/>
      <c r="Q174" s="37"/>
      <c r="R174" s="231">
        <f>IF((PA[[#This Row],[String Type(If String BD)]]&amp;PA[[#This Row],[Equipment (If any BD other than PV  array and inv)]])="",1,0)</f>
        <v>1</v>
      </c>
      <c r="S174" s="231">
        <f>IF(PA[[#This Row],[String Type(If String BD)]]="",1,0)</f>
        <v>1</v>
      </c>
      <c r="T1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4" s="233">
        <f>IFERROR(_xlfn.XLOOKUP(PA[[#This Row],[Affected Equipment ]],'Basic Data'!N:N,'Basic Data'!Q:Q),"")</f>
        <v>6495.8549999999996</v>
      </c>
      <c r="V174" s="237">
        <f ca="1">IFERROR(_xlfn.XLOOKUP(PA[[#This Row],[Affected Equipment ]],'Basic Data'!N:N,'Basic Data'!R:R),"")</f>
        <v>0.16566832440703902</v>
      </c>
      <c r="W174" s="36" t="s">
        <v>345</v>
      </c>
      <c r="X174" s="41"/>
      <c r="Y174" s="40" t="s">
        <v>372</v>
      </c>
      <c r="Z174" s="46">
        <v>0.60624999999999996</v>
      </c>
      <c r="AA174" s="46">
        <v>0.60624999999999996</v>
      </c>
      <c r="AB174" s="46">
        <v>0.60624999999999996</v>
      </c>
      <c r="AC174" s="47">
        <v>0.6333333333333333</v>
      </c>
      <c r="AD174" s="234">
        <f>IF(PA[[#This Row],[Acknowledgement Time ]]="NA","",(PA[[#This Row],[Acknowledgement Time ]]-PA[[#This Row],[Fault Time]])*24)</f>
        <v>0</v>
      </c>
      <c r="AE174" s="234">
        <f>IF(PA[[#This Row],[Work Start time on Fault]]="NA","",(PA[[#This Row],[Work Start time on Fault]]-PA[[#This Row],[Fault Time]])*24)</f>
        <v>0</v>
      </c>
      <c r="AF174" s="235">
        <f>IF(PA[[#This Row],[Status]]="Open","",(PA[[#This Row],[Work Completion time on fault]]-PA[[#This Row],[Fault Time]])*24)</f>
        <v>0.65000000000000036</v>
      </c>
      <c r="AG174" s="234">
        <f>IFERROR((PA[[#This Row],[Work Completion time on fault]]-PA[[#This Row],[Fault Time]])*24,"")</f>
        <v>0.65000000000000036</v>
      </c>
      <c r="AH174" s="36" t="s">
        <v>373</v>
      </c>
      <c r="AI174" s="33" t="s">
        <v>298</v>
      </c>
      <c r="AJ174" s="233">
        <f ca="1">IFERROR(PA[[#This Row],[Breakdown Time]]*PA[[#This Row],[Plant Equivalent Weightage]],"")</f>
        <v>0.10768441086457542</v>
      </c>
      <c r="AK174" s="38">
        <v>0.172472763</v>
      </c>
      <c r="AL174" s="51">
        <f>IFERROR((_xlfn.XLOOKUP($G174,'Modelling New'!D:D,'Modelling New'!$O:$O)*PA[[#This Row],[Lost PoA(kWh/m2)]]*PA[[#This Row],[DC Capacity Affected (kW)]]),"")</f>
        <v>926.56167775728102</v>
      </c>
      <c r="AM174" s="37"/>
      <c r="AN174" s="37"/>
      <c r="AO174" s="33">
        <v>4876</v>
      </c>
      <c r="AP174" s="33" t="s">
        <v>765</v>
      </c>
    </row>
    <row r="175" spans="1:42">
      <c r="A175" s="30">
        <f t="shared" si="0"/>
        <v>174</v>
      </c>
      <c r="B175" s="31">
        <v>45848</v>
      </c>
      <c r="C175" s="32">
        <f>YEAR(PA[[#This Row],[Date]])+IF(MONTH(PA[[#This Row],[Date]])&gt;=4,1,0)</f>
        <v>2026</v>
      </c>
      <c r="D175" s="32">
        <f>YEAR(PA[[#This Row],[Date]])</f>
        <v>2025</v>
      </c>
      <c r="E175" s="33" t="s">
        <v>219</v>
      </c>
      <c r="F175" s="33" t="s">
        <v>219</v>
      </c>
      <c r="G175" s="196">
        <f>PA[[#This Row],[Date]]-DAY(PA[[#This Row],[Date]])+1</f>
        <v>45839</v>
      </c>
      <c r="H175" s="32">
        <f>DAY(EOMONTH(PA[[#This Row],[Month Year]],0))</f>
        <v>31</v>
      </c>
      <c r="I175" s="122">
        <v>0.32361111111111113</v>
      </c>
      <c r="J175" s="122">
        <v>0.76527777777777772</v>
      </c>
      <c r="K175" s="35">
        <f>IFERROR((PA[[#This Row],[Sunset Time (POA&lt;20 W/m2)]]-PA[[#This Row],[Sunrise Time (POA&gt;20 W/m2)]])*24,"")</f>
        <v>10.599999999999998</v>
      </c>
      <c r="L175" s="37" t="s">
        <v>302</v>
      </c>
      <c r="M175" s="33" t="s">
        <v>294</v>
      </c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75" s="35">
        <f>IFERROR(_xlfn.XLOOKUP(PA[[#This Row],[Affected Equipment ]],'Basic Data'!N:N,'Basic Data'!Q:Q),"")</f>
        <v>6527.4649999999992</v>
      </c>
      <c r="V175" s="236">
        <f ca="1">IFERROR(_xlfn.XLOOKUP(PA[[#This Row],[Affected Equipment ]],'Basic Data'!N:N,'Basic Data'!R:R),"")</f>
        <v>0.16647449630196376</v>
      </c>
      <c r="W175" s="36" t="s">
        <v>345</v>
      </c>
      <c r="X175" s="40"/>
      <c r="Y175" s="40" t="s">
        <v>372</v>
      </c>
      <c r="Z175" s="46">
        <v>0.60624999999999996</v>
      </c>
      <c r="AA175" s="46">
        <v>0.60624999999999996</v>
      </c>
      <c r="AB175" s="46">
        <v>0.60624999999999996</v>
      </c>
      <c r="AC175" s="46">
        <v>0.63263888888888886</v>
      </c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0.63333333333333375</v>
      </c>
      <c r="AG175" s="44">
        <f>IFERROR((PA[[#This Row],[Work Completion time on fault]]-PA[[#This Row],[Fault Time]])*24,"")</f>
        <v>0.63333333333333375</v>
      </c>
      <c r="AH175" s="36" t="s">
        <v>373</v>
      </c>
      <c r="AI175" s="33" t="s">
        <v>298</v>
      </c>
      <c r="AJ175" s="35">
        <f ca="1">IFERROR(PA[[#This Row],[Breakdown Time]]*PA[[#This Row],[Plant Equivalent Weightage]],"")</f>
        <v>0.10543384765791045</v>
      </c>
      <c r="AK175" s="36">
        <v>0.16826694</v>
      </c>
      <c r="AL175" s="51">
        <f>IFERROR((_xlfn.XLOOKUP($G175,'Modelling New'!D:D,'Modelling New'!$O:$O)*PA[[#This Row],[Lost PoA(kWh/m2)]]*PA[[#This Row],[DC Capacity Affected (kW)]]),"")</f>
        <v>908.36593659973926</v>
      </c>
      <c r="AM175" s="33"/>
      <c r="AN175" s="33"/>
      <c r="AO175" s="33">
        <v>4876</v>
      </c>
      <c r="AP175" s="33" t="s">
        <v>765</v>
      </c>
    </row>
    <row r="176" spans="1:42">
      <c r="A176" s="30">
        <f t="shared" si="0"/>
        <v>175</v>
      </c>
      <c r="B176" s="31">
        <v>45848</v>
      </c>
      <c r="C176" s="32">
        <f>YEAR(PA[[#This Row],[Date]])+IF(MONTH(PA[[#This Row],[Date]])&gt;=4,1,0)</f>
        <v>2026</v>
      </c>
      <c r="D176" s="32">
        <f>YEAR(PA[[#This Row],[Date]])</f>
        <v>2025</v>
      </c>
      <c r="E176" s="33" t="s">
        <v>219</v>
      </c>
      <c r="F176" s="33" t="s">
        <v>219</v>
      </c>
      <c r="G176" s="196">
        <f>PA[[#This Row],[Date]]-DAY(PA[[#This Row],[Date]])+1</f>
        <v>45839</v>
      </c>
      <c r="H176" s="231">
        <f>DAY(EOMONTH(PA[[#This Row],[Month Year]],0))</f>
        <v>31</v>
      </c>
      <c r="I176" s="122">
        <v>0.32361111111111113</v>
      </c>
      <c r="J176" s="122">
        <v>0.76527777777777772</v>
      </c>
      <c r="K176" s="35">
        <f>IFERROR((PA[[#This Row],[Sunset Time (POA&lt;20 W/m2)]]-PA[[#This Row],[Sunrise Time (POA&gt;20 W/m2)]])*24,"")</f>
        <v>10.599999999999998</v>
      </c>
      <c r="L176" s="37" t="s">
        <v>303</v>
      </c>
      <c r="M176" s="33" t="s">
        <v>294</v>
      </c>
      <c r="N176" s="33"/>
      <c r="O176" s="36"/>
      <c r="P176" s="36"/>
      <c r="Q176" s="37"/>
      <c r="R176" s="231">
        <f>IF((PA[[#This Row],[String Type(If String BD)]]&amp;PA[[#This Row],[Equipment (If any BD other than PV  array and inv)]])="",1,0)</f>
        <v>1</v>
      </c>
      <c r="S176" s="231">
        <f>IF(PA[[#This Row],[String Type(If String BD)]]="",1,0)</f>
        <v>1</v>
      </c>
      <c r="T17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6" s="233">
        <f>IFERROR(_xlfn.XLOOKUP(PA[[#This Row],[Affected Equipment ]],'Basic Data'!N:N,'Basic Data'!Q:Q),"")</f>
        <v>5104</v>
      </c>
      <c r="V176" s="237">
        <f ca="1">IFERROR(_xlfn.XLOOKUP(PA[[#This Row],[Affected Equipment ]],'Basic Data'!N:N,'Basic Data'!R:R),"")</f>
        <v>0.13017087477684264</v>
      </c>
      <c r="W176" s="36" t="s">
        <v>345</v>
      </c>
      <c r="X176" s="41"/>
      <c r="Y176" s="40" t="s">
        <v>372</v>
      </c>
      <c r="Z176" s="46">
        <v>0.60624999999999996</v>
      </c>
      <c r="AA176" s="46">
        <v>0.60624999999999996</v>
      </c>
      <c r="AB176" s="46">
        <v>0.60624999999999996</v>
      </c>
      <c r="AC176" s="47">
        <v>0.63194444444444442</v>
      </c>
      <c r="AD176" s="234">
        <f>IF(PA[[#This Row],[Acknowledgement Time ]]="NA","",(PA[[#This Row],[Acknowledgement Time ]]-PA[[#This Row],[Fault Time]])*24)</f>
        <v>0</v>
      </c>
      <c r="AE176" s="234">
        <f>IF(PA[[#This Row],[Work Start time on Fault]]="NA","",(PA[[#This Row],[Work Start time on Fault]]-PA[[#This Row],[Fault Time]])*24)</f>
        <v>0</v>
      </c>
      <c r="AF176" s="235">
        <f>IF(PA[[#This Row],[Status]]="Open","",(PA[[#This Row],[Work Completion time on fault]]-PA[[#This Row],[Fault Time]])*24)</f>
        <v>0.61666666666666714</v>
      </c>
      <c r="AG176" s="234">
        <f>IFERROR((PA[[#This Row],[Work Completion time on fault]]-PA[[#This Row],[Fault Time]])*24,"")</f>
        <v>0.61666666666666714</v>
      </c>
      <c r="AH176" s="36" t="s">
        <v>373</v>
      </c>
      <c r="AI176" s="33" t="s">
        <v>298</v>
      </c>
      <c r="AJ176" s="233">
        <f ca="1">IFERROR(PA[[#This Row],[Breakdown Time]]*PA[[#This Row],[Plant Equivalent Weightage]],"")</f>
        <v>8.0272039445719687E-2</v>
      </c>
      <c r="AK176" s="38">
        <v>0.16406226500000001</v>
      </c>
      <c r="AL176" s="51">
        <f>IFERROR((_xlfn.XLOOKUP($G176,'Modelling New'!D:D,'Modelling New'!$O:$O)*PA[[#This Row],[Lost PoA(kWh/m2)]]*PA[[#This Row],[DC Capacity Affected (kW)]]),"")</f>
        <v>692.52723868291014</v>
      </c>
      <c r="AM176" s="33"/>
      <c r="AN176" s="33"/>
      <c r="AO176" s="33">
        <v>4876</v>
      </c>
      <c r="AP176" s="33" t="s">
        <v>765</v>
      </c>
    </row>
    <row r="177" spans="1:42">
      <c r="A177" s="30">
        <f t="shared" si="0"/>
        <v>176</v>
      </c>
      <c r="B177" s="31">
        <v>45848</v>
      </c>
      <c r="C177" s="32">
        <f>YEAR(PA[[#This Row],[Date]])+IF(MONTH(PA[[#This Row],[Date]])&gt;=4,1,0)</f>
        <v>2026</v>
      </c>
      <c r="D177" s="32">
        <f>YEAR(PA[[#This Row],[Date]])</f>
        <v>2025</v>
      </c>
      <c r="E177" s="33" t="s">
        <v>219</v>
      </c>
      <c r="F177" s="33" t="s">
        <v>219</v>
      </c>
      <c r="G177" s="196">
        <f>PA[[#This Row],[Date]]-DAY(PA[[#This Row],[Date]])+1</f>
        <v>45839</v>
      </c>
      <c r="H177" s="231">
        <f>DAY(EOMONTH(PA[[#This Row],[Month Year]],0))</f>
        <v>31</v>
      </c>
      <c r="I177" s="122">
        <v>0.32361111111111113</v>
      </c>
      <c r="J177" s="122">
        <v>0.76527777777777772</v>
      </c>
      <c r="K177" s="35">
        <f>IFERROR((PA[[#This Row],[Sunset Time (POA&lt;20 W/m2)]]-PA[[#This Row],[Sunrise Time (POA&gt;20 W/m2)]])*24,"")</f>
        <v>10.599999999999998</v>
      </c>
      <c r="L177" s="37" t="s">
        <v>303</v>
      </c>
      <c r="M177" s="33" t="s">
        <v>299</v>
      </c>
      <c r="N177" s="33"/>
      <c r="O177" s="36"/>
      <c r="P177" s="36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7" s="233">
        <f>IFERROR(_xlfn.XLOOKUP(PA[[#This Row],[Affected Equipment ]],'Basic Data'!N:N,'Basic Data'!Q:Q),"")</f>
        <v>5104</v>
      </c>
      <c r="V177" s="237">
        <f ca="1">IFERROR(_xlfn.XLOOKUP(PA[[#This Row],[Affected Equipment ]],'Basic Data'!N:N,'Basic Data'!R:R),"")</f>
        <v>0.13017087477684264</v>
      </c>
      <c r="W177" s="36" t="s">
        <v>345</v>
      </c>
      <c r="X177" s="41"/>
      <c r="Y177" s="40" t="s">
        <v>372</v>
      </c>
      <c r="Z177" s="46">
        <v>0.60624999999999996</v>
      </c>
      <c r="AA177" s="46">
        <v>0.60624999999999996</v>
      </c>
      <c r="AB177" s="46">
        <v>0.60624999999999996</v>
      </c>
      <c r="AC177" s="47">
        <v>0.63194444444444442</v>
      </c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0.61666666666666714</v>
      </c>
      <c r="AG177" s="234">
        <f>IFERROR((PA[[#This Row],[Work Completion time on fault]]-PA[[#This Row],[Fault Time]])*24,"")</f>
        <v>0.61666666666666714</v>
      </c>
      <c r="AH177" s="36" t="s">
        <v>373</v>
      </c>
      <c r="AI177" s="33" t="s">
        <v>298</v>
      </c>
      <c r="AJ177" s="233">
        <f ca="1">IFERROR(PA[[#This Row],[Breakdown Time]]*PA[[#This Row],[Plant Equivalent Weightage]],"")</f>
        <v>8.0272039445719687E-2</v>
      </c>
      <c r="AK177" s="38">
        <v>0.16406226500000001</v>
      </c>
      <c r="AL177" s="51">
        <f>IFERROR((_xlfn.XLOOKUP($G177,'Modelling New'!D:D,'Modelling New'!$O:$O)*PA[[#This Row],[Lost PoA(kWh/m2)]]*PA[[#This Row],[DC Capacity Affected (kW)]]),"")</f>
        <v>692.52723868291014</v>
      </c>
      <c r="AM177" s="33"/>
      <c r="AN177" s="33"/>
      <c r="AO177" s="33">
        <v>4876</v>
      </c>
      <c r="AP177" s="33" t="s">
        <v>765</v>
      </c>
    </row>
    <row r="178" spans="1:42">
      <c r="A178" s="30">
        <f t="shared" si="0"/>
        <v>177</v>
      </c>
      <c r="B178" s="166">
        <v>45850</v>
      </c>
      <c r="C178" s="32">
        <f>YEAR(PA[[#This Row],[Date]])+IF(MONTH(PA[[#This Row],[Date]])&gt;=4,1,0)</f>
        <v>2026</v>
      </c>
      <c r="D178" s="32">
        <f>YEAR(PA[[#This Row],[Date]])</f>
        <v>2025</v>
      </c>
      <c r="E178" s="33" t="s">
        <v>219</v>
      </c>
      <c r="F178" s="33" t="s">
        <v>219</v>
      </c>
      <c r="G178" s="196">
        <f>PA[[#This Row],[Date]]-DAY(PA[[#This Row],[Date]])+1</f>
        <v>45839</v>
      </c>
      <c r="H178" s="32">
        <f>DAY(EOMONTH(PA[[#This Row],[Month Year]],0))</f>
        <v>31</v>
      </c>
      <c r="I178" s="122">
        <v>0.25069444444444444</v>
      </c>
      <c r="J178" s="122">
        <v>0.77638888888888891</v>
      </c>
      <c r="K178" s="35">
        <f>IFERROR((PA[[#This Row],[Sunset Time (POA&lt;20 W/m2)]]-PA[[#This Row],[Sunrise Time (POA&gt;20 W/m2)]])*24,"")</f>
        <v>12.616666666666667</v>
      </c>
      <c r="L178" s="37" t="s">
        <v>303</v>
      </c>
      <c r="M178" s="33" t="s">
        <v>766</v>
      </c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8" s="35">
        <f>IFERROR(_xlfn.XLOOKUP(PA[[#This Row],[Affected Equipment ]],'Basic Data'!N:N,'Basic Data'!Q:Q),"")</f>
        <v>5104</v>
      </c>
      <c r="V178" s="236">
        <f ca="1">IFERROR(_xlfn.XLOOKUP(PA[[#This Row],[Affected Equipment ]],'Basic Data'!N:N,'Basic Data'!R:R),"")</f>
        <v>0.13017087477684264</v>
      </c>
      <c r="W178" s="36" t="s">
        <v>295</v>
      </c>
      <c r="X178" s="40"/>
      <c r="Y178" s="372" t="s">
        <v>768</v>
      </c>
      <c r="Z178" s="46">
        <v>0.5493055555555556</v>
      </c>
      <c r="AA178" s="46">
        <v>0.5493055555555556</v>
      </c>
      <c r="AB178" s="46">
        <v>0.5493055555555556</v>
      </c>
      <c r="AC178" s="46">
        <v>0.57638888888888884</v>
      </c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0.64999999999999769</v>
      </c>
      <c r="AG178" s="44">
        <f>IFERROR((PA[[#This Row],[Work Completion time on fault]]-PA[[#This Row],[Fault Time]])*24,"")</f>
        <v>0.64999999999999769</v>
      </c>
      <c r="AH178" s="36" t="s">
        <v>297</v>
      </c>
      <c r="AI178" s="33" t="s">
        <v>298</v>
      </c>
      <c r="AJ178" s="35">
        <f ca="1">IFERROR(PA[[#This Row],[Breakdown Time]]*PA[[#This Row],[Plant Equivalent Weightage]],"")</f>
        <v>8.4611068604947409E-2</v>
      </c>
      <c r="AK178" s="36">
        <v>0.50744973199999999</v>
      </c>
      <c r="AL178" s="51">
        <f>IFERROR((_xlfn.XLOOKUP($G178,'Modelling New'!D:D,'Modelling New'!$O:$O)*PA[[#This Row],[Lost PoA(kWh/m2)]]*PA[[#This Row],[DC Capacity Affected (kW)]]),"")</f>
        <v>2142.0084726511777</v>
      </c>
      <c r="AM178" s="33"/>
      <c r="AN178" s="33"/>
      <c r="AO178" s="33">
        <v>4932</v>
      </c>
      <c r="AP178" s="33" t="s">
        <v>769</v>
      </c>
    </row>
    <row r="179" spans="1:42">
      <c r="A179" s="30">
        <f t="shared" si="0"/>
        <v>178</v>
      </c>
      <c r="B179" s="166">
        <v>45850</v>
      </c>
      <c r="C179" s="32">
        <f>YEAR(PA[[#This Row],[Date]])+IF(MONTH(PA[[#This Row],[Date]])&gt;=4,1,0)</f>
        <v>2026</v>
      </c>
      <c r="D179" s="32">
        <f>YEAR(PA[[#This Row],[Date]])</f>
        <v>2025</v>
      </c>
      <c r="E179" s="33" t="s">
        <v>219</v>
      </c>
      <c r="F179" s="33" t="s">
        <v>219</v>
      </c>
      <c r="G179" s="196">
        <f>PA[[#This Row],[Date]]-DAY(PA[[#This Row],[Date]])+1</f>
        <v>45839</v>
      </c>
      <c r="H179" s="32">
        <f>DAY(EOMONTH(PA[[#This Row],[Month Year]],0))</f>
        <v>31</v>
      </c>
      <c r="I179" s="122">
        <v>0.25069444444444444</v>
      </c>
      <c r="J179" s="122">
        <v>0.77638888888888891</v>
      </c>
      <c r="K179" s="35">
        <f>IFERROR((PA[[#This Row],[Sunset Time (POA&lt;20 W/m2)]]-PA[[#This Row],[Sunrise Time (POA&gt;20 W/m2)]])*24,"")</f>
        <v>12.616666666666667</v>
      </c>
      <c r="L179" s="37" t="s">
        <v>303</v>
      </c>
      <c r="M179" s="33" t="s">
        <v>767</v>
      </c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9" s="35">
        <f>IFERROR(_xlfn.XLOOKUP(PA[[#This Row],[Affected Equipment ]],'Basic Data'!N:N,'Basic Data'!Q:Q),"")</f>
        <v>5104</v>
      </c>
      <c r="V179" s="236">
        <f ca="1">IFERROR(_xlfn.XLOOKUP(PA[[#This Row],[Affected Equipment ]],'Basic Data'!N:N,'Basic Data'!R:R),"")</f>
        <v>0.13017087477684264</v>
      </c>
      <c r="W179" s="36" t="s">
        <v>295</v>
      </c>
      <c r="X179" s="40"/>
      <c r="Y179" s="372" t="s">
        <v>768</v>
      </c>
      <c r="Z179" s="46">
        <v>0.5493055555555556</v>
      </c>
      <c r="AA179" s="46">
        <v>0.5493055555555556</v>
      </c>
      <c r="AB179" s="46">
        <v>0.5493055555555556</v>
      </c>
      <c r="AC179" s="46">
        <v>0.57638888888888884</v>
      </c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0.64999999999999769</v>
      </c>
      <c r="AG179" s="44">
        <f>IFERROR((PA[[#This Row],[Work Completion time on fault]]-PA[[#This Row],[Fault Time]])*24,"")</f>
        <v>0.64999999999999769</v>
      </c>
      <c r="AH179" s="36" t="s">
        <v>297</v>
      </c>
      <c r="AI179" s="33" t="s">
        <v>298</v>
      </c>
      <c r="AJ179" s="35">
        <f ca="1">IFERROR(PA[[#This Row],[Breakdown Time]]*PA[[#This Row],[Plant Equivalent Weightage]],"")</f>
        <v>8.4611068604947409E-2</v>
      </c>
      <c r="AK179" s="36">
        <v>0.50744973199999999</v>
      </c>
      <c r="AL179" s="51">
        <f>IFERROR((_xlfn.XLOOKUP($G179,'Modelling New'!D:D,'Modelling New'!$O:$O)*PA[[#This Row],[Lost PoA(kWh/m2)]]*PA[[#This Row],[DC Capacity Affected (kW)]]),"")</f>
        <v>2142.0084726511777</v>
      </c>
      <c r="AM179" s="33"/>
      <c r="AN179" s="33"/>
      <c r="AO179" s="33">
        <v>4932</v>
      </c>
      <c r="AP179" s="33" t="s">
        <v>769</v>
      </c>
    </row>
    <row r="180" spans="1:42">
      <c r="A180" s="30">
        <f t="shared" si="0"/>
        <v>179</v>
      </c>
      <c r="B180" s="166">
        <v>45852</v>
      </c>
      <c r="C180" s="32">
        <f>YEAR(PA[[#This Row],[Date]])+IF(MONTH(PA[[#This Row],[Date]])&gt;=4,1,0)</f>
        <v>2026</v>
      </c>
      <c r="D180" s="32">
        <f>YEAR(PA[[#This Row],[Date]])</f>
        <v>2025</v>
      </c>
      <c r="E180" s="33" t="s">
        <v>219</v>
      </c>
      <c r="F180" s="33" t="s">
        <v>219</v>
      </c>
      <c r="G180" s="196">
        <f>PA[[#This Row],[Date]]-DAY(PA[[#This Row],[Date]])+1</f>
        <v>45839</v>
      </c>
      <c r="H180" s="231">
        <f>DAY(EOMONTH(PA[[#This Row],[Month Year]],0))</f>
        <v>31</v>
      </c>
      <c r="I180" s="122">
        <v>0.25347222222222221</v>
      </c>
      <c r="J180" s="122">
        <v>0.78125</v>
      </c>
      <c r="K180" s="35">
        <f>IFERROR((PA[[#This Row],[Sunset Time (POA&lt;20 W/m2)]]-PA[[#This Row],[Sunrise Time (POA&gt;20 W/m2)]])*24,"")</f>
        <v>12.666666666666668</v>
      </c>
      <c r="L180" s="33" t="s">
        <v>300</v>
      </c>
      <c r="M180" s="33" t="s">
        <v>294</v>
      </c>
      <c r="N180" s="33"/>
      <c r="O180" s="36"/>
      <c r="P180" s="36"/>
      <c r="Q180" s="37"/>
      <c r="R180" s="231">
        <f>IF((PA[[#This Row],[String Type(If String BD)]]&amp;PA[[#This Row],[Equipment (If any BD other than PV  array and inv)]])="",1,0)</f>
        <v>1</v>
      </c>
      <c r="S180" s="231">
        <f>IF(PA[[#This Row],[String Type(If String BD)]]="",1,0)</f>
        <v>1</v>
      </c>
      <c r="T1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80" s="233">
        <f>IFERROR(_xlfn.XLOOKUP(PA[[#This Row],[Affected Equipment ]],'Basic Data'!N:N,'Basic Data'!Q:Q),"")</f>
        <v>4662.4750000000004</v>
      </c>
      <c r="V180" s="237">
        <f ca="1">IFERROR(_xlfn.XLOOKUP(PA[[#This Row],[Affected Equipment ]],'Basic Data'!N:N,'Basic Data'!R:R),"")</f>
        <v>0.11891035450140271</v>
      </c>
      <c r="W180" s="38" t="s">
        <v>345</v>
      </c>
      <c r="X180" s="41"/>
      <c r="Y180" s="373" t="s">
        <v>770</v>
      </c>
      <c r="Z180" s="47">
        <v>0.71805555555555556</v>
      </c>
      <c r="AA180" s="47">
        <v>0.71805555555555556</v>
      </c>
      <c r="AB180" s="47">
        <v>0.71805555555555556</v>
      </c>
      <c r="AC180" s="47">
        <v>0.78125</v>
      </c>
      <c r="AD180" s="234">
        <f>IF(PA[[#This Row],[Acknowledgement Time ]]="NA","",(PA[[#This Row],[Acknowledgement Time ]]-PA[[#This Row],[Fault Time]])*24)</f>
        <v>0</v>
      </c>
      <c r="AE180" s="234">
        <f>IF(PA[[#This Row],[Work Start time on Fault]]="NA","",(PA[[#This Row],[Work Start time on Fault]]-PA[[#This Row],[Fault Time]])*24)</f>
        <v>0</v>
      </c>
      <c r="AF180" s="235">
        <f>IF(PA[[#This Row],[Status]]="Open","",(PA[[#This Row],[Work Completion time on fault]]-PA[[#This Row],[Fault Time]])*24)</f>
        <v>1.5166666666666666</v>
      </c>
      <c r="AG180" s="234">
        <f>IFERROR((PA[[#This Row],[Work Completion time on fault]]-PA[[#This Row],[Fault Time]])*24,"")</f>
        <v>1.5166666666666666</v>
      </c>
      <c r="AH180" s="374" t="s">
        <v>315</v>
      </c>
      <c r="AI180" s="33" t="s">
        <v>298</v>
      </c>
      <c r="AJ180" s="233">
        <f ca="1">IFERROR(PA[[#This Row],[Breakdown Time]]*PA[[#This Row],[Plant Equivalent Weightage]],"")</f>
        <v>0.18034737099379411</v>
      </c>
      <c r="AK180" s="38">
        <v>0.26106169299999998</v>
      </c>
      <c r="AL180" s="51">
        <f>IFERROR((_xlfn.XLOOKUP($G180,'Modelling New'!D:D,'Modelling New'!$O:$O)*PA[[#This Row],[Lost PoA(kWh/m2)]]*PA[[#This Row],[DC Capacity Affected (kW)]]),"")</f>
        <v>1006.6468929507342</v>
      </c>
      <c r="AM180" s="33"/>
      <c r="AN180" s="33"/>
      <c r="AO180" s="33">
        <v>4988</v>
      </c>
      <c r="AP180" s="375" t="s">
        <v>771</v>
      </c>
    </row>
    <row r="181" spans="1:42">
      <c r="A181" s="30">
        <f t="shared" si="0"/>
        <v>180</v>
      </c>
      <c r="B181" s="166">
        <v>45852</v>
      </c>
      <c r="C181" s="32">
        <f>YEAR(PA[[#This Row],[Date]])+IF(MONTH(PA[[#This Row],[Date]])&gt;=4,1,0)</f>
        <v>2026</v>
      </c>
      <c r="D181" s="32">
        <f>YEAR(PA[[#This Row],[Date]])</f>
        <v>2025</v>
      </c>
      <c r="E181" s="33" t="s">
        <v>219</v>
      </c>
      <c r="F181" s="33" t="s">
        <v>219</v>
      </c>
      <c r="G181" s="196">
        <f>PA[[#This Row],[Date]]-DAY(PA[[#This Row],[Date]])+1</f>
        <v>45839</v>
      </c>
      <c r="H181" s="32">
        <f>DAY(EOMONTH(PA[[#This Row],[Month Year]],0))</f>
        <v>31</v>
      </c>
      <c r="I181" s="122">
        <v>0.25347222222222221</v>
      </c>
      <c r="J181" s="122">
        <v>0.78125</v>
      </c>
      <c r="K181" s="35">
        <f>IFERROR((PA[[#This Row],[Sunset Time (POA&lt;20 W/m2)]]-PA[[#This Row],[Sunrise Time (POA&gt;20 W/m2)]])*24,"")</f>
        <v>12.666666666666668</v>
      </c>
      <c r="L181" s="33" t="s">
        <v>300</v>
      </c>
      <c r="M181" s="33" t="s">
        <v>299</v>
      </c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81" s="35">
        <f>IFERROR(_xlfn.XLOOKUP(PA[[#This Row],[Affected Equipment ]],'Basic Data'!N:N,'Basic Data'!Q:Q),"")</f>
        <v>4662.4750000000004</v>
      </c>
      <c r="V181" s="236">
        <f ca="1">IFERROR(_xlfn.XLOOKUP(PA[[#This Row],[Affected Equipment ]],'Basic Data'!N:N,'Basic Data'!R:R),"")</f>
        <v>0.11891035450140271</v>
      </c>
      <c r="W181" s="38" t="s">
        <v>345</v>
      </c>
      <c r="X181" s="40"/>
      <c r="Y181" s="373" t="s">
        <v>770</v>
      </c>
      <c r="Z181" s="47">
        <v>0.71805555555555556</v>
      </c>
      <c r="AA181" s="47">
        <v>0.71805555555555556</v>
      </c>
      <c r="AB181" s="47">
        <v>0.71805555555555556</v>
      </c>
      <c r="AC181" s="47">
        <v>0.78125</v>
      </c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1.5166666666666666</v>
      </c>
      <c r="AG181" s="44">
        <f>IFERROR((PA[[#This Row],[Work Completion time on fault]]-PA[[#This Row],[Fault Time]])*24,"")</f>
        <v>1.5166666666666666</v>
      </c>
      <c r="AH181" s="374" t="s">
        <v>315</v>
      </c>
      <c r="AI181" s="33" t="s">
        <v>298</v>
      </c>
      <c r="AJ181" s="35">
        <f ca="1">IFERROR(PA[[#This Row],[Breakdown Time]]*PA[[#This Row],[Plant Equivalent Weightage]],"")</f>
        <v>0.18034737099379411</v>
      </c>
      <c r="AK181" s="38">
        <v>0.26106169299999998</v>
      </c>
      <c r="AL181" s="51">
        <f>IFERROR((_xlfn.XLOOKUP($G181,'Modelling New'!D:D,'Modelling New'!$O:$O)*PA[[#This Row],[Lost PoA(kWh/m2)]]*PA[[#This Row],[DC Capacity Affected (kW)]]),"")</f>
        <v>1006.6468929507342</v>
      </c>
      <c r="AM181" s="33"/>
      <c r="AN181" s="33"/>
      <c r="AO181" s="33">
        <v>4988</v>
      </c>
      <c r="AP181" s="375" t="s">
        <v>771</v>
      </c>
    </row>
    <row r="182" spans="1:42">
      <c r="A182" s="30">
        <f t="shared" si="0"/>
        <v>181</v>
      </c>
      <c r="B182" s="166">
        <v>45852</v>
      </c>
      <c r="C182" s="32">
        <f>YEAR(PA[[#This Row],[Date]])+IF(MONTH(PA[[#This Row],[Date]])&gt;=4,1,0)</f>
        <v>2026</v>
      </c>
      <c r="D182" s="32">
        <f>YEAR(PA[[#This Row],[Date]])</f>
        <v>2025</v>
      </c>
      <c r="E182" s="33" t="s">
        <v>219</v>
      </c>
      <c r="F182" s="33" t="s">
        <v>219</v>
      </c>
      <c r="G182" s="196">
        <f>PA[[#This Row],[Date]]-DAY(PA[[#This Row],[Date]])+1</f>
        <v>45839</v>
      </c>
      <c r="H182" s="32">
        <f>DAY(EOMONTH(PA[[#This Row],[Month Year]],0))</f>
        <v>31</v>
      </c>
      <c r="I182" s="122">
        <v>0.25347222222222221</v>
      </c>
      <c r="J182" s="122">
        <v>0.78125</v>
      </c>
      <c r="K182" s="35">
        <f>IFERROR((PA[[#This Row],[Sunset Time (POA&lt;20 W/m2)]]-PA[[#This Row],[Sunrise Time (POA&gt;20 W/m2)]])*24,"")</f>
        <v>12.666666666666668</v>
      </c>
      <c r="L182" s="37" t="s">
        <v>293</v>
      </c>
      <c r="M182" s="33" t="s">
        <v>294</v>
      </c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82" s="35">
        <f>IFERROR(_xlfn.XLOOKUP(PA[[#This Row],[Affected Equipment ]],'Basic Data'!N:N,'Basic Data'!Q:Q),"")</f>
        <v>6511.66</v>
      </c>
      <c r="V182" s="236">
        <f ca="1">IFERROR(_xlfn.XLOOKUP(PA[[#This Row],[Affected Equipment ]],'Basic Data'!N:N,'Basic Data'!R:R),"")</f>
        <v>0.1660714103545014</v>
      </c>
      <c r="W182" s="38" t="s">
        <v>345</v>
      </c>
      <c r="X182" s="40"/>
      <c r="Y182" s="373" t="s">
        <v>770</v>
      </c>
      <c r="Z182" s="47">
        <v>0.71805555555555556</v>
      </c>
      <c r="AA182" s="47">
        <v>0.71805555555555556</v>
      </c>
      <c r="AB182" s="47">
        <v>0.71805555555555556</v>
      </c>
      <c r="AC182" s="47">
        <v>0.78125</v>
      </c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1.5166666666666666</v>
      </c>
      <c r="AG182" s="44">
        <f>IFERROR((PA[[#This Row],[Work Completion time on fault]]-PA[[#This Row],[Fault Time]])*24,"")</f>
        <v>1.5166666666666666</v>
      </c>
      <c r="AH182" s="374" t="s">
        <v>315</v>
      </c>
      <c r="AI182" s="33" t="s">
        <v>298</v>
      </c>
      <c r="AJ182" s="35">
        <f ca="1">IFERROR(PA[[#This Row],[Breakdown Time]]*PA[[#This Row],[Plant Equivalent Weightage]],"")</f>
        <v>0.25187497237099377</v>
      </c>
      <c r="AK182" s="38">
        <v>0.26106169299999998</v>
      </c>
      <c r="AL182" s="51">
        <f>IFERROR((_xlfn.XLOOKUP($G182,'Modelling New'!D:D,'Modelling New'!$O:$O)*PA[[#This Row],[Lost PoA(kWh/m2)]]*PA[[#This Row],[DC Capacity Affected (kW)]]),"")</f>
        <v>1405.8932877820421</v>
      </c>
      <c r="AM182" s="33"/>
      <c r="AN182" s="33"/>
      <c r="AO182" s="33">
        <v>4988</v>
      </c>
      <c r="AP182" s="375" t="s">
        <v>771</v>
      </c>
    </row>
    <row r="183" spans="1:42">
      <c r="A183" s="30">
        <f t="shared" si="0"/>
        <v>182</v>
      </c>
      <c r="B183" s="166">
        <v>45852</v>
      </c>
      <c r="C183" s="32">
        <f>YEAR(PA[[#This Row],[Date]])+IF(MONTH(PA[[#This Row],[Date]])&gt;=4,1,0)</f>
        <v>2026</v>
      </c>
      <c r="D183" s="32">
        <f>YEAR(PA[[#This Row],[Date]])</f>
        <v>2025</v>
      </c>
      <c r="E183" s="33" t="s">
        <v>219</v>
      </c>
      <c r="F183" s="33" t="s">
        <v>219</v>
      </c>
      <c r="G183" s="196">
        <f>PA[[#This Row],[Date]]-DAY(PA[[#This Row],[Date]])+1</f>
        <v>45839</v>
      </c>
      <c r="H183" s="32">
        <f>DAY(EOMONTH(PA[[#This Row],[Month Year]],0))</f>
        <v>31</v>
      </c>
      <c r="I183" s="122">
        <v>0.25347222222222221</v>
      </c>
      <c r="J183" s="122">
        <v>0.78125</v>
      </c>
      <c r="K183" s="35">
        <f>IFERROR((PA[[#This Row],[Sunset Time (POA&lt;20 W/m2)]]-PA[[#This Row],[Sunrise Time (POA&gt;20 W/m2)]])*24,"")</f>
        <v>12.666666666666668</v>
      </c>
      <c r="L183" s="37" t="s">
        <v>293</v>
      </c>
      <c r="M183" s="33" t="s">
        <v>299</v>
      </c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83" s="35">
        <f>IFERROR(_xlfn.XLOOKUP(PA[[#This Row],[Affected Equipment ]],'Basic Data'!N:N,'Basic Data'!Q:Q),"")</f>
        <v>6495.8549999999996</v>
      </c>
      <c r="V183" s="236">
        <f ca="1">IFERROR(_xlfn.XLOOKUP(PA[[#This Row],[Affected Equipment ]],'Basic Data'!N:N,'Basic Data'!R:R),"")</f>
        <v>0.16566832440703902</v>
      </c>
      <c r="W183" s="38" t="s">
        <v>345</v>
      </c>
      <c r="X183" s="40"/>
      <c r="Y183" s="373" t="s">
        <v>770</v>
      </c>
      <c r="Z183" s="47">
        <v>0.71805555555555556</v>
      </c>
      <c r="AA183" s="47">
        <v>0.71805555555555556</v>
      </c>
      <c r="AB183" s="47">
        <v>0.71805555555555556</v>
      </c>
      <c r="AC183" s="47">
        <v>0.78125</v>
      </c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1.5166666666666666</v>
      </c>
      <c r="AG183" s="44">
        <f>IFERROR((PA[[#This Row],[Work Completion time on fault]]-PA[[#This Row],[Fault Time]])*24,"")</f>
        <v>1.5166666666666666</v>
      </c>
      <c r="AH183" s="374" t="s">
        <v>315</v>
      </c>
      <c r="AI183" s="33" t="s">
        <v>298</v>
      </c>
      <c r="AJ183" s="35">
        <f ca="1">IFERROR(PA[[#This Row],[Breakdown Time]]*PA[[#This Row],[Plant Equivalent Weightage]],"")</f>
        <v>0.25126362535067581</v>
      </c>
      <c r="AK183" s="38">
        <v>0.26106169299999998</v>
      </c>
      <c r="AL183" s="51">
        <f>IFERROR((_xlfn.XLOOKUP($G183,'Modelling New'!D:D,'Modelling New'!$O:$O)*PA[[#This Row],[Lost PoA(kWh/m2)]]*PA[[#This Row],[DC Capacity Affected (kW)]]),"")</f>
        <v>1402.4809254330567</v>
      </c>
      <c r="AM183" s="37"/>
      <c r="AN183" s="37"/>
      <c r="AO183" s="33">
        <v>4988</v>
      </c>
      <c r="AP183" s="375" t="s">
        <v>771</v>
      </c>
    </row>
    <row r="184" spans="1:42">
      <c r="A184" s="30">
        <f t="shared" si="0"/>
        <v>183</v>
      </c>
      <c r="B184" s="166">
        <v>45852</v>
      </c>
      <c r="C184" s="32">
        <f>YEAR(PA[[#This Row],[Date]])+IF(MONTH(PA[[#This Row],[Date]])&gt;=4,1,0)</f>
        <v>2026</v>
      </c>
      <c r="D184" s="32">
        <f>YEAR(PA[[#This Row],[Date]])</f>
        <v>2025</v>
      </c>
      <c r="E184" s="33" t="s">
        <v>219</v>
      </c>
      <c r="F184" s="33" t="s">
        <v>219</v>
      </c>
      <c r="G184" s="196">
        <f>PA[[#This Row],[Date]]-DAY(PA[[#This Row],[Date]])+1</f>
        <v>45839</v>
      </c>
      <c r="H184" s="32">
        <f>DAY(EOMONTH(PA[[#This Row],[Month Year]],0))</f>
        <v>31</v>
      </c>
      <c r="I184" s="122">
        <v>0.25347222222222221</v>
      </c>
      <c r="J184" s="122">
        <v>0.78125</v>
      </c>
      <c r="K184" s="35">
        <f>IFERROR((PA[[#This Row],[Sunset Time (POA&lt;20 W/m2)]]-PA[[#This Row],[Sunrise Time (POA&gt;20 W/m2)]])*24,"")</f>
        <v>12.666666666666668</v>
      </c>
      <c r="L184" s="37" t="s">
        <v>302</v>
      </c>
      <c r="M184" s="33" t="s">
        <v>294</v>
      </c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4" s="35">
        <f>IFERROR(_xlfn.XLOOKUP(PA[[#This Row],[Affected Equipment ]],'Basic Data'!N:N,'Basic Data'!Q:Q),"")</f>
        <v>6527.4649999999992</v>
      </c>
      <c r="V184" s="236">
        <f ca="1">IFERROR(_xlfn.XLOOKUP(PA[[#This Row],[Affected Equipment ]],'Basic Data'!N:N,'Basic Data'!R:R),"")</f>
        <v>0.16647449630196376</v>
      </c>
      <c r="W184" s="38" t="s">
        <v>345</v>
      </c>
      <c r="X184" s="40"/>
      <c r="Y184" s="373" t="s">
        <v>770</v>
      </c>
      <c r="Z184" s="47">
        <v>0.71805555555555556</v>
      </c>
      <c r="AA184" s="47">
        <v>0.71805555555555556</v>
      </c>
      <c r="AB184" s="47">
        <v>0.71805555555555556</v>
      </c>
      <c r="AC184" s="47">
        <v>0.78125</v>
      </c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1.5166666666666666</v>
      </c>
      <c r="AG184" s="44">
        <f>IFERROR((PA[[#This Row],[Work Completion time on fault]]-PA[[#This Row],[Fault Time]])*24,"")</f>
        <v>1.5166666666666666</v>
      </c>
      <c r="AH184" s="374" t="s">
        <v>315</v>
      </c>
      <c r="AI184" s="33" t="s">
        <v>298</v>
      </c>
      <c r="AJ184" s="35">
        <f ca="1">IFERROR(PA[[#This Row],[Breakdown Time]]*PA[[#This Row],[Plant Equivalent Weightage]],"")</f>
        <v>0.25248631939131166</v>
      </c>
      <c r="AK184" s="38">
        <v>0.26106169299999998</v>
      </c>
      <c r="AL184" s="51">
        <f>IFERROR((_xlfn.XLOOKUP($G184,'Modelling New'!D:D,'Modelling New'!$O:$O)*PA[[#This Row],[Lost PoA(kWh/m2)]]*PA[[#This Row],[DC Capacity Affected (kW)]]),"")</f>
        <v>1409.3056501310275</v>
      </c>
      <c r="AM184" s="33"/>
      <c r="AN184" s="33"/>
      <c r="AO184" s="33">
        <v>4988</v>
      </c>
      <c r="AP184" s="375" t="s">
        <v>771</v>
      </c>
    </row>
    <row r="185" spans="1:42">
      <c r="A185" s="30">
        <f t="shared" si="0"/>
        <v>184</v>
      </c>
      <c r="B185" s="166">
        <v>45852</v>
      </c>
      <c r="C185" s="32">
        <f>YEAR(PA[[#This Row],[Date]])+IF(MONTH(PA[[#This Row],[Date]])&gt;=4,1,0)</f>
        <v>2026</v>
      </c>
      <c r="D185" s="32">
        <f>YEAR(PA[[#This Row],[Date]])</f>
        <v>2025</v>
      </c>
      <c r="E185" s="33" t="s">
        <v>219</v>
      </c>
      <c r="F185" s="33" t="s">
        <v>219</v>
      </c>
      <c r="G185" s="196">
        <f>PA[[#This Row],[Date]]-DAY(PA[[#This Row],[Date]])+1</f>
        <v>45839</v>
      </c>
      <c r="H185" s="231">
        <f>DAY(EOMONTH(PA[[#This Row],[Month Year]],0))</f>
        <v>31</v>
      </c>
      <c r="I185" s="122">
        <v>0.25347222222222221</v>
      </c>
      <c r="J185" s="122">
        <v>0.78125</v>
      </c>
      <c r="K185" s="35">
        <f>IFERROR((PA[[#This Row],[Sunset Time (POA&lt;20 W/m2)]]-PA[[#This Row],[Sunrise Time (POA&gt;20 W/m2)]])*24,"")</f>
        <v>12.666666666666668</v>
      </c>
      <c r="L185" s="37" t="s">
        <v>303</v>
      </c>
      <c r="M185" s="33" t="s">
        <v>294</v>
      </c>
      <c r="N185" s="33"/>
      <c r="O185" s="36"/>
      <c r="P185" s="38"/>
      <c r="Q185" s="37"/>
      <c r="R185" s="231">
        <f>IF((PA[[#This Row],[String Type(If String BD)]]&amp;PA[[#This Row],[Equipment (If any BD other than PV  array and inv)]])="",1,0)</f>
        <v>1</v>
      </c>
      <c r="S185" s="231">
        <f>IF(PA[[#This Row],[String Type(If String BD)]]="",1,0)</f>
        <v>1</v>
      </c>
      <c r="T1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85" s="233">
        <f>IFERROR(_xlfn.XLOOKUP(PA[[#This Row],[Affected Equipment ]],'Basic Data'!N:N,'Basic Data'!Q:Q),"")</f>
        <v>5104</v>
      </c>
      <c r="V185" s="237">
        <f ca="1">IFERROR(_xlfn.XLOOKUP(PA[[#This Row],[Affected Equipment ]],'Basic Data'!N:N,'Basic Data'!R:R),"")</f>
        <v>0.13017087477684264</v>
      </c>
      <c r="W185" s="38" t="s">
        <v>345</v>
      </c>
      <c r="X185" s="41"/>
      <c r="Y185" s="373" t="s">
        <v>770</v>
      </c>
      <c r="Z185" s="47">
        <v>0.71736111111111112</v>
      </c>
      <c r="AA185" s="47">
        <v>0.71736111111111112</v>
      </c>
      <c r="AB185" s="47">
        <v>0.71736111111111112</v>
      </c>
      <c r="AC185" s="47">
        <v>0.78125</v>
      </c>
      <c r="AD185" s="234">
        <f>IF(PA[[#This Row],[Acknowledgement Time ]]="NA","",(PA[[#This Row],[Acknowledgement Time ]]-PA[[#This Row],[Fault Time]])*24)</f>
        <v>0</v>
      </c>
      <c r="AE185" s="234">
        <f>IF(PA[[#This Row],[Work Start time on Fault]]="NA","",(PA[[#This Row],[Work Start time on Fault]]-PA[[#This Row],[Fault Time]])*24)</f>
        <v>0</v>
      </c>
      <c r="AF185" s="235">
        <f>IF(PA[[#This Row],[Status]]="Open","",(PA[[#This Row],[Work Completion time on fault]]-PA[[#This Row],[Fault Time]])*24)</f>
        <v>1.5333333333333332</v>
      </c>
      <c r="AG185" s="234">
        <f>IFERROR((PA[[#This Row],[Work Completion time on fault]]-PA[[#This Row],[Fault Time]])*24,"")</f>
        <v>1.5333333333333332</v>
      </c>
      <c r="AH185" s="374" t="s">
        <v>315</v>
      </c>
      <c r="AI185" s="33" t="s">
        <v>298</v>
      </c>
      <c r="AJ185" s="233">
        <f ca="1">IFERROR(PA[[#This Row],[Breakdown Time]]*PA[[#This Row],[Plant Equivalent Weightage]],"")</f>
        <v>0.19959534132449203</v>
      </c>
      <c r="AK185" s="38">
        <v>0.26717140299999997</v>
      </c>
      <c r="AL185" s="51">
        <f>IFERROR((_xlfn.XLOOKUP($G185,'Modelling New'!D:D,'Modelling New'!$O:$O)*PA[[#This Row],[Lost PoA(kWh/m2)]]*PA[[#This Row],[DC Capacity Affected (kW)]]),"")</f>
        <v>1127.7637424707559</v>
      </c>
      <c r="AM185" s="33"/>
      <c r="AN185" s="33"/>
      <c r="AO185" s="33">
        <v>4988</v>
      </c>
      <c r="AP185" s="375" t="s">
        <v>771</v>
      </c>
    </row>
    <row r="186" spans="1:42">
      <c r="A186" s="30">
        <f t="shared" si="0"/>
        <v>185</v>
      </c>
      <c r="B186" s="166">
        <v>45852</v>
      </c>
      <c r="C186" s="32">
        <f>YEAR(PA[[#This Row],[Date]])+IF(MONTH(PA[[#This Row],[Date]])&gt;=4,1,0)</f>
        <v>2026</v>
      </c>
      <c r="D186" s="32">
        <f>YEAR(PA[[#This Row],[Date]])</f>
        <v>2025</v>
      </c>
      <c r="E186" s="33" t="s">
        <v>219</v>
      </c>
      <c r="F186" s="33" t="s">
        <v>219</v>
      </c>
      <c r="G186" s="196">
        <f>PA[[#This Row],[Date]]-DAY(PA[[#This Row],[Date]])+1</f>
        <v>45839</v>
      </c>
      <c r="H186" s="231">
        <f>DAY(EOMONTH(PA[[#This Row],[Month Year]],0))</f>
        <v>31</v>
      </c>
      <c r="I186" s="122">
        <v>0.25347222222222221</v>
      </c>
      <c r="J186" s="122">
        <v>0.78125</v>
      </c>
      <c r="K186" s="35">
        <f>IFERROR((PA[[#This Row],[Sunset Time (POA&lt;20 W/m2)]]-PA[[#This Row],[Sunrise Time (POA&gt;20 W/m2)]])*24,"")</f>
        <v>12.666666666666668</v>
      </c>
      <c r="L186" s="37" t="s">
        <v>303</v>
      </c>
      <c r="M186" s="33" t="s">
        <v>299</v>
      </c>
      <c r="N186" s="33"/>
      <c r="O186" s="36"/>
      <c r="P186" s="38"/>
      <c r="Q186" s="37"/>
      <c r="R186" s="231">
        <f>IF((PA[[#This Row],[String Type(If String BD)]]&amp;PA[[#This Row],[Equipment (If any BD other than PV  array and inv)]])="",1,0)</f>
        <v>1</v>
      </c>
      <c r="S186" s="231">
        <f>IF(PA[[#This Row],[String Type(If String BD)]]="",1,0)</f>
        <v>1</v>
      </c>
      <c r="T18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86" s="233">
        <f>IFERROR(_xlfn.XLOOKUP(PA[[#This Row],[Affected Equipment ]],'Basic Data'!N:N,'Basic Data'!Q:Q),"")</f>
        <v>5104</v>
      </c>
      <c r="V186" s="237">
        <f ca="1">IFERROR(_xlfn.XLOOKUP(PA[[#This Row],[Affected Equipment ]],'Basic Data'!N:N,'Basic Data'!R:R),"")</f>
        <v>0.13017087477684264</v>
      </c>
      <c r="W186" s="38" t="s">
        <v>345</v>
      </c>
      <c r="X186" s="41"/>
      <c r="Y186" s="373" t="s">
        <v>770</v>
      </c>
      <c r="Z186" s="47">
        <v>0.71736111111111112</v>
      </c>
      <c r="AA186" s="47">
        <v>0.71736111111111112</v>
      </c>
      <c r="AB186" s="47">
        <v>0.71736111111111112</v>
      </c>
      <c r="AC186" s="47">
        <v>0.78125</v>
      </c>
      <c r="AD186" s="234">
        <f>IF(PA[[#This Row],[Acknowledgement Time ]]="NA","",(PA[[#This Row],[Acknowledgement Time ]]-PA[[#This Row],[Fault Time]])*24)</f>
        <v>0</v>
      </c>
      <c r="AE186" s="234">
        <f>IF(PA[[#This Row],[Work Start time on Fault]]="NA","",(PA[[#This Row],[Work Start time on Fault]]-PA[[#This Row],[Fault Time]])*24)</f>
        <v>0</v>
      </c>
      <c r="AF186" s="235">
        <f>IF(PA[[#This Row],[Status]]="Open","",(PA[[#This Row],[Work Completion time on fault]]-PA[[#This Row],[Fault Time]])*24)</f>
        <v>1.5333333333333332</v>
      </c>
      <c r="AG186" s="234">
        <f>IFERROR((PA[[#This Row],[Work Completion time on fault]]-PA[[#This Row],[Fault Time]])*24,"")</f>
        <v>1.5333333333333332</v>
      </c>
      <c r="AH186" s="374" t="s">
        <v>315</v>
      </c>
      <c r="AI186" s="33" t="s">
        <v>298</v>
      </c>
      <c r="AJ186" s="233">
        <f ca="1">IFERROR(PA[[#This Row],[Breakdown Time]]*PA[[#This Row],[Plant Equivalent Weightage]],"")</f>
        <v>0.19959534132449203</v>
      </c>
      <c r="AK186" s="38">
        <v>0.26717140299999997</v>
      </c>
      <c r="AL186" s="51">
        <f>IFERROR((_xlfn.XLOOKUP($G186,'Modelling New'!D:D,'Modelling New'!$O:$O)*PA[[#This Row],[Lost PoA(kWh/m2)]]*PA[[#This Row],[DC Capacity Affected (kW)]]),"")</f>
        <v>1127.7637424707559</v>
      </c>
      <c r="AM186" s="33"/>
      <c r="AN186" s="33"/>
      <c r="AO186" s="33">
        <v>4988</v>
      </c>
      <c r="AP186" s="375" t="s">
        <v>771</v>
      </c>
    </row>
    <row r="187" spans="1:42">
      <c r="A187" s="30">
        <f t="shared" si="0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219</v>
      </c>
      <c r="F187" s="33" t="s">
        <v>219</v>
      </c>
      <c r="G187" s="196">
        <f>PA[[#This Row],[Date]]-DAY(PA[[#This Row],[Date]])+1</f>
        <v>1</v>
      </c>
      <c r="H187" s="231">
        <f>DAY(EOMONTH(PA[[#This Row],[Month Year]],0))</f>
        <v>31</v>
      </c>
      <c r="I187" s="232"/>
      <c r="J187" s="232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31">
        <f>IF((PA[[#This Row],[String Type(If String BD)]]&amp;PA[[#This Row],[Equipment (If any BD other than PV  array and inv)]])="",1,0)</f>
        <v>1</v>
      </c>
      <c r="S187" s="231">
        <f>IF(PA[[#This Row],[String Type(If String BD)]]="",1,0)</f>
        <v>1</v>
      </c>
      <c r="T18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33" t="str">
        <f>IFERROR(_xlfn.XLOOKUP(PA[[#This Row],[Affected Equipment ]],'Basic Data'!N:N,'Basic Data'!Q:Q),"")</f>
        <v/>
      </c>
      <c r="V187" s="237" t="str">
        <f>IFERROR(_xlfn.XLOOKUP(PA[[#This Row],[Affected Equipment ]],'Basic Data'!N:N,'Basic Data'!R:R),"")</f>
        <v/>
      </c>
      <c r="W187" s="38"/>
      <c r="X187" s="41"/>
      <c r="Y187" s="347"/>
      <c r="Z187" s="47"/>
      <c r="AA187" s="47"/>
      <c r="AB187" s="47"/>
      <c r="AC187" s="47"/>
      <c r="AD187" s="234">
        <f>IF(PA[[#This Row],[Acknowledgement Time ]]="NA","",(PA[[#This Row],[Acknowledgement Time ]]-PA[[#This Row],[Fault Time]])*24)</f>
        <v>0</v>
      </c>
      <c r="AE187" s="234">
        <f>IF(PA[[#This Row],[Work Start time on Fault]]="NA","",(PA[[#This Row],[Work Start time on Fault]]-PA[[#This Row],[Fault Time]])*24)</f>
        <v>0</v>
      </c>
      <c r="AF187" s="235">
        <f>IF(PA[[#This Row],[Status]]="Open","",(PA[[#This Row],[Work Completion time on fault]]-PA[[#This Row],[Fault Time]])*24)</f>
        <v>0</v>
      </c>
      <c r="AG187" s="234">
        <f>IFERROR((PA[[#This Row],[Work Completion time on fault]]-PA[[#This Row],[Fault Time]])*24,"")</f>
        <v>0</v>
      </c>
      <c r="AH187" s="344"/>
      <c r="AI187" s="33"/>
      <c r="AJ187" s="233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219</v>
      </c>
      <c r="F188" s="33" t="s">
        <v>219</v>
      </c>
      <c r="G188" s="196">
        <f>PA[[#This Row],[Date]]-DAY(PA[[#This Row],[Date]])+1</f>
        <v>1</v>
      </c>
      <c r="H188" s="231">
        <f>DAY(EOMONTH(PA[[#This Row],[Month Year]],0))</f>
        <v>31</v>
      </c>
      <c r="I188" s="232"/>
      <c r="J188" s="232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31">
        <f>IF((PA[[#This Row],[String Type(If String BD)]]&amp;PA[[#This Row],[Equipment (If any BD other than PV  array and inv)]])="",1,0)</f>
        <v>1</v>
      </c>
      <c r="S188" s="231">
        <f>IF(PA[[#This Row],[String Type(If String BD)]]="",1,0)</f>
        <v>1</v>
      </c>
      <c r="T18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33" t="str">
        <f>IFERROR(_xlfn.XLOOKUP(PA[[#This Row],[Affected Equipment ]],'Basic Data'!N:N,'Basic Data'!Q:Q),"")</f>
        <v/>
      </c>
      <c r="V188" s="237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34">
        <f>IF(PA[[#This Row],[Acknowledgement Time ]]="NA","",(PA[[#This Row],[Acknowledgement Time ]]-PA[[#This Row],[Fault Time]])*24)</f>
        <v>0</v>
      </c>
      <c r="AE188" s="234">
        <f>IF(PA[[#This Row],[Work Start time on Fault]]="NA","",(PA[[#This Row],[Work Start time on Fault]]-PA[[#This Row],[Fault Time]])*24)</f>
        <v>0</v>
      </c>
      <c r="AF188" s="235">
        <f>IF(PA[[#This Row],[Status]]="Open","",(PA[[#This Row],[Work Completion time on fault]]-PA[[#This Row],[Fault Time]])*24)</f>
        <v>0</v>
      </c>
      <c r="AG188" s="234">
        <f>IFERROR((PA[[#This Row],[Work Completion time on fault]]-PA[[#This Row],[Fault Time]])*24,"")</f>
        <v>0</v>
      </c>
      <c r="AH188" s="344"/>
      <c r="AI188" s="33"/>
      <c r="AJ188" s="233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219</v>
      </c>
      <c r="F189" s="33" t="s">
        <v>219</v>
      </c>
      <c r="G189" s="196">
        <f>PA[[#This Row],[Date]]-DAY(PA[[#This Row],[Date]])+1</f>
        <v>1</v>
      </c>
      <c r="H189" s="32">
        <f>DAY(EOMONTH(PA[[#This Row],[Month Year]],0))</f>
        <v>31</v>
      </c>
      <c r="I189" s="232"/>
      <c r="J189" s="232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35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219</v>
      </c>
      <c r="F190" s="33" t="s">
        <v>219</v>
      </c>
      <c r="G190" s="196">
        <f>PA[[#This Row],[Date]]-DAY(PA[[#This Row],[Date]])+1</f>
        <v>1</v>
      </c>
      <c r="H190" s="32">
        <f>DAY(EOMONTH(PA[[#This Row],[Month Year]],0))</f>
        <v>31</v>
      </c>
      <c r="I190" s="232"/>
      <c r="J190" s="232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35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44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6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219</v>
      </c>
      <c r="F191" s="33" t="s">
        <v>219</v>
      </c>
      <c r="G191" s="196">
        <f>PA[[#This Row],[Date]]-DAY(PA[[#This Row],[Date]])+1</f>
        <v>1</v>
      </c>
      <c r="H191" s="32">
        <f>DAY(EOMONTH(PA[[#This Row],[Month Year]],0))</f>
        <v>31</v>
      </c>
      <c r="I191" s="232"/>
      <c r="J191" s="232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35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44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219</v>
      </c>
      <c r="F192" s="33" t="s">
        <v>219</v>
      </c>
      <c r="G192" s="196">
        <f>PA[[#This Row],[Date]]-DAY(PA[[#This Row],[Date]])+1</f>
        <v>1</v>
      </c>
      <c r="H192" s="231">
        <f>DAY(EOMONTH(PA[[#This Row],[Month Year]],0))</f>
        <v>31</v>
      </c>
      <c r="I192" s="232"/>
      <c r="J192" s="232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347"/>
      <c r="Z192" s="47"/>
      <c r="AA192" s="47"/>
      <c r="AB192" s="47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48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219</v>
      </c>
      <c r="F193" s="33" t="s">
        <v>219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35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44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219</v>
      </c>
      <c r="F194" s="33" t="s">
        <v>219</v>
      </c>
      <c r="G194" s="196">
        <f>PA[[#This Row],[Date]]-DAY(PA[[#This Row],[Date]])+1</f>
        <v>1</v>
      </c>
      <c r="H194" s="231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31">
        <f>IF((PA[[#This Row],[String Type(If String BD)]]&amp;PA[[#This Row],[Equipment (If any BD other than PV  array and inv)]])="",1,0)</f>
        <v>1</v>
      </c>
      <c r="S194" s="231">
        <f>IF(PA[[#This Row],[String Type(If String BD)]]="",1,0)</f>
        <v>1</v>
      </c>
      <c r="T19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33" t="str">
        <f>IFERROR(_xlfn.XLOOKUP(PA[[#This Row],[Affected Equipment ]],'Basic Data'!N:N,'Basic Data'!Q:Q),"")</f>
        <v/>
      </c>
      <c r="V194" s="237" t="str">
        <f>IFERROR(_xlfn.XLOOKUP(PA[[#This Row],[Affected Equipment ]],'Basic Data'!N:N,'Basic Data'!R:R),"")</f>
        <v/>
      </c>
      <c r="W194" s="36"/>
      <c r="X194" s="41"/>
      <c r="Y194" s="350"/>
      <c r="Z194" s="46"/>
      <c r="AA194" s="46"/>
      <c r="AB194" s="46"/>
      <c r="AC194" s="46"/>
      <c r="AD194" s="234">
        <f>IF(PA[[#This Row],[Acknowledgement Time ]]="NA","",(PA[[#This Row],[Acknowledgement Time ]]-PA[[#This Row],[Fault Time]])*24)</f>
        <v>0</v>
      </c>
      <c r="AE194" s="234">
        <f>IF(PA[[#This Row],[Work Start time on Fault]]="NA","",(PA[[#This Row],[Work Start time on Fault]]-PA[[#This Row],[Fault Time]])*24)</f>
        <v>0</v>
      </c>
      <c r="AF194" s="235">
        <f>IF(PA[[#This Row],[Status]]="Open","",(PA[[#This Row],[Work Completion time on fault]]-PA[[#This Row],[Fault Time]])*24)</f>
        <v>0</v>
      </c>
      <c r="AG194" s="234">
        <f>IFERROR((PA[[#This Row],[Work Completion time on fault]]-PA[[#This Row],[Fault Time]])*24,"")</f>
        <v>0</v>
      </c>
      <c r="AH194" s="344"/>
      <c r="AI194" s="33"/>
      <c r="AJ194" s="233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219</v>
      </c>
      <c r="F195" s="33" t="s">
        <v>219</v>
      </c>
      <c r="G195" s="196">
        <f>PA[[#This Row],[Date]]-DAY(PA[[#This Row],[Date]])+1</f>
        <v>1</v>
      </c>
      <c r="H195" s="231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31">
        <f>IF((PA[[#This Row],[String Type(If String BD)]]&amp;PA[[#This Row],[Equipment (If any BD other than PV  array and inv)]])="",1,0)</f>
        <v>1</v>
      </c>
      <c r="S195" s="231">
        <f>IF(PA[[#This Row],[String Type(If String BD)]]="",1,0)</f>
        <v>1</v>
      </c>
      <c r="T19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33" t="str">
        <f>IFERROR(_xlfn.XLOOKUP(PA[[#This Row],[Affected Equipment ]],'Basic Data'!N:N,'Basic Data'!Q:Q),"")</f>
        <v/>
      </c>
      <c r="V195" s="237" t="str">
        <f>IFERROR(_xlfn.XLOOKUP(PA[[#This Row],[Affected Equipment ]],'Basic Data'!N:N,'Basic Data'!R:R),"")</f>
        <v/>
      </c>
      <c r="W195" s="36"/>
      <c r="X195" s="41"/>
      <c r="Y195" s="350"/>
      <c r="Z195" s="46"/>
      <c r="AA195" s="46"/>
      <c r="AB195" s="46"/>
      <c r="AC195" s="46"/>
      <c r="AD195" s="234">
        <f>IF(PA[[#This Row],[Acknowledgement Time ]]="NA","",(PA[[#This Row],[Acknowledgement Time ]]-PA[[#This Row],[Fault Time]])*24)</f>
        <v>0</v>
      </c>
      <c r="AE195" s="234">
        <f>IF(PA[[#This Row],[Work Start time on Fault]]="NA","",(PA[[#This Row],[Work Start time on Fault]]-PA[[#This Row],[Fault Time]])*24)</f>
        <v>0</v>
      </c>
      <c r="AF195" s="235">
        <f>IF(PA[[#This Row],[Status]]="Open","",(PA[[#This Row],[Work Completion time on fault]]-PA[[#This Row],[Fault Time]])*24)</f>
        <v>0</v>
      </c>
      <c r="AG195" s="234">
        <f>IFERROR((PA[[#This Row],[Work Completion time on fault]]-PA[[#This Row],[Fault Time]])*24,"")</f>
        <v>0</v>
      </c>
      <c r="AH195" s="348"/>
      <c r="AI195" s="33"/>
      <c r="AJ195" s="233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219</v>
      </c>
      <c r="F196" s="33" t="s">
        <v>219</v>
      </c>
      <c r="G196" s="196">
        <f>PA[[#This Row],[Date]]-DAY(PA[[#This Row],[Date]])+1</f>
        <v>1</v>
      </c>
      <c r="H196" s="231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31">
        <f>IF((PA[[#This Row],[String Type(If String BD)]]&amp;PA[[#This Row],[Equipment (If any BD other than PV  array and inv)]])="",1,0)</f>
        <v>1</v>
      </c>
      <c r="S196" s="231">
        <f>IF(PA[[#This Row],[String Type(If String BD)]]="",1,0)</f>
        <v>1</v>
      </c>
      <c r="T19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33" t="str">
        <f>IFERROR(_xlfn.XLOOKUP(PA[[#This Row],[Affected Equipment ]],'Basic Data'!N:N,'Basic Data'!Q:Q),"")</f>
        <v/>
      </c>
      <c r="V196" s="237" t="str">
        <f>IFERROR(_xlfn.XLOOKUP(PA[[#This Row],[Affected Equipment ]],'Basic Data'!N:N,'Basic Data'!R:R),"")</f>
        <v/>
      </c>
      <c r="W196" s="38"/>
      <c r="X196" s="41"/>
      <c r="Y196" s="347"/>
      <c r="Z196" s="46"/>
      <c r="AA196" s="46"/>
      <c r="AB196" s="46"/>
      <c r="AC196" s="47"/>
      <c r="AD196" s="234">
        <f>IF(PA[[#This Row],[Acknowledgement Time ]]="NA","",(PA[[#This Row],[Acknowledgement Time ]]-PA[[#This Row],[Fault Time]])*24)</f>
        <v>0</v>
      </c>
      <c r="AE196" s="234">
        <f>IF(PA[[#This Row],[Work Start time on Fault]]="NA","",(PA[[#This Row],[Work Start time on Fault]]-PA[[#This Row],[Fault Time]])*24)</f>
        <v>0</v>
      </c>
      <c r="AF196" s="235">
        <f>IF(PA[[#This Row],[Status]]="Open","",(PA[[#This Row],[Work Completion time on fault]]-PA[[#This Row],[Fault Time]])*24)</f>
        <v>0</v>
      </c>
      <c r="AG196" s="234">
        <f>IFERROR((PA[[#This Row],[Work Completion time on fault]]-PA[[#This Row],[Fault Time]])*24,"")</f>
        <v>0</v>
      </c>
      <c r="AH196" s="348"/>
      <c r="AI196" s="33"/>
      <c r="AJ196" s="233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219</v>
      </c>
      <c r="F197" s="33" t="s">
        <v>219</v>
      </c>
      <c r="G197" s="196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36" t="str">
        <f>IFERROR(_xlfn.XLOOKUP(PA[[#This Row],[Affected Equipment ]],'Basic Data'!N:N,'Basic Data'!R:R),"")</f>
        <v/>
      </c>
      <c r="W197" s="36"/>
      <c r="X197" s="40"/>
      <c r="Y197" s="350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44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219</v>
      </c>
      <c r="F198" s="33" t="s">
        <v>219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5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44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219</v>
      </c>
      <c r="F199" s="33" t="s">
        <v>219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50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44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219</v>
      </c>
      <c r="F200" s="33" t="s">
        <v>219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350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44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219</v>
      </c>
      <c r="F201" s="33" t="s">
        <v>219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35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44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219</v>
      </c>
      <c r="F202" s="33" t="s">
        <v>219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35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219</v>
      </c>
      <c r="F203" s="33" t="s">
        <v>219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219</v>
      </c>
      <c r="F204" s="33" t="s">
        <v>219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6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219</v>
      </c>
      <c r="F205" s="33" t="s">
        <v>219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6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219</v>
      </c>
      <c r="F206" s="33" t="s">
        <v>219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219</v>
      </c>
      <c r="F207" s="33" t="s">
        <v>219</v>
      </c>
      <c r="G207" s="196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36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219</v>
      </c>
      <c r="F208" s="33" t="s">
        <v>219</v>
      </c>
      <c r="G208" s="196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36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219</v>
      </c>
      <c r="F209" s="33" t="s">
        <v>219</v>
      </c>
      <c r="G209" s="196">
        <f>PA[[#This Row],[Date]]-DAY(PA[[#This Row],[Date]])+1</f>
        <v>1</v>
      </c>
      <c r="H209" s="231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219</v>
      </c>
      <c r="F210" s="33" t="s">
        <v>219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219</v>
      </c>
      <c r="F211" s="33" t="s">
        <v>219</v>
      </c>
      <c r="G211" s="196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36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219</v>
      </c>
      <c r="F212" s="33" t="s">
        <v>219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219</v>
      </c>
      <c r="F213" s="33" t="s">
        <v>219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219</v>
      </c>
      <c r="F214" s="33" t="s">
        <v>219</v>
      </c>
      <c r="G214" s="196">
        <f>PA[[#This Row],[Date]]-DAY(PA[[#This Row],[Date]])+1</f>
        <v>1</v>
      </c>
      <c r="H214" s="231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31">
        <f>IF((PA[[#This Row],[String Type(If String BD)]]&amp;PA[[#This Row],[Equipment (If any BD other than PV  array and inv)]])="",1,0)</f>
        <v>1</v>
      </c>
      <c r="S214" s="231">
        <f>IF(PA[[#This Row],[String Type(If String BD)]]="",1,0)</f>
        <v>1</v>
      </c>
      <c r="T2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33" t="str">
        <f>IFERROR(_xlfn.XLOOKUP(PA[[#This Row],[Affected Equipment ]],'Basic Data'!N:N,'Basic Data'!Q:Q),"")</f>
        <v/>
      </c>
      <c r="V214" s="237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34">
        <f>IF(PA[[#This Row],[Acknowledgement Time ]]="NA","",(PA[[#This Row],[Acknowledgement Time ]]-PA[[#This Row],[Fault Time]])*24)</f>
        <v>0</v>
      </c>
      <c r="AE214" s="234">
        <f>IF(PA[[#This Row],[Work Start time on Fault]]="NA","",(PA[[#This Row],[Work Start time on Fault]]-PA[[#This Row],[Fault Time]])*24)</f>
        <v>0</v>
      </c>
      <c r="AF214" s="235">
        <f>IF(PA[[#This Row],[Status]]="Open","",(PA[[#This Row],[Work Completion time on fault]]-PA[[#This Row],[Fault Time]])*24)</f>
        <v>0</v>
      </c>
      <c r="AG214" s="234">
        <f>IFERROR((PA[[#This Row],[Work Completion time on fault]]-PA[[#This Row],[Fault Time]])*24,"")</f>
        <v>0</v>
      </c>
      <c r="AH214" s="36"/>
      <c r="AI214" s="33"/>
      <c r="AJ214" s="233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219</v>
      </c>
      <c r="F215" s="33" t="s">
        <v>219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350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44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219</v>
      </c>
      <c r="F216" s="33" t="s">
        <v>219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350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219</v>
      </c>
      <c r="F217" s="33" t="s">
        <v>219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219</v>
      </c>
      <c r="F218" s="33" t="s">
        <v>219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219</v>
      </c>
      <c r="F219" s="33" t="s">
        <v>219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219</v>
      </c>
      <c r="F220" s="33" t="s">
        <v>219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50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219</v>
      </c>
      <c r="F221" s="33" t="s">
        <v>219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44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219</v>
      </c>
      <c r="F222" s="33" t="s">
        <v>219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44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219</v>
      </c>
      <c r="F223" s="33" t="s">
        <v>219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44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6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219</v>
      </c>
      <c r="F224" s="33" t="s">
        <v>219</v>
      </c>
      <c r="G224" s="196">
        <f>PA[[#This Row],[Date]]-DAY(PA[[#This Row],[Date]])+1</f>
        <v>1</v>
      </c>
      <c r="H224" s="231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31">
        <f>IF((PA[[#This Row],[String Type(If String BD)]]&amp;PA[[#This Row],[Equipment (If any BD other than PV  array and inv)]])="",1,0)</f>
        <v>1</v>
      </c>
      <c r="S224" s="231">
        <f>IF(PA[[#This Row],[String Type(If String BD)]]="",1,0)</f>
        <v>1</v>
      </c>
      <c r="T2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33" t="str">
        <f>IFERROR(_xlfn.XLOOKUP(PA[[#This Row],[Affected Equipment ]],'Basic Data'!N:N,'Basic Data'!Q:Q),"")</f>
        <v/>
      </c>
      <c r="V224" s="237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34">
        <f>IF(PA[[#This Row],[Acknowledgement Time ]]="NA","",(PA[[#This Row],[Acknowledgement Time ]]-PA[[#This Row],[Fault Time]])*24)</f>
        <v>0</v>
      </c>
      <c r="AE224" s="234">
        <f>IF(PA[[#This Row],[Work Start time on Fault]]="NA","",(PA[[#This Row],[Work Start time on Fault]]-PA[[#This Row],[Fault Time]])*24)</f>
        <v>0</v>
      </c>
      <c r="AF224" s="235">
        <f>IF(PA[[#This Row],[Status]]="Open","",(PA[[#This Row],[Work Completion time on fault]]-PA[[#This Row],[Fault Time]])*24)</f>
        <v>0</v>
      </c>
      <c r="AG224" s="234">
        <f>IFERROR((PA[[#This Row],[Work Completion time on fault]]-PA[[#This Row],[Fault Time]])*24,"")</f>
        <v>0</v>
      </c>
      <c r="AH224" s="344"/>
      <c r="AI224" s="33"/>
      <c r="AJ224" s="233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219</v>
      </c>
      <c r="F225" s="33" t="s">
        <v>219</v>
      </c>
      <c r="G225" s="196">
        <f>PA[[#This Row],[Date]]-DAY(PA[[#This Row],[Date]])+1</f>
        <v>1</v>
      </c>
      <c r="H225" s="231">
        <f>DAY(EOMONTH(PA[[#This Row],[Month Year]],0))</f>
        <v>31</v>
      </c>
      <c r="I225" s="232"/>
      <c r="J225" s="232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6"/>
      <c r="X225" s="41"/>
      <c r="Y225" s="350"/>
      <c r="Z225" s="49"/>
      <c r="AA225" s="49"/>
      <c r="AB225" s="49"/>
      <c r="AC225" s="47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6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219</v>
      </c>
      <c r="F226" s="33" t="s">
        <v>219</v>
      </c>
      <c r="G226" s="196">
        <f>PA[[#This Row],[Date]]-DAY(PA[[#This Row],[Date]])+1</f>
        <v>1</v>
      </c>
      <c r="H226" s="231">
        <f>DAY(EOMONTH(PA[[#This Row],[Month Year]],0))</f>
        <v>31</v>
      </c>
      <c r="I226" s="232"/>
      <c r="J226" s="232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31">
        <f>IF((PA[[#This Row],[String Type(If String BD)]]&amp;PA[[#This Row],[Equipment (If any BD other than PV  array and inv)]])="",1,0)</f>
        <v>1</v>
      </c>
      <c r="S226" s="231">
        <f>IF(PA[[#This Row],[String Type(If String BD)]]="",1,0)</f>
        <v>1</v>
      </c>
      <c r="T22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33" t="str">
        <f>IFERROR(_xlfn.XLOOKUP(PA[[#This Row],[Affected Equipment ]],'Basic Data'!N:N,'Basic Data'!Q:Q),"")</f>
        <v/>
      </c>
      <c r="V226" s="237" t="str">
        <f>IFERROR(_xlfn.XLOOKUP(PA[[#This Row],[Affected Equipment ]],'Basic Data'!N:N,'Basic Data'!R:R),"")</f>
        <v/>
      </c>
      <c r="W226" s="36"/>
      <c r="X226" s="41"/>
      <c r="Y226" s="350"/>
      <c r="Z226" s="49"/>
      <c r="AA226" s="49"/>
      <c r="AB226" s="49"/>
      <c r="AC226" s="47"/>
      <c r="AD226" s="234">
        <f>IF(PA[[#This Row],[Acknowledgement Time ]]="NA","",(PA[[#This Row],[Acknowledgement Time ]]-PA[[#This Row],[Fault Time]])*24)</f>
        <v>0</v>
      </c>
      <c r="AE226" s="234">
        <f>IF(PA[[#This Row],[Work Start time on Fault]]="NA","",(PA[[#This Row],[Work Start time on Fault]]-PA[[#This Row],[Fault Time]])*24)</f>
        <v>0</v>
      </c>
      <c r="AF226" s="235">
        <f>IF(PA[[#This Row],[Status]]="Open","",(PA[[#This Row],[Work Completion time on fault]]-PA[[#This Row],[Fault Time]])*24)</f>
        <v>0</v>
      </c>
      <c r="AG226" s="234">
        <f>IFERROR((PA[[#This Row],[Work Completion time on fault]]-PA[[#This Row],[Fault Time]])*24,"")</f>
        <v>0</v>
      </c>
      <c r="AH226" s="36"/>
      <c r="AI226" s="33"/>
      <c r="AJ226" s="233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6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219</v>
      </c>
      <c r="F227" s="33" t="s">
        <v>219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350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6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219</v>
      </c>
      <c r="F228" s="33" t="s">
        <v>219</v>
      </c>
      <c r="G228" s="196">
        <f>PA[[#This Row],[Date]]-DAY(PA[[#This Row],[Date]])+1</f>
        <v>1</v>
      </c>
      <c r="H228" s="231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31">
        <f>IF((PA[[#This Row],[String Type(If String BD)]]&amp;PA[[#This Row],[Equipment (If any BD other than PV  array and inv)]])="",1,0)</f>
        <v>1</v>
      </c>
      <c r="S228" s="231">
        <f>IF(PA[[#This Row],[String Type(If String BD)]]="",1,0)</f>
        <v>1</v>
      </c>
      <c r="T2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33" t="str">
        <f>IFERROR(_xlfn.XLOOKUP(PA[[#This Row],[Affected Equipment ]],'Basic Data'!N:N,'Basic Data'!Q:Q),"")</f>
        <v/>
      </c>
      <c r="V228" s="237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34">
        <f>IF(PA[[#This Row],[Acknowledgement Time ]]="NA","",(PA[[#This Row],[Acknowledgement Time ]]-PA[[#This Row],[Fault Time]])*24)</f>
        <v>0</v>
      </c>
      <c r="AE228" s="234">
        <f>IF(PA[[#This Row],[Work Start time on Fault]]="NA","",(PA[[#This Row],[Work Start time on Fault]]-PA[[#This Row],[Fault Time]])*24)</f>
        <v>0</v>
      </c>
      <c r="AF228" s="235">
        <f>IF(PA[[#This Row],[Status]]="Open","",(PA[[#This Row],[Work Completion time on fault]]-PA[[#This Row],[Fault Time]])*24)</f>
        <v>0</v>
      </c>
      <c r="AG228" s="234">
        <f>IFERROR((PA[[#This Row],[Work Completion time on fault]]-PA[[#This Row],[Fault Time]])*24,"")</f>
        <v>0</v>
      </c>
      <c r="AH228" s="344"/>
      <c r="AI228" s="33"/>
      <c r="AJ228" s="233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6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219</v>
      </c>
      <c r="F229" s="33" t="s">
        <v>219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350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6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219</v>
      </c>
      <c r="F230" s="33" t="s">
        <v>219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44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219</v>
      </c>
      <c r="F231" s="33" t="s">
        <v>219</v>
      </c>
      <c r="G231" s="196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36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44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219</v>
      </c>
      <c r="F232" s="33" t="s">
        <v>219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6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219</v>
      </c>
      <c r="F233" s="33" t="s">
        <v>219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219</v>
      </c>
      <c r="F234" s="33" t="s">
        <v>219</v>
      </c>
      <c r="G234" s="196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36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6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219</v>
      </c>
      <c r="F235" s="33" t="s">
        <v>219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350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6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219</v>
      </c>
      <c r="F236" s="33" t="s">
        <v>219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350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219</v>
      </c>
      <c r="F237" s="33" t="s">
        <v>219</v>
      </c>
      <c r="G237" s="196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36" t="str">
        <f>IFERROR(_xlfn.XLOOKUP(PA[[#This Row],[Affected Equipment ]],'Basic Data'!N:N,'Basic Data'!R:R),"")</f>
        <v/>
      </c>
      <c r="W237" s="36"/>
      <c r="X237" s="40"/>
      <c r="Y237" s="350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219</v>
      </c>
      <c r="F238" s="33" t="s">
        <v>219</v>
      </c>
      <c r="G238" s="196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36" t="str">
        <f>IFERROR(_xlfn.XLOOKUP(PA[[#This Row],[Affected Equipment ]],'Basic Data'!N:N,'Basic Data'!R:R),"")</f>
        <v/>
      </c>
      <c r="W238" s="36"/>
      <c r="X238" s="40"/>
      <c r="Y238" s="350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6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219</v>
      </c>
      <c r="F239" s="33" t="s">
        <v>219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350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6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219</v>
      </c>
      <c r="F240" s="33" t="s">
        <v>219</v>
      </c>
      <c r="G240" s="196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36" t="str">
        <f>IFERROR(_xlfn.XLOOKUP(PA[[#This Row],[Affected Equipment ]],'Basic Data'!N:N,'Basic Data'!R:R),"")</f>
        <v/>
      </c>
      <c r="W240" s="36"/>
      <c r="X240" s="40"/>
      <c r="Y240" s="350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219</v>
      </c>
      <c r="F241" s="33" t="s">
        <v>219</v>
      </c>
      <c r="G241" s="196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36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6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219</v>
      </c>
      <c r="F242" s="33" t="s">
        <v>219</v>
      </c>
      <c r="G242" s="196">
        <f>PA[[#This Row],[Date]]-DAY(PA[[#This Row],[Date]])+1</f>
        <v>1</v>
      </c>
      <c r="H242" s="231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31">
        <f>IF((PA[[#This Row],[String Type(If String BD)]]&amp;PA[[#This Row],[Equipment (If any BD other than PV  array and inv)]])="",1,0)</f>
        <v>1</v>
      </c>
      <c r="S242" s="231">
        <f>IF(PA[[#This Row],[String Type(If String BD)]]="",1,0)</f>
        <v>1</v>
      </c>
      <c r="T2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33" t="str">
        <f>IFERROR(_xlfn.XLOOKUP(PA[[#This Row],[Affected Equipment ]],'Basic Data'!N:N,'Basic Data'!Q:Q),"")</f>
        <v/>
      </c>
      <c r="V242" s="237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34">
        <f>IF(PA[[#This Row],[Acknowledgement Time ]]="NA","",(PA[[#This Row],[Acknowledgement Time ]]-PA[[#This Row],[Fault Time]])*24)</f>
        <v>0</v>
      </c>
      <c r="AE242" s="234">
        <f>IF(PA[[#This Row],[Work Start time on Fault]]="NA","",(PA[[#This Row],[Work Start time on Fault]]-PA[[#This Row],[Fault Time]])*24)</f>
        <v>0</v>
      </c>
      <c r="AF242" s="235">
        <f>IF(PA[[#This Row],[Status]]="Open","",(PA[[#This Row],[Work Completion time on fault]]-PA[[#This Row],[Fault Time]])*24)</f>
        <v>0</v>
      </c>
      <c r="AG242" s="234">
        <f>IFERROR((PA[[#This Row],[Work Completion time on fault]]-PA[[#This Row],[Fault Time]])*24,"")</f>
        <v>0</v>
      </c>
      <c r="AH242" s="36"/>
      <c r="AI242" s="33"/>
      <c r="AJ242" s="233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219</v>
      </c>
      <c r="F243" s="33" t="s">
        <v>219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219</v>
      </c>
      <c r="F244" s="33" t="s">
        <v>219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219</v>
      </c>
      <c r="F245" s="33" t="s">
        <v>219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219</v>
      </c>
      <c r="F246" s="33" t="s">
        <v>219</v>
      </c>
      <c r="G246" s="196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36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219</v>
      </c>
      <c r="F247" s="33" t="s">
        <v>219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6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219</v>
      </c>
      <c r="F248" s="33" t="s">
        <v>219</v>
      </c>
      <c r="G248" s="196">
        <f>PA[[#This Row],[Date]]-DAY(PA[[#This Row],[Date]])+1</f>
        <v>1</v>
      </c>
      <c r="H248" s="231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31">
        <f>IF((PA[[#This Row],[String Type(If String BD)]]&amp;PA[[#This Row],[Equipment (If any BD other than PV  array and inv)]])="",1,0)</f>
        <v>1</v>
      </c>
      <c r="S248" s="231">
        <f>IF(PA[[#This Row],[String Type(If String BD)]]="",1,0)</f>
        <v>1</v>
      </c>
      <c r="T2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33" t="str">
        <f>IFERROR(_xlfn.XLOOKUP(PA[[#This Row],[Affected Equipment ]],'Basic Data'!N:N,'Basic Data'!Q:Q),"")</f>
        <v/>
      </c>
      <c r="V248" s="237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34">
        <f>IF(PA[[#This Row],[Acknowledgement Time ]]="NA","",(PA[[#This Row],[Acknowledgement Time ]]-PA[[#This Row],[Fault Time]])*24)</f>
        <v>0</v>
      </c>
      <c r="AE248" s="234">
        <f>IF(PA[[#This Row],[Work Start time on Fault]]="NA","",(PA[[#This Row],[Work Start time on Fault]]-PA[[#This Row],[Fault Time]])*24)</f>
        <v>0</v>
      </c>
      <c r="AF248" s="235">
        <f>IF(PA[[#This Row],[Status]]="Open","",(PA[[#This Row],[Work Completion time on fault]]-PA[[#This Row],[Fault Time]])*24)</f>
        <v>0</v>
      </c>
      <c r="AG248" s="234">
        <f>IFERROR((PA[[#This Row],[Work Completion time on fault]]-PA[[#This Row],[Fault Time]])*24,"")</f>
        <v>0</v>
      </c>
      <c r="AH248" s="36"/>
      <c r="AI248" s="33"/>
      <c r="AJ248" s="233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6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219</v>
      </c>
      <c r="F249" s="33" t="s">
        <v>219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219</v>
      </c>
      <c r="F250" s="33" t="s">
        <v>219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6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219</v>
      </c>
      <c r="F251" s="33" t="s">
        <v>219</v>
      </c>
      <c r="G251" s="196">
        <f>PA[[#This Row],[Date]]-DAY(PA[[#This Row],[Date]])+1</f>
        <v>1</v>
      </c>
      <c r="H251" s="231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31">
        <f>IF((PA[[#This Row],[String Type(If String BD)]]&amp;PA[[#This Row],[Equipment (If any BD other than PV  array and inv)]])="",1,0)</f>
        <v>1</v>
      </c>
      <c r="S251" s="231">
        <f>IF(PA[[#This Row],[String Type(If String BD)]]="",1,0)</f>
        <v>1</v>
      </c>
      <c r="T2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33" t="str">
        <f>IFERROR(_xlfn.XLOOKUP(PA[[#This Row],[Affected Equipment ]],'Basic Data'!N:N,'Basic Data'!Q:Q),"")</f>
        <v/>
      </c>
      <c r="V251" s="237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34">
        <f>IF(PA[[#This Row],[Acknowledgement Time ]]="NA","",(PA[[#This Row],[Acknowledgement Time ]]-PA[[#This Row],[Fault Time]])*24)</f>
        <v>0</v>
      </c>
      <c r="AE251" s="234">
        <f>IF(PA[[#This Row],[Work Start time on Fault]]="NA","",(PA[[#This Row],[Work Start time on Fault]]-PA[[#This Row],[Fault Time]])*24)</f>
        <v>0</v>
      </c>
      <c r="AF251" s="235">
        <f>IF(PA[[#This Row],[Status]]="Open","",(PA[[#This Row],[Work Completion time on fault]]-PA[[#This Row],[Fault Time]])*24)</f>
        <v>0</v>
      </c>
      <c r="AG251" s="234">
        <f>IFERROR((PA[[#This Row],[Work Completion time on fault]]-PA[[#This Row],[Fault Time]])*24,"")</f>
        <v>0</v>
      </c>
      <c r="AH251" s="36"/>
      <c r="AI251" s="33"/>
      <c r="AJ251" s="233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219</v>
      </c>
      <c r="F252" s="33" t="s">
        <v>219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219</v>
      </c>
      <c r="F253" s="33" t="s">
        <v>219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6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219</v>
      </c>
      <c r="F254" s="33" t="s">
        <v>219</v>
      </c>
      <c r="G254" s="196">
        <f>PA[[#This Row],[Date]]-DAY(PA[[#This Row],[Date]])+1</f>
        <v>1</v>
      </c>
      <c r="H254" s="231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31">
        <f>IF((PA[[#This Row],[String Type(If String BD)]]&amp;PA[[#This Row],[Equipment (If any BD other than PV  array and inv)]])="",1,0)</f>
        <v>1</v>
      </c>
      <c r="S254" s="231">
        <f>IF(PA[[#This Row],[String Type(If String BD)]]="",1,0)</f>
        <v>1</v>
      </c>
      <c r="T2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33" t="str">
        <f>IFERROR(_xlfn.XLOOKUP(PA[[#This Row],[Affected Equipment ]],'Basic Data'!N:N,'Basic Data'!Q:Q),"")</f>
        <v/>
      </c>
      <c r="V254" s="237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34">
        <f>IF(PA[[#This Row],[Acknowledgement Time ]]="NA","",(PA[[#This Row],[Acknowledgement Time ]]-PA[[#This Row],[Fault Time]])*24)</f>
        <v>0</v>
      </c>
      <c r="AE254" s="234">
        <f>IF(PA[[#This Row],[Work Start time on Fault]]="NA","",(PA[[#This Row],[Work Start time on Fault]]-PA[[#This Row],[Fault Time]])*24)</f>
        <v>0</v>
      </c>
      <c r="AF254" s="235">
        <f>IF(PA[[#This Row],[Status]]="Open","",(PA[[#This Row],[Work Completion time on fault]]-PA[[#This Row],[Fault Time]])*24)</f>
        <v>0</v>
      </c>
      <c r="AG254" s="234">
        <f>IFERROR((PA[[#This Row],[Work Completion time on fault]]-PA[[#This Row],[Fault Time]])*24,"")</f>
        <v>0</v>
      </c>
      <c r="AH254" s="36"/>
      <c r="AI254" s="33"/>
      <c r="AJ254" s="233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6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219</v>
      </c>
      <c r="F255" s="33" t="s">
        <v>219</v>
      </c>
      <c r="G255" s="196">
        <f>PA[[#This Row],[Date]]-DAY(PA[[#This Row],[Date]])+1</f>
        <v>1</v>
      </c>
      <c r="H255" s="231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31">
        <f>IF((PA[[#This Row],[String Type(If String BD)]]&amp;PA[[#This Row],[Equipment (If any BD other than PV  array and inv)]])="",1,0)</f>
        <v>1</v>
      </c>
      <c r="S255" s="231">
        <f>IF(PA[[#This Row],[String Type(If String BD)]]="",1,0)</f>
        <v>1</v>
      </c>
      <c r="T2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33" t="str">
        <f>IFERROR(_xlfn.XLOOKUP(PA[[#This Row],[Affected Equipment ]],'Basic Data'!N:N,'Basic Data'!Q:Q),"")</f>
        <v/>
      </c>
      <c r="V255" s="237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34">
        <f>IF(PA[[#This Row],[Acknowledgement Time ]]="NA","",(PA[[#This Row],[Acknowledgement Time ]]-PA[[#This Row],[Fault Time]])*24)</f>
        <v>0</v>
      </c>
      <c r="AE255" s="234">
        <f>IF(PA[[#This Row],[Work Start time on Fault]]="NA","",(PA[[#This Row],[Work Start time on Fault]]-PA[[#This Row],[Fault Time]])*24)</f>
        <v>0</v>
      </c>
      <c r="AF255" s="235">
        <f>IF(PA[[#This Row],[Status]]="Open","",(PA[[#This Row],[Work Completion time on fault]]-PA[[#This Row],[Fault Time]])*24)</f>
        <v>0</v>
      </c>
      <c r="AG255" s="234">
        <f>IFERROR((PA[[#This Row],[Work Completion time on fault]]-PA[[#This Row],[Fault Time]])*24,"")</f>
        <v>0</v>
      </c>
      <c r="AH255" s="344"/>
      <c r="AI255" s="33"/>
      <c r="AJ255" s="233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219</v>
      </c>
      <c r="F256" s="33" t="s">
        <v>219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6"/>
      <c r="C257" s="240">
        <f>YEAR(PA[[#This Row],[Date]])+IF(MONTH(PA[[#This Row],[Date]])&gt;=4,1,0)</f>
        <v>1900</v>
      </c>
      <c r="D257" s="240">
        <f>YEAR(PA[[#This Row],[Date]])</f>
        <v>1900</v>
      </c>
      <c r="E257" s="33" t="s">
        <v>219</v>
      </c>
      <c r="F257" s="33" t="s">
        <v>219</v>
      </c>
      <c r="G257" s="196">
        <f>PA[[#This Row],[Date]]-DAY(PA[[#This Row],[Date]])+1</f>
        <v>1</v>
      </c>
      <c r="H257" s="231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31">
        <f>IF((PA[[#This Row],[String Type(If String BD)]]&amp;PA[[#This Row],[Equipment (If any BD other than PV  array and inv)]])="",1,0)</f>
        <v>1</v>
      </c>
      <c r="S257" s="231">
        <f>IF(PA[[#This Row],[String Type(If String BD)]]="",1,0)</f>
        <v>1</v>
      </c>
      <c r="T2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33" t="str">
        <f>IFERROR(_xlfn.XLOOKUP(PA[[#This Row],[Affected Equipment ]],'Basic Data'!N:N,'Basic Data'!Q:Q),"")</f>
        <v/>
      </c>
      <c r="V257" s="237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34">
        <f>IF(PA[[#This Row],[Acknowledgement Time ]]="NA","",(PA[[#This Row],[Acknowledgement Time ]]-PA[[#This Row],[Fault Time]])*24)</f>
        <v>0</v>
      </c>
      <c r="AE257" s="234">
        <f>IF(PA[[#This Row],[Work Start time on Fault]]="NA","",(PA[[#This Row],[Work Start time on Fault]]-PA[[#This Row],[Fault Time]])*24)</f>
        <v>0</v>
      </c>
      <c r="AF257" s="235">
        <f>IF(PA[[#This Row],[Status]]="Open","",(PA[[#This Row],[Work Completion time on fault]]-PA[[#This Row],[Fault Time]])*24)</f>
        <v>0</v>
      </c>
      <c r="AG257" s="234">
        <f>IFERROR((PA[[#This Row],[Work Completion time on fault]]-PA[[#This Row],[Fault Time]])*24,"")</f>
        <v>0</v>
      </c>
      <c r="AH257" s="36"/>
      <c r="AI257" s="33"/>
      <c r="AJ257" s="233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6"/>
      <c r="C258" s="240">
        <f>YEAR(PA[[#This Row],[Date]])+IF(MONTH(PA[[#This Row],[Date]])&gt;=4,1,0)</f>
        <v>1900</v>
      </c>
      <c r="D258" s="240">
        <f>YEAR(PA[[#This Row],[Date]])</f>
        <v>1900</v>
      </c>
      <c r="E258" s="33" t="s">
        <v>219</v>
      </c>
      <c r="F258" s="33" t="s">
        <v>219</v>
      </c>
      <c r="G258" s="196">
        <f>PA[[#This Row],[Date]]-DAY(PA[[#This Row],[Date]])+1</f>
        <v>1</v>
      </c>
      <c r="H258" s="231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31">
        <f>IF((PA[[#This Row],[String Type(If String BD)]]&amp;PA[[#This Row],[Equipment (If any BD other than PV  array and inv)]])="",1,0)</f>
        <v>1</v>
      </c>
      <c r="S258" s="231">
        <f>IF(PA[[#This Row],[String Type(If String BD)]]="",1,0)</f>
        <v>1</v>
      </c>
      <c r="T2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33" t="str">
        <f>IFERROR(_xlfn.XLOOKUP(PA[[#This Row],[Affected Equipment ]],'Basic Data'!N:N,'Basic Data'!Q:Q),"")</f>
        <v/>
      </c>
      <c r="V258" s="237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34">
        <f>IF(PA[[#This Row],[Acknowledgement Time ]]="NA","",(PA[[#This Row],[Acknowledgement Time ]]-PA[[#This Row],[Fault Time]])*24)</f>
        <v>0</v>
      </c>
      <c r="AE258" s="234">
        <f>IF(PA[[#This Row],[Work Start time on Fault]]="NA","",(PA[[#This Row],[Work Start time on Fault]]-PA[[#This Row],[Fault Time]])*24)</f>
        <v>0</v>
      </c>
      <c r="AF258" s="235">
        <f>IF(PA[[#This Row],[Status]]="Open","",(PA[[#This Row],[Work Completion time on fault]]-PA[[#This Row],[Fault Time]])*24)</f>
        <v>0</v>
      </c>
      <c r="AG258" s="234">
        <f>IFERROR((PA[[#This Row],[Work Completion time on fault]]-PA[[#This Row],[Fault Time]])*24,"")</f>
        <v>0</v>
      </c>
      <c r="AH258" s="36"/>
      <c r="AI258" s="33"/>
      <c r="AJ258" s="233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219</v>
      </c>
      <c r="F259" s="33" t="s">
        <v>219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219</v>
      </c>
      <c r="F260" s="33" t="s">
        <v>219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6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219</v>
      </c>
      <c r="F261" s="33" t="s">
        <v>219</v>
      </c>
      <c r="G261" s="196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6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219</v>
      </c>
      <c r="F262" s="33" t="s">
        <v>219</v>
      </c>
      <c r="G262" s="196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6"/>
      <c r="C263" s="240">
        <f>YEAR(PA[[#This Row],[Date]])+IF(MONTH(PA[[#This Row],[Date]])&gt;=4,1,0)</f>
        <v>1900</v>
      </c>
      <c r="D263" s="240">
        <f>YEAR(PA[[#This Row],[Date]])</f>
        <v>1900</v>
      </c>
      <c r="E263" s="33" t="s">
        <v>219</v>
      </c>
      <c r="F263" s="33" t="s">
        <v>219</v>
      </c>
      <c r="G263" s="196">
        <f>PA[[#This Row],[Date]]-DAY(PA[[#This Row],[Date]])+1</f>
        <v>1</v>
      </c>
      <c r="H263" s="231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31">
        <f>IF((PA[[#This Row],[String Type(If String BD)]]&amp;PA[[#This Row],[Equipment (If any BD other than PV  array and inv)]])="",1,0)</f>
        <v>1</v>
      </c>
      <c r="S263" s="231">
        <f>IF(PA[[#This Row],[String Type(If String BD)]]="",1,0)</f>
        <v>1</v>
      </c>
      <c r="T2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33" t="str">
        <f>IFERROR(_xlfn.XLOOKUP(PA[[#This Row],[Affected Equipment ]],'Basic Data'!N:N,'Basic Data'!Q:Q),"")</f>
        <v/>
      </c>
      <c r="V263" s="237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34">
        <f>IF(PA[[#This Row],[Acknowledgement Time ]]="NA","",(PA[[#This Row],[Acknowledgement Time ]]-PA[[#This Row],[Fault Time]])*24)</f>
        <v>0</v>
      </c>
      <c r="AE263" s="234">
        <f>IF(PA[[#This Row],[Work Start time on Fault]]="NA","",(PA[[#This Row],[Work Start time on Fault]]-PA[[#This Row],[Fault Time]])*24)</f>
        <v>0</v>
      </c>
      <c r="AF263" s="235">
        <f>IF(PA[[#This Row],[Status]]="Open","",(PA[[#This Row],[Work Completion time on fault]]-PA[[#This Row],[Fault Time]])*24)</f>
        <v>0</v>
      </c>
      <c r="AG263" s="234">
        <f>IFERROR((PA[[#This Row],[Work Completion time on fault]]-PA[[#This Row],[Fault Time]])*24,"")</f>
        <v>0</v>
      </c>
      <c r="AH263" s="36"/>
      <c r="AI263" s="33"/>
      <c r="AJ263" s="233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6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219</v>
      </c>
      <c r="F264" s="33" t="s">
        <v>219</v>
      </c>
      <c r="G264" s="196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6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219</v>
      </c>
      <c r="F265" s="33" t="s">
        <v>219</v>
      </c>
      <c r="G265" s="196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6"/>
      <c r="C266" s="241">
        <f>YEAR(PA[[#This Row],[Date]])+IF(MONTH(PA[[#This Row],[Date]])&gt;=4,1,0)</f>
        <v>1900</v>
      </c>
      <c r="D266" s="241">
        <f>YEAR(PA[[#This Row],[Date]])</f>
        <v>1900</v>
      </c>
      <c r="E266" s="33" t="s">
        <v>219</v>
      </c>
      <c r="F266" s="33" t="s">
        <v>219</v>
      </c>
      <c r="G266" s="196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36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44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3" t="s">
        <v>219</v>
      </c>
      <c r="F267" s="33" t="s">
        <v>219</v>
      </c>
      <c r="G267" s="196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3" t="s">
        <v>219</v>
      </c>
      <c r="F268" s="33" t="s">
        <v>219</v>
      </c>
      <c r="G268" s="196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3" t="s">
        <v>219</v>
      </c>
      <c r="F269" s="33" t="s">
        <v>219</v>
      </c>
      <c r="G269" s="196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3" t="s">
        <v>219</v>
      </c>
      <c r="F270" s="33" t="s">
        <v>219</v>
      </c>
      <c r="G270" s="196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3" t="s">
        <v>219</v>
      </c>
      <c r="F271" s="33" t="s">
        <v>219</v>
      </c>
      <c r="G271" s="196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3" t="s">
        <v>219</v>
      </c>
      <c r="F272" s="33" t="s">
        <v>219</v>
      </c>
      <c r="G272" s="196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3" t="s">
        <v>219</v>
      </c>
      <c r="F273" s="33" t="s">
        <v>219</v>
      </c>
      <c r="G273" s="196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3" t="s">
        <v>219</v>
      </c>
      <c r="F274" s="33" t="s">
        <v>219</v>
      </c>
      <c r="G274" s="196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3" t="s">
        <v>219</v>
      </c>
      <c r="F275" s="33" t="s">
        <v>219</v>
      </c>
      <c r="G275" s="196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3" t="s">
        <v>219</v>
      </c>
      <c r="F276" s="33" t="s">
        <v>219</v>
      </c>
      <c r="G276" s="196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3" t="s">
        <v>219</v>
      </c>
      <c r="F277" s="33" t="s">
        <v>219</v>
      </c>
      <c r="G277" s="196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41">
        <f>YEAR(PA[[#This Row],[Date]])+IF(MONTH(PA[[#This Row],[Date]])&gt;=4,1,0)</f>
        <v>1900</v>
      </c>
      <c r="D278" s="241">
        <f>YEAR(PA[[#This Row],[Date]])</f>
        <v>1900</v>
      </c>
      <c r="E278" s="33" t="s">
        <v>219</v>
      </c>
      <c r="F278" s="33" t="s">
        <v>219</v>
      </c>
      <c r="G278" s="274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41">
        <f>YEAR(PA[[#This Row],[Date]])+IF(MONTH(PA[[#This Row],[Date]])&gt;=4,1,0)</f>
        <v>1900</v>
      </c>
      <c r="D279" s="241">
        <f>YEAR(PA[[#This Row],[Date]])</f>
        <v>1900</v>
      </c>
      <c r="E279" s="33" t="s">
        <v>219</v>
      </c>
      <c r="F279" s="33" t="s">
        <v>219</v>
      </c>
      <c r="G279" s="274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41">
        <f>YEAR(PA[[#This Row],[Date]])+IF(MONTH(PA[[#This Row],[Date]])&gt;=4,1,0)</f>
        <v>1900</v>
      </c>
      <c r="D280" s="241">
        <f>YEAR(PA[[#This Row],[Date]])</f>
        <v>1900</v>
      </c>
      <c r="E280" s="33" t="s">
        <v>219</v>
      </c>
      <c r="F280" s="33" t="s">
        <v>219</v>
      </c>
      <c r="G280" s="274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36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41">
        <f>YEAR(PA[[#This Row],[Date]])+IF(MONTH(PA[[#This Row],[Date]])&gt;=4,1,0)</f>
        <v>1900</v>
      </c>
      <c r="D281" s="241">
        <f>YEAR(PA[[#This Row],[Date]])</f>
        <v>1900</v>
      </c>
      <c r="E281" s="33" t="s">
        <v>219</v>
      </c>
      <c r="F281" s="33" t="s">
        <v>219</v>
      </c>
      <c r="G281" s="274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41">
        <f>YEAR(PA[[#This Row],[Date]])+IF(MONTH(PA[[#This Row],[Date]])&gt;=4,1,0)</f>
        <v>1900</v>
      </c>
      <c r="D282" s="241">
        <f>YEAR(PA[[#This Row],[Date]])</f>
        <v>1900</v>
      </c>
      <c r="E282" s="33" t="s">
        <v>219</v>
      </c>
      <c r="F282" s="33" t="s">
        <v>219</v>
      </c>
      <c r="G282" s="274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6"/>
      <c r="C283" s="240">
        <f>YEAR(PA[[#This Row],[Date]])+IF(MONTH(PA[[#This Row],[Date]])&gt;=4,1,0)</f>
        <v>1900</v>
      </c>
      <c r="D283" s="240">
        <f>YEAR(PA[[#This Row],[Date]])</f>
        <v>1900</v>
      </c>
      <c r="E283" s="37" t="s">
        <v>219</v>
      </c>
      <c r="F283" s="37" t="s">
        <v>219</v>
      </c>
      <c r="G283" s="275">
        <f>PA[[#This Row],[Date]]-DAY(PA[[#This Row],[Date]])+1</f>
        <v>1</v>
      </c>
      <c r="H283" s="231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31">
        <f>IF((PA[[#This Row],[String Type(If String BD)]]&amp;PA[[#This Row],[Equipment (If any BD other than PV  array and inv)]])="",1,0)</f>
        <v>1</v>
      </c>
      <c r="S283" s="231">
        <f>IF(PA[[#This Row],[String Type(If String BD)]]="",1,0)</f>
        <v>1</v>
      </c>
      <c r="T28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33" t="str">
        <f>IFERROR(_xlfn.XLOOKUP(PA[[#This Row],[Affected Equipment ]],'Basic Data'!N:N,'Basic Data'!Q:Q),"")</f>
        <v/>
      </c>
      <c r="V283" s="237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34">
        <f>IF(PA[[#This Row],[Acknowledgement Time ]]="NA","",(PA[[#This Row],[Acknowledgement Time ]]-PA[[#This Row],[Fault Time]])*24)</f>
        <v>0</v>
      </c>
      <c r="AE283" s="234">
        <f>IF(PA[[#This Row],[Work Start time on Fault]]="NA","",(PA[[#This Row],[Work Start time on Fault]]-PA[[#This Row],[Fault Time]])*24)</f>
        <v>0</v>
      </c>
      <c r="AF283" s="235">
        <f>IF(PA[[#This Row],[Status]]="Open","",(PA[[#This Row],[Work Completion time on fault]]-PA[[#This Row],[Fault Time]])*24)</f>
        <v>0</v>
      </c>
      <c r="AG283" s="234">
        <f>IFERROR((PA[[#This Row],[Work Completion time on fault]]-PA[[#This Row],[Fault Time]])*24,"")</f>
        <v>0</v>
      </c>
      <c r="AH283" s="36"/>
      <c r="AI283" s="33"/>
      <c r="AJ283" s="233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219</v>
      </c>
      <c r="F284" s="37" t="s">
        <v>219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219</v>
      </c>
      <c r="F285" s="37" t="s">
        <v>219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219</v>
      </c>
      <c r="F286" s="37" t="s">
        <v>219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219</v>
      </c>
      <c r="F287" s="37" t="s">
        <v>219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219</v>
      </c>
      <c r="F288" s="37" t="s">
        <v>219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219</v>
      </c>
      <c r="F289" s="37" t="s">
        <v>219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219</v>
      </c>
      <c r="F290" s="37" t="s">
        <v>219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219</v>
      </c>
      <c r="F291" s="37" t="s">
        <v>219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6"/>
      <c r="C292" s="241">
        <f>YEAR(PA[[#This Row],[Date]])+IF(MONTH(PA[[#This Row],[Date]])&gt;=4,1,0)</f>
        <v>1900</v>
      </c>
      <c r="D292" s="241">
        <f>YEAR(PA[[#This Row],[Date]])</f>
        <v>1900</v>
      </c>
      <c r="E292" s="37" t="s">
        <v>219</v>
      </c>
      <c r="F292" s="37" t="s">
        <v>219</v>
      </c>
      <c r="G292" s="275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36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219</v>
      </c>
      <c r="F293" s="37" t="s">
        <v>219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219</v>
      </c>
      <c r="F294" s="37" t="s">
        <v>219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219</v>
      </c>
      <c r="F295" s="37" t="s">
        <v>219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219</v>
      </c>
      <c r="F296" s="37" t="s">
        <v>219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6"/>
      <c r="C297" s="240">
        <f>YEAR(PA[[#This Row],[Date]])+IF(MONTH(PA[[#This Row],[Date]])&gt;=4,1,0)</f>
        <v>1900</v>
      </c>
      <c r="D297" s="240">
        <f>YEAR(PA[[#This Row],[Date]])</f>
        <v>1900</v>
      </c>
      <c r="E297" s="37" t="s">
        <v>219</v>
      </c>
      <c r="F297" s="37" t="s">
        <v>219</v>
      </c>
      <c r="G297" s="275">
        <f>PA[[#This Row],[Date]]-DAY(PA[[#This Row],[Date]])+1</f>
        <v>1</v>
      </c>
      <c r="H297" s="231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31">
        <f>IF((PA[[#This Row],[String Type(If String BD)]]&amp;PA[[#This Row],[Equipment (If any BD other than PV  array and inv)]])="",1,0)</f>
        <v>1</v>
      </c>
      <c r="S297" s="231">
        <f>IF(PA[[#This Row],[String Type(If String BD)]]="",1,0)</f>
        <v>1</v>
      </c>
      <c r="T2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33" t="str">
        <f>IFERROR(_xlfn.XLOOKUP(PA[[#This Row],[Affected Equipment ]],'Basic Data'!N:N,'Basic Data'!Q:Q),"")</f>
        <v/>
      </c>
      <c r="V297" s="237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34">
        <f>IF(PA[[#This Row],[Acknowledgement Time ]]="NA","",(PA[[#This Row],[Acknowledgement Time ]]-PA[[#This Row],[Fault Time]])*24)</f>
        <v>0</v>
      </c>
      <c r="AE297" s="234">
        <f>IF(PA[[#This Row],[Work Start time on Fault]]="NA","",(PA[[#This Row],[Work Start time on Fault]]-PA[[#This Row],[Fault Time]])*24)</f>
        <v>0</v>
      </c>
      <c r="AF297" s="235">
        <f>IF(PA[[#This Row],[Status]]="Open","",(PA[[#This Row],[Work Completion time on fault]]-PA[[#This Row],[Fault Time]])*24)</f>
        <v>0</v>
      </c>
      <c r="AG297" s="234">
        <f>IFERROR((PA[[#This Row],[Work Completion time on fault]]-PA[[#This Row],[Fault Time]])*24,"")</f>
        <v>0</v>
      </c>
      <c r="AH297" s="36"/>
      <c r="AI297" s="33"/>
      <c r="AJ297" s="233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219</v>
      </c>
      <c r="F298" s="37" t="s">
        <v>219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219</v>
      </c>
      <c r="F299" s="37" t="s">
        <v>219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219</v>
      </c>
      <c r="F300" s="37" t="s">
        <v>219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6"/>
      <c r="C301" s="241">
        <f>YEAR(PA[[#This Row],[Date]])+IF(MONTH(PA[[#This Row],[Date]])&gt;=4,1,0)</f>
        <v>1900</v>
      </c>
      <c r="D301" s="241">
        <f>YEAR(PA[[#This Row],[Date]])</f>
        <v>1900</v>
      </c>
      <c r="E301" s="37" t="s">
        <v>219</v>
      </c>
      <c r="F301" s="37" t="s">
        <v>219</v>
      </c>
      <c r="G301" s="275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36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219</v>
      </c>
      <c r="F302" s="37" t="s">
        <v>219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219</v>
      </c>
      <c r="F303" s="37" t="s">
        <v>219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6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219</v>
      </c>
      <c r="F304" s="37" t="s">
        <v>219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6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219</v>
      </c>
      <c r="F305" s="37" t="s">
        <v>219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6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219</v>
      </c>
      <c r="F306" s="37" t="s">
        <v>219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6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219</v>
      </c>
      <c r="F307" s="37" t="s">
        <v>219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6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219</v>
      </c>
      <c r="F308" s="37" t="s">
        <v>219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6"/>
      <c r="C309" s="240">
        <f>YEAR(PA[[#This Row],[Date]])+IF(MONTH(PA[[#This Row],[Date]])&gt;=4,1,0)</f>
        <v>1900</v>
      </c>
      <c r="D309" s="240">
        <f>YEAR(PA[[#This Row],[Date]])</f>
        <v>1900</v>
      </c>
      <c r="E309" s="37" t="s">
        <v>219</v>
      </c>
      <c r="F309" s="37" t="s">
        <v>219</v>
      </c>
      <c r="G309" s="275">
        <f>PA[[#This Row],[Date]]-DAY(PA[[#This Row],[Date]])+1</f>
        <v>1</v>
      </c>
      <c r="H309" s="231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31">
        <f>IF((PA[[#This Row],[String Type(If String BD)]]&amp;PA[[#This Row],[Equipment (If any BD other than PV  array and inv)]])="",1,0)</f>
        <v>1</v>
      </c>
      <c r="S309" s="231">
        <f>IF(PA[[#This Row],[String Type(If String BD)]]="",1,0)</f>
        <v>1</v>
      </c>
      <c r="T3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33" t="str">
        <f>IFERROR(_xlfn.XLOOKUP(PA[[#This Row],[Affected Equipment ]],'Basic Data'!N:N,'Basic Data'!Q:Q),"")</f>
        <v/>
      </c>
      <c r="V309" s="237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34">
        <f>IF(PA[[#This Row],[Acknowledgement Time ]]="NA","",(PA[[#This Row],[Acknowledgement Time ]]-PA[[#This Row],[Fault Time]])*24)</f>
        <v>0</v>
      </c>
      <c r="AE309" s="234">
        <f>IF(PA[[#This Row],[Work Start time on Fault]]="NA","",(PA[[#This Row],[Work Start time on Fault]]-PA[[#This Row],[Fault Time]])*24)</f>
        <v>0</v>
      </c>
      <c r="AF309" s="235">
        <f>IF(PA[[#This Row],[Status]]="Open","",(PA[[#This Row],[Work Completion time on fault]]-PA[[#This Row],[Fault Time]])*24)</f>
        <v>0</v>
      </c>
      <c r="AG309" s="234">
        <f>IFERROR((PA[[#This Row],[Work Completion time on fault]]-PA[[#This Row],[Fault Time]])*24,"")</f>
        <v>0</v>
      </c>
      <c r="AH309" s="36"/>
      <c r="AI309" s="33"/>
      <c r="AJ309" s="233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6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219</v>
      </c>
      <c r="F310" s="37" t="s">
        <v>219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6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219</v>
      </c>
      <c r="F311" s="37" t="s">
        <v>219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6"/>
      <c r="C312" s="241">
        <f>YEAR(PA[[#This Row],[Date]])+IF(MONTH(PA[[#This Row],[Date]])&gt;=4,1,0)</f>
        <v>1900</v>
      </c>
      <c r="D312" s="241">
        <f>YEAR(PA[[#This Row],[Date]])</f>
        <v>1900</v>
      </c>
      <c r="E312" s="37" t="s">
        <v>219</v>
      </c>
      <c r="F312" s="37" t="s">
        <v>219</v>
      </c>
      <c r="G312" s="275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36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6"/>
      <c r="C313" s="241">
        <f>YEAR(PA[[#This Row],[Date]])+IF(MONTH(PA[[#This Row],[Date]])&gt;=4,1,0)</f>
        <v>1900</v>
      </c>
      <c r="D313" s="241">
        <f>YEAR(PA[[#This Row],[Date]])</f>
        <v>1900</v>
      </c>
      <c r="E313" s="37" t="s">
        <v>219</v>
      </c>
      <c r="F313" s="37" t="s">
        <v>219</v>
      </c>
      <c r="G313" s="275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36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6"/>
      <c r="C314" s="241">
        <f>YEAR(PA[[#This Row],[Date]])+IF(MONTH(PA[[#This Row],[Date]])&gt;=4,1,0)</f>
        <v>1900</v>
      </c>
      <c r="D314" s="241">
        <f>YEAR(PA[[#This Row],[Date]])</f>
        <v>1900</v>
      </c>
      <c r="E314" s="37" t="s">
        <v>219</v>
      </c>
      <c r="F314" s="37" t="s">
        <v>219</v>
      </c>
      <c r="G314" s="275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36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219</v>
      </c>
      <c r="F315" s="37" t="s">
        <v>219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219</v>
      </c>
      <c r="F316" s="37" t="s">
        <v>219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219</v>
      </c>
      <c r="F317" s="37" t="s">
        <v>219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219</v>
      </c>
      <c r="F318" s="37" t="s">
        <v>219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6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6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219</v>
      </c>
      <c r="F319" s="37" t="s">
        <v>219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44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6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219</v>
      </c>
      <c r="F320" s="37" t="s">
        <v>219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350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219</v>
      </c>
      <c r="F321" s="37" t="s">
        <v>219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350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219</v>
      </c>
      <c r="F322" s="37" t="s">
        <v>219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219</v>
      </c>
      <c r="F323" s="37" t="s">
        <v>219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219</v>
      </c>
      <c r="F324" s="37" t="s">
        <v>219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219</v>
      </c>
      <c r="F325" s="37" t="s">
        <v>219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219</v>
      </c>
      <c r="F326" s="37" t="s">
        <v>219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219</v>
      </c>
      <c r="F327" s="37" t="s">
        <v>219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41">
        <f>YEAR(PA[[#This Row],[Date]])+IF(MONTH(PA[[#This Row],[Date]])&gt;=4,1,0)</f>
        <v>1900</v>
      </c>
      <c r="D328" s="241">
        <f>YEAR(PA[[#This Row],[Date]])</f>
        <v>1900</v>
      </c>
      <c r="E328" s="37" t="s">
        <v>219</v>
      </c>
      <c r="F328" s="37" t="s">
        <v>219</v>
      </c>
      <c r="G328" s="275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36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6"/>
      <c r="C329" s="240">
        <f>YEAR(PA[[#This Row],[Date]])+IF(MONTH(PA[[#This Row],[Date]])&gt;=4,1,0)</f>
        <v>1900</v>
      </c>
      <c r="D329" s="240">
        <f>YEAR(PA[[#This Row],[Date]])</f>
        <v>1900</v>
      </c>
      <c r="E329" s="37" t="s">
        <v>219</v>
      </c>
      <c r="F329" s="37" t="s">
        <v>219</v>
      </c>
      <c r="G329" s="275">
        <f>PA[[#This Row],[Date]]-DAY(PA[[#This Row],[Date]])+1</f>
        <v>1</v>
      </c>
      <c r="H329" s="231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31">
        <f>IF((PA[[#This Row],[String Type(If String BD)]]&amp;PA[[#This Row],[Equipment (If any BD other than PV  array and inv)]])="",1,0)</f>
        <v>1</v>
      </c>
      <c r="S329" s="231">
        <f>IF(PA[[#This Row],[String Type(If String BD)]]="",1,0)</f>
        <v>1</v>
      </c>
      <c r="T3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33" t="str">
        <f>IFERROR(_xlfn.XLOOKUP(PA[[#This Row],[Affected Equipment ]],'Basic Data'!N:N,'Basic Data'!Q:Q),"")</f>
        <v/>
      </c>
      <c r="V329" s="237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34">
        <f>IF(PA[[#This Row],[Acknowledgement Time ]]="NA","",(PA[[#This Row],[Acknowledgement Time ]]-PA[[#This Row],[Fault Time]])*24)</f>
        <v>0</v>
      </c>
      <c r="AE329" s="234">
        <f>IF(PA[[#This Row],[Work Start time on Fault]]="NA","",(PA[[#This Row],[Work Start time on Fault]]-PA[[#This Row],[Fault Time]])*24)</f>
        <v>0</v>
      </c>
      <c r="AF329" s="235">
        <f>IF(PA[[#This Row],[Status]]="Open","",(PA[[#This Row],[Work Completion time on fault]]-PA[[#This Row],[Fault Time]])*24)</f>
        <v>0</v>
      </c>
      <c r="AG329" s="234">
        <f>IFERROR((PA[[#This Row],[Work Completion time on fault]]-PA[[#This Row],[Fault Time]])*24,"")</f>
        <v>0</v>
      </c>
      <c r="AH329" s="36"/>
      <c r="AI329" s="33"/>
      <c r="AJ329" s="233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6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219</v>
      </c>
      <c r="F330" s="37" t="s">
        <v>219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44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6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219</v>
      </c>
      <c r="F331" s="37" t="s">
        <v>219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44"/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8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6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219</v>
      </c>
      <c r="F332" s="37" t="s">
        <v>219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6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219</v>
      </c>
      <c r="F333" s="37" t="s">
        <v>219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6"/>
      <c r="C334" s="241">
        <f>YEAR(PA[[#This Row],[Date]])+IF(MONTH(PA[[#This Row],[Date]])&gt;=4,1,0)</f>
        <v>1900</v>
      </c>
      <c r="D334" s="241">
        <f>YEAR(PA[[#This Row],[Date]])</f>
        <v>1900</v>
      </c>
      <c r="E334" s="37" t="s">
        <v>219</v>
      </c>
      <c r="F334" s="37" t="s">
        <v>219</v>
      </c>
      <c r="G334" s="275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36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6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219</v>
      </c>
      <c r="F335" s="37" t="s">
        <v>219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8"/>
      <c r="AI335" s="33"/>
      <c r="AJ335" s="233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219</v>
      </c>
      <c r="F336" s="37" t="s">
        <v>219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219</v>
      </c>
      <c r="F337" s="37" t="s">
        <v>219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219</v>
      </c>
      <c r="F338" s="37" t="s">
        <v>219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219</v>
      </c>
      <c r="F339" s="37" t="s">
        <v>219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219</v>
      </c>
      <c r="F340" s="37" t="s">
        <v>219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219</v>
      </c>
      <c r="F341" s="37" t="s">
        <v>219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219</v>
      </c>
      <c r="F342" s="37" t="s">
        <v>219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41">
        <f>YEAR(PA[[#This Row],[Date]])+IF(MONTH(PA[[#This Row],[Date]])&gt;=4,1,0)</f>
        <v>1900</v>
      </c>
      <c r="D343" s="241">
        <f>YEAR(PA[[#This Row],[Date]])</f>
        <v>1900</v>
      </c>
      <c r="E343" s="37" t="s">
        <v>219</v>
      </c>
      <c r="F343" s="37" t="s">
        <v>219</v>
      </c>
      <c r="G343" s="275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36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219</v>
      </c>
      <c r="F344" s="37" t="s">
        <v>219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40">
        <f>YEAR(PA[[#This Row],[Date]])+IF(MONTH(PA[[#This Row],[Date]])&gt;=4,1,0)</f>
        <v>1900</v>
      </c>
      <c r="D345" s="240">
        <f>YEAR(PA[[#This Row],[Date]])</f>
        <v>1900</v>
      </c>
      <c r="E345" s="37" t="s">
        <v>219</v>
      </c>
      <c r="F345" s="37" t="s">
        <v>219</v>
      </c>
      <c r="G345" s="275">
        <f>PA[[#This Row],[Date]]-DAY(PA[[#This Row],[Date]])+1</f>
        <v>1</v>
      </c>
      <c r="H345" s="231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31">
        <f>IF((PA[[#This Row],[String Type(If String BD)]]&amp;PA[[#This Row],[Equipment (If any BD other than PV  array and inv)]])="",1,0)</f>
        <v>1</v>
      </c>
      <c r="S345" s="231">
        <f>IF(PA[[#This Row],[String Type(If String BD)]]="",1,0)</f>
        <v>1</v>
      </c>
      <c r="T3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33" t="str">
        <f>IFERROR(_xlfn.XLOOKUP(PA[[#This Row],[Affected Equipment ]],'Basic Data'!N:N,'Basic Data'!Q:Q),"")</f>
        <v/>
      </c>
      <c r="V345" s="237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34">
        <f>IF(PA[[#This Row],[Acknowledgement Time ]]="NA","",(PA[[#This Row],[Acknowledgement Time ]]-PA[[#This Row],[Fault Time]])*24)</f>
        <v>0</v>
      </c>
      <c r="AE345" s="234">
        <f>IF(PA[[#This Row],[Work Start time on Fault]]="NA","",(PA[[#This Row],[Work Start time on Fault]]-PA[[#This Row],[Fault Time]])*24)</f>
        <v>0</v>
      </c>
      <c r="AF345" s="235">
        <f>IF(PA[[#This Row],[Status]]="Open","",(PA[[#This Row],[Work Completion time on fault]]-PA[[#This Row],[Fault Time]])*24)</f>
        <v>0</v>
      </c>
      <c r="AG345" s="234">
        <f>IFERROR((PA[[#This Row],[Work Completion time on fault]]-PA[[#This Row],[Fault Time]])*24,"")</f>
        <v>0</v>
      </c>
      <c r="AH345" s="36"/>
      <c r="AI345" s="33"/>
      <c r="AJ345" s="233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219</v>
      </c>
      <c r="F346" s="37" t="s">
        <v>219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40">
        <f>YEAR(PA[[#This Row],[Date]])+IF(MONTH(PA[[#This Row],[Date]])&gt;=4,1,0)</f>
        <v>1900</v>
      </c>
      <c r="D347" s="240">
        <f>YEAR(PA[[#This Row],[Date]])</f>
        <v>1900</v>
      </c>
      <c r="E347" s="37" t="s">
        <v>219</v>
      </c>
      <c r="F347" s="37" t="s">
        <v>219</v>
      </c>
      <c r="G347" s="275">
        <f>PA[[#This Row],[Date]]-DAY(PA[[#This Row],[Date]])+1</f>
        <v>1</v>
      </c>
      <c r="H347" s="231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31">
        <f>IF((PA[[#This Row],[String Type(If String BD)]]&amp;PA[[#This Row],[Equipment (If any BD other than PV  array and inv)]])="",1,0)</f>
        <v>1</v>
      </c>
      <c r="S347" s="231">
        <f>IF(PA[[#This Row],[String Type(If String BD)]]="",1,0)</f>
        <v>1</v>
      </c>
      <c r="T3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33" t="str">
        <f>IFERROR(_xlfn.XLOOKUP(PA[[#This Row],[Affected Equipment ]],'Basic Data'!N:N,'Basic Data'!Q:Q),"")</f>
        <v/>
      </c>
      <c r="V347" s="237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34">
        <f>IF(PA[[#This Row],[Acknowledgement Time ]]="NA","",(PA[[#This Row],[Acknowledgement Time ]]-PA[[#This Row],[Fault Time]])*24)</f>
        <v>0</v>
      </c>
      <c r="AE347" s="234">
        <f>IF(PA[[#This Row],[Work Start time on Fault]]="NA","",(PA[[#This Row],[Work Start time on Fault]]-PA[[#This Row],[Fault Time]])*24)</f>
        <v>0</v>
      </c>
      <c r="AF347" s="235">
        <f>IF(PA[[#This Row],[Status]]="Open","",(PA[[#This Row],[Work Completion time on fault]]-PA[[#This Row],[Fault Time]])*24)</f>
        <v>0</v>
      </c>
      <c r="AG347" s="234">
        <f>IFERROR((PA[[#This Row],[Work Completion time on fault]]-PA[[#This Row],[Fault Time]])*24,"")</f>
        <v>0</v>
      </c>
      <c r="AH347" s="36"/>
      <c r="AI347" s="33"/>
      <c r="AJ347" s="233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40">
        <f>YEAR(PA[[#This Row],[Date]])+IF(MONTH(PA[[#This Row],[Date]])&gt;=4,1,0)</f>
        <v>1900</v>
      </c>
      <c r="D348" s="240">
        <f>YEAR(PA[[#This Row],[Date]])</f>
        <v>1900</v>
      </c>
      <c r="E348" s="37" t="s">
        <v>219</v>
      </c>
      <c r="F348" s="37" t="s">
        <v>219</v>
      </c>
      <c r="G348" s="275">
        <f>PA[[#This Row],[Date]]-DAY(PA[[#This Row],[Date]])+1</f>
        <v>1</v>
      </c>
      <c r="H348" s="231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31">
        <f>IF((PA[[#This Row],[String Type(If String BD)]]&amp;PA[[#This Row],[Equipment (If any BD other than PV  array and inv)]])="",1,0)</f>
        <v>1</v>
      </c>
      <c r="S348" s="231">
        <f>IF(PA[[#This Row],[String Type(If String BD)]]="",1,0)</f>
        <v>1</v>
      </c>
      <c r="T3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33" t="str">
        <f>IFERROR(_xlfn.XLOOKUP(PA[[#This Row],[Affected Equipment ]],'Basic Data'!N:N,'Basic Data'!Q:Q),"")</f>
        <v/>
      </c>
      <c r="V348" s="237" t="str">
        <f>IFERROR(_xlfn.XLOOKUP(PA[[#This Row],[Affected Equipment ]],'Basic Data'!N:N,'Basic Data'!R:R),"")</f>
        <v/>
      </c>
      <c r="W348" s="38"/>
      <c r="X348" s="41"/>
      <c r="Y348" s="350"/>
      <c r="Z348" s="47"/>
      <c r="AA348" s="47"/>
      <c r="AB348" s="47"/>
      <c r="AC348" s="47"/>
      <c r="AD348" s="234">
        <f>IF(PA[[#This Row],[Acknowledgement Time ]]="NA","",(PA[[#This Row],[Acknowledgement Time ]]-PA[[#This Row],[Fault Time]])*24)</f>
        <v>0</v>
      </c>
      <c r="AE348" s="234">
        <f>IF(PA[[#This Row],[Work Start time on Fault]]="NA","",(PA[[#This Row],[Work Start time on Fault]]-PA[[#This Row],[Fault Time]])*24)</f>
        <v>0</v>
      </c>
      <c r="AF348" s="235">
        <f>IF(PA[[#This Row],[Status]]="Open","",(PA[[#This Row],[Work Completion time on fault]]-PA[[#This Row],[Fault Time]])*24)</f>
        <v>0</v>
      </c>
      <c r="AG348" s="234">
        <f>IFERROR((PA[[#This Row],[Work Completion time on fault]]-PA[[#This Row],[Fault Time]])*24,"")</f>
        <v>0</v>
      </c>
      <c r="AH348" s="350"/>
      <c r="AI348" s="33"/>
      <c r="AJ348" s="233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219</v>
      </c>
      <c r="F349" s="37" t="s">
        <v>219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350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219</v>
      </c>
      <c r="F350" s="37" t="s">
        <v>219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44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40">
        <f>YEAR(PA[[#This Row],[Date]])+IF(MONTH(PA[[#This Row],[Date]])&gt;=4,1,0)</f>
        <v>1900</v>
      </c>
      <c r="D351" s="240">
        <f>YEAR(PA[[#This Row],[Date]])</f>
        <v>1900</v>
      </c>
      <c r="E351" s="37" t="s">
        <v>219</v>
      </c>
      <c r="F351" s="37" t="s">
        <v>219</v>
      </c>
      <c r="G351" s="275">
        <f>PA[[#This Row],[Date]]-DAY(PA[[#This Row],[Date]])+1</f>
        <v>1</v>
      </c>
      <c r="H351" s="231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31">
        <f>IF((PA[[#This Row],[String Type(If String BD)]]&amp;PA[[#This Row],[Equipment (If any BD other than PV  array and inv)]])="",1,0)</f>
        <v>1</v>
      </c>
      <c r="S351" s="231">
        <f>IF(PA[[#This Row],[String Type(If String BD)]]="",1,0)</f>
        <v>1</v>
      </c>
      <c r="T3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33" t="str">
        <f>IFERROR(_xlfn.XLOOKUP(PA[[#This Row],[Affected Equipment ]],'Basic Data'!N:N,'Basic Data'!Q:Q),"")</f>
        <v/>
      </c>
      <c r="V351" s="237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34">
        <f>IF(PA[[#This Row],[Acknowledgement Time ]]="NA","",(PA[[#This Row],[Acknowledgement Time ]]-PA[[#This Row],[Fault Time]])*24)</f>
        <v>0</v>
      </c>
      <c r="AE351" s="234">
        <f>IF(PA[[#This Row],[Work Start time on Fault]]="NA","",(PA[[#This Row],[Work Start time on Fault]]-PA[[#This Row],[Fault Time]])*24)</f>
        <v>0</v>
      </c>
      <c r="AF351" s="235">
        <f>IF(PA[[#This Row],[Status]]="Open","",(PA[[#This Row],[Work Completion time on fault]]-PA[[#This Row],[Fault Time]])*24)</f>
        <v>0</v>
      </c>
      <c r="AG351" s="234">
        <f>IFERROR((PA[[#This Row],[Work Completion time on fault]]-PA[[#This Row],[Fault Time]])*24,"")</f>
        <v>0</v>
      </c>
      <c r="AH351" s="344"/>
      <c r="AI351" s="33"/>
      <c r="AJ351" s="233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219</v>
      </c>
      <c r="F352" s="37" t="s">
        <v>219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44"/>
      <c r="AI352" s="33"/>
      <c r="AJ352" s="233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219</v>
      </c>
      <c r="F353" s="37" t="s">
        <v>219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219</v>
      </c>
      <c r="F354" s="37" t="s">
        <v>219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41">
        <f>YEAR(PA[[#This Row],[Date]])+IF(MONTH(PA[[#This Row],[Date]])&gt;=4,1,0)</f>
        <v>1900</v>
      </c>
      <c r="D355" s="241">
        <f>YEAR(PA[[#This Row],[Date]])</f>
        <v>1900</v>
      </c>
      <c r="E355" s="37" t="s">
        <v>219</v>
      </c>
      <c r="F355" s="37" t="s">
        <v>219</v>
      </c>
      <c r="G355" s="275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36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219</v>
      </c>
      <c r="F356" s="37" t="s">
        <v>219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219</v>
      </c>
      <c r="F357" s="37" t="s">
        <v>219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219</v>
      </c>
      <c r="F358" s="37" t="s">
        <v>219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219</v>
      </c>
      <c r="F359" s="37" t="s">
        <v>219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40">
        <f>YEAR(PA[[#This Row],[Date]])+IF(MONTH(PA[[#This Row],[Date]])&gt;=4,1,0)</f>
        <v>1900</v>
      </c>
      <c r="D360" s="240">
        <f>YEAR(PA[[#This Row],[Date]])</f>
        <v>1900</v>
      </c>
      <c r="E360" s="37" t="s">
        <v>219</v>
      </c>
      <c r="F360" s="37" t="s">
        <v>219</v>
      </c>
      <c r="G360" s="275">
        <f>PA[[#This Row],[Date]]-DAY(PA[[#This Row],[Date]])+1</f>
        <v>1</v>
      </c>
      <c r="H360" s="231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31">
        <f>IF((PA[[#This Row],[String Type(If String BD)]]&amp;PA[[#This Row],[Equipment (If any BD other than PV  array and inv)]])="",1,0)</f>
        <v>1</v>
      </c>
      <c r="S360" s="231">
        <f>IF(PA[[#This Row],[String Type(If String BD)]]="",1,0)</f>
        <v>1</v>
      </c>
      <c r="T3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33" t="str">
        <f>IFERROR(_xlfn.XLOOKUP(PA[[#This Row],[Affected Equipment ]],'Basic Data'!N:N,'Basic Data'!Q:Q),"")</f>
        <v/>
      </c>
      <c r="V360" s="237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34">
        <f>IF(PA[[#This Row],[Acknowledgement Time ]]="NA","",(PA[[#This Row],[Acknowledgement Time ]]-PA[[#This Row],[Fault Time]])*24)</f>
        <v>0</v>
      </c>
      <c r="AE360" s="234">
        <f>IF(PA[[#This Row],[Work Start time on Fault]]="NA","",(PA[[#This Row],[Work Start time on Fault]]-PA[[#This Row],[Fault Time]])*24)</f>
        <v>0</v>
      </c>
      <c r="AF360" s="235">
        <f>IF(PA[[#This Row],[Status]]="Open","",(PA[[#This Row],[Work Completion time on fault]]-PA[[#This Row],[Fault Time]])*24)</f>
        <v>0</v>
      </c>
      <c r="AG360" s="234">
        <f>IFERROR((PA[[#This Row],[Work Completion time on fault]]-PA[[#This Row],[Fault Time]])*24,"")</f>
        <v>0</v>
      </c>
      <c r="AH360" s="36"/>
      <c r="AI360" s="33"/>
      <c r="AJ360" s="233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219</v>
      </c>
      <c r="F361" s="37" t="s">
        <v>219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219</v>
      </c>
      <c r="F362" s="37" t="s">
        <v>219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219</v>
      </c>
      <c r="F363" s="37" t="s">
        <v>219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219</v>
      </c>
      <c r="F364" s="37" t="s">
        <v>219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219</v>
      </c>
      <c r="F365" s="37" t="s">
        <v>219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219</v>
      </c>
      <c r="F366" s="37" t="s">
        <v>219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219</v>
      </c>
      <c r="F367" s="37" t="s">
        <v>219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219</v>
      </c>
      <c r="F368" s="37" t="s">
        <v>219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6"/>
      <c r="C369" s="240">
        <f>YEAR(PA[[#This Row],[Date]])+IF(MONTH(PA[[#This Row],[Date]])&gt;=4,1,0)</f>
        <v>1900</v>
      </c>
      <c r="D369" s="240">
        <f>YEAR(PA[[#This Row],[Date]])</f>
        <v>1900</v>
      </c>
      <c r="E369" s="37" t="s">
        <v>219</v>
      </c>
      <c r="F369" s="37" t="s">
        <v>219</v>
      </c>
      <c r="G369" s="275">
        <f>PA[[#This Row],[Date]]-DAY(PA[[#This Row],[Date]])+1</f>
        <v>1</v>
      </c>
      <c r="H369" s="231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31">
        <f>IF((PA[[#This Row],[String Type(If String BD)]]&amp;PA[[#This Row],[Equipment (If any BD other than PV  array and inv)]])="",1,0)</f>
        <v>1</v>
      </c>
      <c r="S369" s="231">
        <f>IF(PA[[#This Row],[String Type(If String BD)]]="",1,0)</f>
        <v>1</v>
      </c>
      <c r="T3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33" t="str">
        <f>IFERROR(_xlfn.XLOOKUP(PA[[#This Row],[Affected Equipment ]],'Basic Data'!N:N,'Basic Data'!Q:Q),"")</f>
        <v/>
      </c>
      <c r="V369" s="237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34">
        <f>IF(PA[[#This Row],[Acknowledgement Time ]]="NA","",(PA[[#This Row],[Acknowledgement Time ]]-PA[[#This Row],[Fault Time]])*24)</f>
        <v>0</v>
      </c>
      <c r="AE369" s="234">
        <f>IF(PA[[#This Row],[Work Start time on Fault]]="NA","",(PA[[#This Row],[Work Start time on Fault]]-PA[[#This Row],[Fault Time]])*24)</f>
        <v>0</v>
      </c>
      <c r="AF369" s="235">
        <f>IF(PA[[#This Row],[Status]]="Open","",(PA[[#This Row],[Work Completion time on fault]]-PA[[#This Row],[Fault Time]])*24)</f>
        <v>0</v>
      </c>
      <c r="AG369" s="234">
        <f>IFERROR((PA[[#This Row],[Work Completion time on fault]]-PA[[#This Row],[Fault Time]])*24,"")</f>
        <v>0</v>
      </c>
      <c r="AH369" s="38"/>
      <c r="AI369" s="33"/>
      <c r="AJ369" s="233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6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219</v>
      </c>
      <c r="F370" s="37" t="s">
        <v>219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6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219</v>
      </c>
      <c r="F371" s="37" t="s">
        <v>219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6"/>
      <c r="C372" s="240">
        <f>YEAR(PA[[#This Row],[Date]])+IF(MONTH(PA[[#This Row],[Date]])&gt;=4,1,0)</f>
        <v>1900</v>
      </c>
      <c r="D372" s="240">
        <f>YEAR(PA[[#This Row],[Date]])</f>
        <v>1900</v>
      </c>
      <c r="E372" s="37" t="s">
        <v>219</v>
      </c>
      <c r="F372" s="37" t="s">
        <v>219</v>
      </c>
      <c r="G372" s="275">
        <f>PA[[#This Row],[Date]]-DAY(PA[[#This Row],[Date]])+1</f>
        <v>1</v>
      </c>
      <c r="H372" s="231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31">
        <f>IF((PA[[#This Row],[String Type(If String BD)]]&amp;PA[[#This Row],[Equipment (If any BD other than PV  array and inv)]])="",1,0)</f>
        <v>1</v>
      </c>
      <c r="S372" s="231">
        <f>IF(PA[[#This Row],[String Type(If String BD)]]="",1,0)</f>
        <v>1</v>
      </c>
      <c r="T3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33" t="str">
        <f>IFERROR(_xlfn.XLOOKUP(PA[[#This Row],[Affected Equipment ]],'Basic Data'!N:N,'Basic Data'!Q:Q),"")</f>
        <v/>
      </c>
      <c r="V372" s="237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34">
        <f>IF(PA[[#This Row],[Acknowledgement Time ]]="NA","",(PA[[#This Row],[Acknowledgement Time ]]-PA[[#This Row],[Fault Time]])*24)</f>
        <v>0</v>
      </c>
      <c r="AE372" s="234">
        <f>IF(PA[[#This Row],[Work Start time on Fault]]="NA","",(PA[[#This Row],[Work Start time on Fault]]-PA[[#This Row],[Fault Time]])*24)</f>
        <v>0</v>
      </c>
      <c r="AF372" s="235">
        <f>IF(PA[[#This Row],[Status]]="Open","",(PA[[#This Row],[Work Completion time on fault]]-PA[[#This Row],[Fault Time]])*24)</f>
        <v>0</v>
      </c>
      <c r="AG372" s="234">
        <f>IFERROR((PA[[#This Row],[Work Completion time on fault]]-PA[[#This Row],[Fault Time]])*24,"")</f>
        <v>0</v>
      </c>
      <c r="AH372" s="36"/>
      <c r="AI372" s="33"/>
      <c r="AJ372" s="233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6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219</v>
      </c>
      <c r="F373" s="37" t="s">
        <v>219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6"/>
      <c r="C374" s="241">
        <f>YEAR(PA[[#This Row],[Date]])+IF(MONTH(PA[[#This Row],[Date]])&gt;=4,1,0)</f>
        <v>1900</v>
      </c>
      <c r="D374" s="241">
        <f>YEAR(PA[[#This Row],[Date]])</f>
        <v>1900</v>
      </c>
      <c r="E374" s="37" t="s">
        <v>219</v>
      </c>
      <c r="F374" s="37" t="s">
        <v>219</v>
      </c>
      <c r="G374" s="275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36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6"/>
      <c r="C375" s="241">
        <f>YEAR(PA[[#This Row],[Date]])+IF(MONTH(PA[[#This Row],[Date]])&gt;=4,1,0)</f>
        <v>1900</v>
      </c>
      <c r="D375" s="241">
        <f>YEAR(PA[[#This Row],[Date]])</f>
        <v>1900</v>
      </c>
      <c r="E375" s="37" t="s">
        <v>219</v>
      </c>
      <c r="F375" s="37" t="s">
        <v>219</v>
      </c>
      <c r="G375" s="275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36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219</v>
      </c>
      <c r="F376" s="37" t="s">
        <v>219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219</v>
      </c>
      <c r="F377" s="37" t="s">
        <v>219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219</v>
      </c>
      <c r="F378" s="37" t="s">
        <v>219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219</v>
      </c>
      <c r="F379" s="37" t="s">
        <v>219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44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219</v>
      </c>
      <c r="F380" s="37" t="s">
        <v>219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6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219</v>
      </c>
      <c r="F381" s="37" t="s">
        <v>219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219</v>
      </c>
      <c r="F382" s="37" t="s">
        <v>219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219</v>
      </c>
      <c r="F383" s="37" t="s">
        <v>219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219</v>
      </c>
      <c r="F384" s="37" t="s">
        <v>219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41">
        <f>YEAR(PA[[#This Row],[Date]])+IF(MONTH(PA[[#This Row],[Date]])&gt;=4,1,0)</f>
        <v>1900</v>
      </c>
      <c r="D385" s="241">
        <f>YEAR(PA[[#This Row],[Date]])</f>
        <v>1900</v>
      </c>
      <c r="E385" s="37" t="s">
        <v>219</v>
      </c>
      <c r="F385" s="37" t="s">
        <v>219</v>
      </c>
      <c r="G385" s="275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36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219</v>
      </c>
      <c r="F386" s="37" t="s">
        <v>219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219</v>
      </c>
      <c r="F387" s="37" t="s">
        <v>219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219</v>
      </c>
      <c r="F388" s="37" t="s">
        <v>219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219</v>
      </c>
      <c r="F389" s="37" t="s">
        <v>219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219</v>
      </c>
      <c r="F390" s="37" t="s">
        <v>219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6"/>
      <c r="C391" s="240">
        <f>YEAR(PA[[#This Row],[Date]])+IF(MONTH(PA[[#This Row],[Date]])&gt;=4,1,0)</f>
        <v>1900</v>
      </c>
      <c r="D391" s="240">
        <f>YEAR(PA[[#This Row],[Date]])</f>
        <v>1900</v>
      </c>
      <c r="E391" s="37" t="s">
        <v>219</v>
      </c>
      <c r="F391" s="37" t="s">
        <v>219</v>
      </c>
      <c r="G391" s="275">
        <f>PA[[#This Row],[Date]]-DAY(PA[[#This Row],[Date]])+1</f>
        <v>1</v>
      </c>
      <c r="H391" s="231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31">
        <f>IF((PA[[#This Row],[String Type(If String BD)]]&amp;PA[[#This Row],[Equipment (If any BD other than PV  array and inv)]])="",1,0)</f>
        <v>1</v>
      </c>
      <c r="S391" s="231">
        <f>IF(PA[[#This Row],[String Type(If String BD)]]="",1,0)</f>
        <v>1</v>
      </c>
      <c r="T39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33" t="str">
        <f>IFERROR(_xlfn.XLOOKUP(PA[[#This Row],[Affected Equipment ]],'Basic Data'!N:N,'Basic Data'!Q:Q),"")</f>
        <v/>
      </c>
      <c r="V391" s="237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34">
        <f>IF(PA[[#This Row],[Acknowledgement Time ]]="NA","",(PA[[#This Row],[Acknowledgement Time ]]-PA[[#This Row],[Fault Time]])*24)</f>
        <v>0</v>
      </c>
      <c r="AE391" s="234">
        <f>IF(PA[[#This Row],[Work Start time on Fault]]="NA","",(PA[[#This Row],[Work Start time on Fault]]-PA[[#This Row],[Fault Time]])*24)</f>
        <v>0</v>
      </c>
      <c r="AF391" s="235">
        <f>IF(PA[[#This Row],[Status]]="Open","",(PA[[#This Row],[Work Completion time on fault]]-PA[[#This Row],[Fault Time]])*24)</f>
        <v>0</v>
      </c>
      <c r="AG391" s="234">
        <f>IFERROR((PA[[#This Row],[Work Completion time on fault]]-PA[[#This Row],[Fault Time]])*24,"")</f>
        <v>0</v>
      </c>
      <c r="AH391" s="36"/>
      <c r="AI391" s="33"/>
      <c r="AJ391" s="233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6"/>
      <c r="C392" s="240">
        <f>YEAR(PA[[#This Row],[Date]])+IF(MONTH(PA[[#This Row],[Date]])&gt;=4,1,0)</f>
        <v>1900</v>
      </c>
      <c r="D392" s="240">
        <f>YEAR(PA[[#This Row],[Date]])</f>
        <v>1900</v>
      </c>
      <c r="E392" s="37" t="s">
        <v>219</v>
      </c>
      <c r="F392" s="37" t="s">
        <v>219</v>
      </c>
      <c r="G392" s="275">
        <f>PA[[#This Row],[Date]]-DAY(PA[[#This Row],[Date]])+1</f>
        <v>1</v>
      </c>
      <c r="H392" s="231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31">
        <f>IF((PA[[#This Row],[String Type(If String BD)]]&amp;PA[[#This Row],[Equipment (If any BD other than PV  array and inv)]])="",1,0)</f>
        <v>1</v>
      </c>
      <c r="S392" s="231">
        <f>IF(PA[[#This Row],[String Type(If String BD)]]="",1,0)</f>
        <v>1</v>
      </c>
      <c r="T3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33" t="str">
        <f>IFERROR(_xlfn.XLOOKUP(PA[[#This Row],[Affected Equipment ]],'Basic Data'!N:N,'Basic Data'!Q:Q),"")</f>
        <v/>
      </c>
      <c r="V392" s="237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34">
        <f>IF(PA[[#This Row],[Acknowledgement Time ]]="NA","",(PA[[#This Row],[Acknowledgement Time ]]-PA[[#This Row],[Fault Time]])*24)</f>
        <v>0</v>
      </c>
      <c r="AE392" s="234">
        <f>IF(PA[[#This Row],[Work Start time on Fault]]="NA","",(PA[[#This Row],[Work Start time on Fault]]-PA[[#This Row],[Fault Time]])*24)</f>
        <v>0</v>
      </c>
      <c r="AF392" s="235">
        <f>IF(PA[[#This Row],[Status]]="Open","",(PA[[#This Row],[Work Completion time on fault]]-PA[[#This Row],[Fault Time]])*24)</f>
        <v>0</v>
      </c>
      <c r="AG392" s="234">
        <f>IFERROR((PA[[#This Row],[Work Completion time on fault]]-PA[[#This Row],[Fault Time]])*24,"")</f>
        <v>0</v>
      </c>
      <c r="AH392" s="36"/>
      <c r="AI392" s="33"/>
      <c r="AJ392" s="233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6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219</v>
      </c>
      <c r="F393" s="37" t="s">
        <v>219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6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219</v>
      </c>
      <c r="F394" s="37" t="s">
        <v>219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6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219</v>
      </c>
      <c r="F395" s="37" t="s">
        <v>219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6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219</v>
      </c>
      <c r="F396" s="37" t="s">
        <v>219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6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219</v>
      </c>
      <c r="F397" s="37" t="s">
        <v>219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219</v>
      </c>
      <c r="F398" s="37" t="s">
        <v>219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41">
        <f>YEAR(PA[[#This Row],[Date]])+IF(MONTH(PA[[#This Row],[Date]])&gt;=4,1,0)</f>
        <v>1900</v>
      </c>
      <c r="D399" s="241">
        <f>YEAR(PA[[#This Row],[Date]])</f>
        <v>1900</v>
      </c>
      <c r="E399" s="37" t="s">
        <v>219</v>
      </c>
      <c r="F399" s="37" t="s">
        <v>219</v>
      </c>
      <c r="G399" s="275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36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41">
        <f>YEAR(PA[[#This Row],[Date]])+IF(MONTH(PA[[#This Row],[Date]])&gt;=4,1,0)</f>
        <v>1900</v>
      </c>
      <c r="D400" s="241">
        <f>YEAR(PA[[#This Row],[Date]])</f>
        <v>1900</v>
      </c>
      <c r="E400" s="37" t="s">
        <v>219</v>
      </c>
      <c r="F400" s="37" t="s">
        <v>219</v>
      </c>
      <c r="G400" s="275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36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41">
        <f>YEAR(PA[[#This Row],[Date]])+IF(MONTH(PA[[#This Row],[Date]])&gt;=4,1,0)</f>
        <v>1900</v>
      </c>
      <c r="D401" s="241">
        <f>YEAR(PA[[#This Row],[Date]])</f>
        <v>1900</v>
      </c>
      <c r="E401" s="37" t="s">
        <v>219</v>
      </c>
      <c r="F401" s="37" t="s">
        <v>219</v>
      </c>
      <c r="G401" s="275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36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219</v>
      </c>
      <c r="F402" s="37" t="s">
        <v>219</v>
      </c>
      <c r="G402" s="275">
        <f>PA[[#This Row],[Date]]-DAY(PA[[#This Row],[Date]])+1</f>
        <v>1</v>
      </c>
      <c r="H402" s="231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8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6"/>
      <c r="C403" s="241">
        <f>YEAR(PA[[#This Row],[Date]])+IF(MONTH(PA[[#This Row],[Date]])&gt;=4,1,0)</f>
        <v>1900</v>
      </c>
      <c r="D403" s="241">
        <f>YEAR(PA[[#This Row],[Date]])</f>
        <v>1900</v>
      </c>
      <c r="E403" s="37" t="s">
        <v>219</v>
      </c>
      <c r="F403" s="37" t="s">
        <v>219</v>
      </c>
      <c r="G403" s="275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36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6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219</v>
      </c>
      <c r="F404" s="37" t="s">
        <v>219</v>
      </c>
      <c r="G404" s="275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219</v>
      </c>
      <c r="F405" s="37" t="s">
        <v>219</v>
      </c>
      <c r="G405" s="275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219</v>
      </c>
      <c r="F406" s="37" t="s">
        <v>219</v>
      </c>
      <c r="G406" s="275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41">
        <f>YEAR(PA[[#This Row],[Date]])+IF(MONTH(PA[[#This Row],[Date]])&gt;=4,1,0)</f>
        <v>1900</v>
      </c>
      <c r="D407" s="241">
        <f>YEAR(PA[[#This Row],[Date]])</f>
        <v>1900</v>
      </c>
      <c r="E407" s="37" t="s">
        <v>219</v>
      </c>
      <c r="F407" s="37" t="s">
        <v>219</v>
      </c>
      <c r="G407" s="275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36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219</v>
      </c>
      <c r="F408" s="37" t="s">
        <v>219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219</v>
      </c>
      <c r="F409" s="37" t="s">
        <v>219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219</v>
      </c>
      <c r="F410" s="37" t="s">
        <v>219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41">
        <f>YEAR(PA[[#This Row],[Date]])+IF(MONTH(PA[[#This Row],[Date]])&gt;=4,1,0)</f>
        <v>1900</v>
      </c>
      <c r="D411" s="241">
        <f>YEAR(PA[[#This Row],[Date]])</f>
        <v>1900</v>
      </c>
      <c r="E411" s="37" t="s">
        <v>219</v>
      </c>
      <c r="F411" s="37" t="s">
        <v>219</v>
      </c>
      <c r="G411" s="275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36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41">
        <f>YEAR(PA[[#This Row],[Date]])+IF(MONTH(PA[[#This Row],[Date]])&gt;=4,1,0)</f>
        <v>1900</v>
      </c>
      <c r="D412" s="241">
        <f>YEAR(PA[[#This Row],[Date]])</f>
        <v>1900</v>
      </c>
      <c r="E412" s="37" t="s">
        <v>219</v>
      </c>
      <c r="F412" s="37" t="s">
        <v>219</v>
      </c>
      <c r="G412" s="275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36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41">
        <f>YEAR(PA[[#This Row],[Date]])+IF(MONTH(PA[[#This Row],[Date]])&gt;=4,1,0)</f>
        <v>1900</v>
      </c>
      <c r="D413" s="241">
        <f>YEAR(PA[[#This Row],[Date]])</f>
        <v>1900</v>
      </c>
      <c r="E413" s="37" t="s">
        <v>219</v>
      </c>
      <c r="F413" s="37" t="s">
        <v>219</v>
      </c>
      <c r="G413" s="275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41">
        <f>YEAR(PA[[#This Row],[Date]])+IF(MONTH(PA[[#This Row],[Date]])&gt;=4,1,0)</f>
        <v>1900</v>
      </c>
      <c r="D414" s="241">
        <f>YEAR(PA[[#This Row],[Date]])</f>
        <v>1900</v>
      </c>
      <c r="E414" s="37" t="s">
        <v>219</v>
      </c>
      <c r="F414" s="37" t="s">
        <v>219</v>
      </c>
      <c r="G414" s="275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41">
        <f>YEAR(PA[[#This Row],[Date]])+IF(MONTH(PA[[#This Row],[Date]])&gt;=4,1,0)</f>
        <v>1900</v>
      </c>
      <c r="D415" s="241">
        <f>YEAR(PA[[#This Row],[Date]])</f>
        <v>1900</v>
      </c>
      <c r="E415" s="37" t="s">
        <v>219</v>
      </c>
      <c r="F415" s="37" t="s">
        <v>219</v>
      </c>
      <c r="G415" s="275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219</v>
      </c>
      <c r="F416" s="37" t="s">
        <v>219</v>
      </c>
      <c r="G416" s="275">
        <f>PA[[#This Row],[Date]]-DAY(PA[[#This Row],[Date]])+1</f>
        <v>1</v>
      </c>
      <c r="H416" s="231">
        <f>DAY(EOMONTH(PA[[#This Row],[Month Year]],0))</f>
        <v>31</v>
      </c>
      <c r="I416" s="232"/>
      <c r="J416" s="232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33" t="str">
        <f>IFERROR(_xlfn.XLOOKUP(PA[[#This Row],[Affected Equipment ]],'Basic Data'!N:N,'Basic Data'!Q:Q),"")</f>
        <v/>
      </c>
      <c r="V416" s="237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44"/>
      <c r="AI416" s="33"/>
      <c r="AJ416" s="233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219</v>
      </c>
      <c r="F417" s="37" t="s">
        <v>219</v>
      </c>
      <c r="G417" s="275">
        <f>PA[[#This Row],[Date]]-DAY(PA[[#This Row],[Date]])+1</f>
        <v>1</v>
      </c>
      <c r="H417" s="231">
        <f>DAY(EOMONTH(PA[[#This Row],[Month Year]],0))</f>
        <v>31</v>
      </c>
      <c r="I417" s="232"/>
      <c r="J417" s="232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33" t="str">
        <f>IFERROR(_xlfn.XLOOKUP(PA[[#This Row],[Affected Equipment ]],'Basic Data'!N:N,'Basic Data'!Q:Q),"")</f>
        <v/>
      </c>
      <c r="V417" s="237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6"/>
      <c r="AI417" s="33"/>
      <c r="AJ417" s="233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219</v>
      </c>
      <c r="F418" s="37" t="s">
        <v>219</v>
      </c>
      <c r="G418" s="275">
        <f>PA[[#This Row],[Date]]-DAY(PA[[#This Row],[Date]])+1</f>
        <v>1</v>
      </c>
      <c r="H418" s="231">
        <f>DAY(EOMONTH(PA[[#This Row],[Month Year]],0))</f>
        <v>31</v>
      </c>
      <c r="I418" s="232"/>
      <c r="J418" s="232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6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219</v>
      </c>
      <c r="F419" s="37" t="s">
        <v>219</v>
      </c>
      <c r="G419" s="275">
        <f>PA[[#This Row],[Date]]-DAY(PA[[#This Row],[Date]])+1</f>
        <v>1</v>
      </c>
      <c r="H419" s="231">
        <f>DAY(EOMONTH(PA[[#This Row],[Month Year]],0))</f>
        <v>31</v>
      </c>
      <c r="I419" s="232"/>
      <c r="J419" s="232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33" t="str">
        <f>IFERROR(_xlfn.XLOOKUP(PA[[#This Row],[Affected Equipment ]],'Basic Data'!N:N,'Basic Data'!Q:Q),"")</f>
        <v/>
      </c>
      <c r="V419" s="237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44"/>
      <c r="AI419" s="33"/>
      <c r="AJ419" s="233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6"/>
      <c r="C420" s="240">
        <f>YEAR(PA[[#This Row],[Date]])+IF(MONTH(PA[[#This Row],[Date]])&gt;=4,1,0)</f>
        <v>1900</v>
      </c>
      <c r="D420" s="240">
        <f>YEAR(PA[[#This Row],[Date]])</f>
        <v>1900</v>
      </c>
      <c r="E420" s="37" t="s">
        <v>219</v>
      </c>
      <c r="F420" s="37" t="s">
        <v>219</v>
      </c>
      <c r="G420" s="275">
        <f>PA[[#This Row],[Date]]-DAY(PA[[#This Row],[Date]])+1</f>
        <v>1</v>
      </c>
      <c r="H420" s="231">
        <f>DAY(EOMONTH(PA[[#This Row],[Month Year]],0))</f>
        <v>31</v>
      </c>
      <c r="I420" s="232"/>
      <c r="J420" s="232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31">
        <f>IF((PA[[#This Row],[String Type(If String BD)]]&amp;PA[[#This Row],[Equipment (If any BD other than PV  array and inv)]])="",1,0)</f>
        <v>1</v>
      </c>
      <c r="S420" s="231">
        <f>IF(PA[[#This Row],[String Type(If String BD)]]="",1,0)</f>
        <v>1</v>
      </c>
      <c r="T42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33" t="str">
        <f>IFERROR(_xlfn.XLOOKUP(PA[[#This Row],[Affected Equipment ]],'Basic Data'!N:N,'Basic Data'!Q:Q),"")</f>
        <v/>
      </c>
      <c r="V420" s="237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34">
        <f>IF(PA[[#This Row],[Acknowledgement Time ]]="NA","",(PA[[#This Row],[Acknowledgement Time ]]-PA[[#This Row],[Fault Time]])*24)</f>
        <v>0</v>
      </c>
      <c r="AE420" s="234">
        <f>IF(PA[[#This Row],[Work Start time on Fault]]="NA","",(PA[[#This Row],[Work Start time on Fault]]-PA[[#This Row],[Fault Time]])*24)</f>
        <v>0</v>
      </c>
      <c r="AF420" s="235">
        <f>IF(PA[[#This Row],[Status]]="Open","",(PA[[#This Row],[Work Completion time on fault]]-PA[[#This Row],[Fault Time]])*24)</f>
        <v>0</v>
      </c>
      <c r="AG420" s="234">
        <f>IFERROR((PA[[#This Row],[Work Completion time on fault]]-PA[[#This Row],[Fault Time]])*24,"")</f>
        <v>0</v>
      </c>
      <c r="AH420" s="38"/>
      <c r="AI420" s="33"/>
      <c r="AJ420" s="233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41">
        <f>YEAR(PA[[#This Row],[Date]])+IF(MONTH(PA[[#This Row],[Date]])&gt;=4,1,0)</f>
        <v>1900</v>
      </c>
      <c r="D421" s="241">
        <f>YEAR(PA[[#This Row],[Date]])</f>
        <v>1900</v>
      </c>
      <c r="E421" s="37" t="s">
        <v>219</v>
      </c>
      <c r="F421" s="37" t="s">
        <v>219</v>
      </c>
      <c r="G421" s="275">
        <f>PA[[#This Row],[Date]]-DAY(PA[[#This Row],[Date]])+1</f>
        <v>1</v>
      </c>
      <c r="H421" s="32">
        <f>DAY(EOMONTH(PA[[#This Row],[Month Year]],0))</f>
        <v>31</v>
      </c>
      <c r="I421" s="232"/>
      <c r="J421" s="232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41">
        <f>YEAR(PA[[#This Row],[Date]])+IF(MONTH(PA[[#This Row],[Date]])&gt;=4,1,0)</f>
        <v>1900</v>
      </c>
      <c r="D422" s="241">
        <f>YEAR(PA[[#This Row],[Date]])</f>
        <v>1900</v>
      </c>
      <c r="E422" s="37" t="s">
        <v>219</v>
      </c>
      <c r="F422" s="37" t="s">
        <v>219</v>
      </c>
      <c r="G422" s="275">
        <f>PA[[#This Row],[Date]]-DAY(PA[[#This Row],[Date]])+1</f>
        <v>1</v>
      </c>
      <c r="H422" s="32">
        <f>DAY(EOMONTH(PA[[#This Row],[Month Year]],0))</f>
        <v>31</v>
      </c>
      <c r="I422" s="232"/>
      <c r="J422" s="232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41">
        <f>YEAR(PA[[#This Row],[Date]])+IF(MONTH(PA[[#This Row],[Date]])&gt;=4,1,0)</f>
        <v>1900</v>
      </c>
      <c r="D423" s="241">
        <f>YEAR(PA[[#This Row],[Date]])</f>
        <v>1900</v>
      </c>
      <c r="E423" s="37" t="s">
        <v>219</v>
      </c>
      <c r="F423" s="37" t="s">
        <v>219</v>
      </c>
      <c r="G423" s="275">
        <f>PA[[#This Row],[Date]]-DAY(PA[[#This Row],[Date]])+1</f>
        <v>1</v>
      </c>
      <c r="H423" s="32">
        <f>DAY(EOMONTH(PA[[#This Row],[Month Year]],0))</f>
        <v>31</v>
      </c>
      <c r="I423" s="232"/>
      <c r="J423" s="232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219</v>
      </c>
      <c r="F424" s="37" t="s">
        <v>219</v>
      </c>
      <c r="G424" s="275">
        <f>PA[[#This Row],[Date]]-DAY(PA[[#This Row],[Date]])+1</f>
        <v>1</v>
      </c>
      <c r="H424" s="231">
        <f>DAY(EOMONTH(PA[[#This Row],[Month Year]],0))</f>
        <v>31</v>
      </c>
      <c r="I424" s="232"/>
      <c r="J424" s="232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44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6"/>
      <c r="C425" s="241">
        <f>YEAR(PA[[#This Row],[Date]])+IF(MONTH(PA[[#This Row],[Date]])&gt;=4,1,0)</f>
        <v>1900</v>
      </c>
      <c r="D425" s="241">
        <f>YEAR(PA[[#This Row],[Date]])</f>
        <v>1900</v>
      </c>
      <c r="E425" s="37" t="s">
        <v>219</v>
      </c>
      <c r="F425" s="37" t="s">
        <v>219</v>
      </c>
      <c r="G425" s="275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36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6"/>
      <c r="C426" s="241">
        <f>YEAR(PA[[#This Row],[Date]])+IF(MONTH(PA[[#This Row],[Date]])&gt;=4,1,0)</f>
        <v>1900</v>
      </c>
      <c r="D426" s="241">
        <f>YEAR(PA[[#This Row],[Date]])</f>
        <v>1900</v>
      </c>
      <c r="E426" s="37" t="s">
        <v>219</v>
      </c>
      <c r="F426" s="37" t="s">
        <v>219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6"/>
      <c r="C427" s="241">
        <f>YEAR(PA[[#This Row],[Date]])+IF(MONTH(PA[[#This Row],[Date]])&gt;=4,1,0)</f>
        <v>1900</v>
      </c>
      <c r="D427" s="241">
        <f>YEAR(PA[[#This Row],[Date]])</f>
        <v>1900</v>
      </c>
      <c r="E427" s="37" t="s">
        <v>219</v>
      </c>
      <c r="F427" s="37" t="s">
        <v>219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219</v>
      </c>
      <c r="F428" s="37" t="s">
        <v>219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6"/>
      <c r="AI428" s="33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219</v>
      </c>
      <c r="F429" s="37" t="s">
        <v>219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3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6"/>
      <c r="C430" s="240">
        <f>YEAR(PA[[#This Row],[Date]])+IF(MONTH(PA[[#This Row],[Date]])&gt;=4,1,0)</f>
        <v>1900</v>
      </c>
      <c r="D430" s="240">
        <f>YEAR(PA[[#This Row],[Date]])</f>
        <v>1900</v>
      </c>
      <c r="E430" s="37" t="s">
        <v>219</v>
      </c>
      <c r="F430" s="37" t="s">
        <v>219</v>
      </c>
      <c r="G430" s="275">
        <f>PA[[#This Row],[Date]]-DAY(PA[[#This Row],[Date]])+1</f>
        <v>1</v>
      </c>
      <c r="H430" s="231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31">
        <f>IF((PA[[#This Row],[String Type(If String BD)]]&amp;PA[[#This Row],[Equipment (If any BD other than PV  array and inv)]])="",1,0)</f>
        <v>1</v>
      </c>
      <c r="S430" s="231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34">
        <f>IF(PA[[#This Row],[Acknowledgement Time ]]="NA","",(PA[[#This Row],[Acknowledgement Time ]]-PA[[#This Row],[Fault Time]])*24)</f>
        <v>0</v>
      </c>
      <c r="AE430" s="234">
        <f>IF(PA[[#This Row],[Work Start time on Fault]]="NA","",(PA[[#This Row],[Work Start time on Fault]]-PA[[#This Row],[Fault Time]])*24)</f>
        <v>0</v>
      </c>
      <c r="AF430" s="235">
        <f>IF(PA[[#This Row],[Status]]="Open","",(PA[[#This Row],[Work Completion time on fault]]-PA[[#This Row],[Fault Time]])*24)</f>
        <v>0</v>
      </c>
      <c r="AG430" s="234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219</v>
      </c>
      <c r="F431" s="37" t="s">
        <v>219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36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219</v>
      </c>
      <c r="F432" s="37" t="s">
        <v>219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36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219</v>
      </c>
      <c r="F433" s="37" t="s">
        <v>219</v>
      </c>
      <c r="G433" s="275">
        <f>PA[[#This Row],[Date]]-DAY(PA[[#This Row],[Date]])+1</f>
        <v>1</v>
      </c>
      <c r="H433" s="231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36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6"/>
      <c r="C434" s="240">
        <f>YEAR(PA[[#This Row],[Date]])+IF(MONTH(PA[[#This Row],[Date]])&gt;=4,1,0)</f>
        <v>1900</v>
      </c>
      <c r="D434" s="240">
        <f>YEAR(PA[[#This Row],[Date]])</f>
        <v>1900</v>
      </c>
      <c r="E434" s="37" t="s">
        <v>219</v>
      </c>
      <c r="F434" s="37" t="s">
        <v>219</v>
      </c>
      <c r="G434" s="275">
        <f>PA[[#This Row],[Date]]-DAY(PA[[#This Row],[Date]])+1</f>
        <v>1</v>
      </c>
      <c r="H434" s="231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31">
        <f>IF((PA[[#This Row],[String Type(If String BD)]]&amp;PA[[#This Row],[Equipment (If any BD other than PV  array and inv)]])="",1,0)</f>
        <v>1</v>
      </c>
      <c r="S434" s="231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36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34">
        <f>IF(PA[[#This Row],[Acknowledgement Time ]]="NA","",(PA[[#This Row],[Acknowledgement Time ]]-PA[[#This Row],[Fault Time]])*24)</f>
        <v>0</v>
      </c>
      <c r="AE434" s="234">
        <f>IF(PA[[#This Row],[Work Start time on Fault]]="NA","",(PA[[#This Row],[Work Start time on Fault]]-PA[[#This Row],[Fault Time]])*24)</f>
        <v>0</v>
      </c>
      <c r="AF434" s="235">
        <f>IF(PA[[#This Row],[Status]]="Open","",(PA[[#This Row],[Work Completion time on fault]]-PA[[#This Row],[Fault Time]])*24)</f>
        <v>0</v>
      </c>
      <c r="AG434" s="234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6"/>
      <c r="C435" s="240">
        <f>YEAR(PA[[#This Row],[Date]])+IF(MONTH(PA[[#This Row],[Date]])&gt;=4,1,0)</f>
        <v>1900</v>
      </c>
      <c r="D435" s="240">
        <f>YEAR(PA[[#This Row],[Date]])</f>
        <v>1900</v>
      </c>
      <c r="E435" s="37" t="s">
        <v>219</v>
      </c>
      <c r="F435" s="37" t="s">
        <v>219</v>
      </c>
      <c r="G435" s="275">
        <f>PA[[#This Row],[Date]]-DAY(PA[[#This Row],[Date]])+1</f>
        <v>1</v>
      </c>
      <c r="H435" s="231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31">
        <f>IF((PA[[#This Row],[String Type(If String BD)]]&amp;PA[[#This Row],[Equipment (If any BD other than PV  array and inv)]])="",1,0)</f>
        <v>1</v>
      </c>
      <c r="S435" s="231">
        <f>IF(PA[[#This Row],[String Type(If String BD)]]="",1,0)</f>
        <v>1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33" t="str">
        <f>IFERROR(_xlfn.XLOOKUP(PA[[#This Row],[Affected Equipment ]],'Basic Data'!N:N,'Basic Data'!Q:Q),"")</f>
        <v/>
      </c>
      <c r="V435" s="237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0</v>
      </c>
      <c r="AG435" s="234">
        <f>IFERROR((PA[[#This Row],[Work Completion time on fault]]-PA[[#This Row],[Fault Time]])*24,"")</f>
        <v>0</v>
      </c>
      <c r="AH435" s="38"/>
      <c r="AI435" s="33"/>
      <c r="AJ435" s="233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6"/>
      <c r="C436" s="240">
        <f>YEAR(PA[[#This Row],[Date]])+IF(MONTH(PA[[#This Row],[Date]])&gt;=4,1,0)</f>
        <v>1900</v>
      </c>
      <c r="D436" s="240">
        <f>YEAR(PA[[#This Row],[Date]])</f>
        <v>1900</v>
      </c>
      <c r="E436" s="37" t="s">
        <v>219</v>
      </c>
      <c r="F436" s="37" t="s">
        <v>219</v>
      </c>
      <c r="G436" s="275">
        <f>PA[[#This Row],[Date]]-DAY(PA[[#This Row],[Date]])+1</f>
        <v>1</v>
      </c>
      <c r="H436" s="231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36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0</v>
      </c>
      <c r="AG436" s="234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6"/>
      <c r="C437" s="241">
        <f>YEAR(PA[[#This Row],[Date]])+IF(MONTH(PA[[#This Row],[Date]])&gt;=4,1,0)</f>
        <v>1900</v>
      </c>
      <c r="D437" s="240">
        <f>YEAR(PA[[#This Row],[Date]])</f>
        <v>1900</v>
      </c>
      <c r="E437" s="37" t="s">
        <v>219</v>
      </c>
      <c r="F437" s="37" t="s">
        <v>219</v>
      </c>
      <c r="G437" s="275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36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6"/>
      <c r="C438" s="241">
        <f>YEAR(PA[[#This Row],[Date]])+IF(MONTH(PA[[#This Row],[Date]])&gt;=4,1,0)</f>
        <v>1900</v>
      </c>
      <c r="D438" s="240">
        <f>YEAR(PA[[#This Row],[Date]])</f>
        <v>1900</v>
      </c>
      <c r="E438" s="37" t="s">
        <v>219</v>
      </c>
      <c r="F438" s="37" t="s">
        <v>219</v>
      </c>
      <c r="G438" s="275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36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6"/>
      <c r="C439" s="241">
        <f>YEAR(PA[[#This Row],[Date]])+IF(MONTH(PA[[#This Row],[Date]])&gt;=4,1,0)</f>
        <v>1900</v>
      </c>
      <c r="D439" s="240">
        <f>YEAR(PA[[#This Row],[Date]])</f>
        <v>1900</v>
      </c>
      <c r="E439" s="37" t="s">
        <v>219</v>
      </c>
      <c r="F439" s="37" t="s">
        <v>219</v>
      </c>
      <c r="G439" s="275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36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6"/>
      <c r="C440" s="241">
        <f>YEAR(PA[[#This Row],[Date]])+IF(MONTH(PA[[#This Row],[Date]])&gt;=4,1,0)</f>
        <v>1900</v>
      </c>
      <c r="D440" s="240">
        <f>YEAR(PA[[#This Row],[Date]])</f>
        <v>1900</v>
      </c>
      <c r="E440" s="37" t="s">
        <v>219</v>
      </c>
      <c r="F440" s="37" t="s">
        <v>219</v>
      </c>
      <c r="G440" s="275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36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6"/>
      <c r="C441" s="240">
        <f>YEAR(PA[[#This Row],[Date]])+IF(MONTH(PA[[#This Row],[Date]])&gt;=4,1,0)</f>
        <v>1900</v>
      </c>
      <c r="D441" s="240">
        <f>YEAR(PA[[#This Row],[Date]])</f>
        <v>1900</v>
      </c>
      <c r="E441" s="37" t="s">
        <v>219</v>
      </c>
      <c r="F441" s="37" t="s">
        <v>219</v>
      </c>
      <c r="G441" s="275">
        <f>PA[[#This Row],[Date]]-DAY(PA[[#This Row],[Date]])+1</f>
        <v>1</v>
      </c>
      <c r="H441" s="231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33" t="str">
        <f>IFERROR(_xlfn.XLOOKUP(PA[[#This Row],[Affected Equipment ]],'Basic Data'!N:N,'Basic Data'!Q:Q),"")</f>
        <v/>
      </c>
      <c r="V441" s="237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0</v>
      </c>
      <c r="AG441" s="234">
        <f>IFERROR((PA[[#This Row],[Work Completion time on fault]]-PA[[#This Row],[Fault Time]])*24,"")</f>
        <v>0</v>
      </c>
      <c r="AH441" s="38"/>
      <c r="AI441" s="33"/>
      <c r="AJ441" s="233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6"/>
      <c r="C442" s="240">
        <f>YEAR(PA[[#This Row],[Date]])+IF(MONTH(PA[[#This Row],[Date]])&gt;=4,1,0)</f>
        <v>1900</v>
      </c>
      <c r="D442" s="240">
        <f>YEAR(PA[[#This Row],[Date]])</f>
        <v>1900</v>
      </c>
      <c r="E442" s="37" t="s">
        <v>219</v>
      </c>
      <c r="F442" s="37" t="s">
        <v>219</v>
      </c>
      <c r="G442" s="275">
        <f>PA[[#This Row],[Date]]-DAY(PA[[#This Row],[Date]])+1</f>
        <v>1</v>
      </c>
      <c r="H442" s="231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31">
        <f>IF((PA[[#This Row],[String Type(If String BD)]]&amp;PA[[#This Row],[Equipment (If any BD other than PV  array and inv)]])="",1,0)</f>
        <v>1</v>
      </c>
      <c r="S442" s="231">
        <f>IF(PA[[#This Row],[String Type(If String BD)]]="",1,0)</f>
        <v>1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33" t="str">
        <f>IFERROR(_xlfn.XLOOKUP(PA[[#This Row],[Affected Equipment ]],'Basic Data'!N:N,'Basic Data'!Q:Q),"")</f>
        <v/>
      </c>
      <c r="V442" s="237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0</v>
      </c>
      <c r="AG442" s="234">
        <f>IFERROR((PA[[#This Row],[Work Completion time on fault]]-PA[[#This Row],[Fault Time]])*24,"")</f>
        <v>0</v>
      </c>
      <c r="AH442" s="38"/>
      <c r="AI442" s="37"/>
      <c r="AJ442" s="233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6"/>
      <c r="C443" s="241">
        <f>YEAR(PA[[#This Row],[Date]])+IF(MONTH(PA[[#This Row],[Date]])&gt;=4,1,0)</f>
        <v>1900</v>
      </c>
      <c r="D443" s="240">
        <f>YEAR(PA[[#This Row],[Date]])</f>
        <v>1900</v>
      </c>
      <c r="E443" s="37" t="s">
        <v>219</v>
      </c>
      <c r="F443" s="37" t="s">
        <v>219</v>
      </c>
      <c r="G443" s="275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36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6"/>
      <c r="C444" s="241">
        <f>YEAR(PA[[#This Row],[Date]])+IF(MONTH(PA[[#This Row],[Date]])&gt;=4,1,0)</f>
        <v>1900</v>
      </c>
      <c r="D444" s="240">
        <f>YEAR(PA[[#This Row],[Date]])</f>
        <v>1900</v>
      </c>
      <c r="E444" s="37" t="s">
        <v>219</v>
      </c>
      <c r="F444" s="37" t="s">
        <v>219</v>
      </c>
      <c r="G444" s="275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36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6"/>
      <c r="C445" s="240">
        <f>YEAR(PA[[#This Row],[Date]])+IF(MONTH(PA[[#This Row],[Date]])&gt;=4,1,0)</f>
        <v>1900</v>
      </c>
      <c r="D445" s="240">
        <f>YEAR(PA[[#This Row],[Date]])</f>
        <v>1900</v>
      </c>
      <c r="E445" s="37" t="s">
        <v>219</v>
      </c>
      <c r="F445" s="37" t="s">
        <v>219</v>
      </c>
      <c r="G445" s="275">
        <f>PA[[#This Row],[Date]]-DAY(PA[[#This Row],[Date]])+1</f>
        <v>1</v>
      </c>
      <c r="H445" s="231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33" t="str">
        <f>IFERROR(_xlfn.XLOOKUP(PA[[#This Row],[Affected Equipment ]],'Basic Data'!N:N,'Basic Data'!Q:Q),"")</f>
        <v/>
      </c>
      <c r="V445" s="237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0</v>
      </c>
      <c r="AG445" s="234">
        <f>IFERROR((PA[[#This Row],[Work Completion time on fault]]-PA[[#This Row],[Fault Time]])*24,"")</f>
        <v>0</v>
      </c>
      <c r="AH445" s="38"/>
      <c r="AI445" s="37"/>
      <c r="AJ445" s="233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6"/>
      <c r="C446" s="240">
        <f>YEAR(PA[[#This Row],[Date]])+IF(MONTH(PA[[#This Row],[Date]])&gt;=4,1,0)</f>
        <v>1900</v>
      </c>
      <c r="D446" s="240">
        <f>YEAR(PA[[#This Row],[Date]])</f>
        <v>1900</v>
      </c>
      <c r="E446" s="37" t="s">
        <v>219</v>
      </c>
      <c r="F446" s="37" t="s">
        <v>219</v>
      </c>
      <c r="G446" s="275">
        <f>PA[[#This Row],[Date]]-DAY(PA[[#This Row],[Date]])+1</f>
        <v>1</v>
      </c>
      <c r="H446" s="231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33" t="str">
        <f>IFERROR(_xlfn.XLOOKUP(PA[[#This Row],[Affected Equipment ]],'Basic Data'!N:N,'Basic Data'!Q:Q),"")</f>
        <v/>
      </c>
      <c r="V446" s="237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0</v>
      </c>
      <c r="AG446" s="234">
        <f>IFERROR((PA[[#This Row],[Work Completion time on fault]]-PA[[#This Row],[Fault Time]])*24,"")</f>
        <v>0</v>
      </c>
      <c r="AH446" s="38"/>
      <c r="AI446" s="37"/>
      <c r="AJ446" s="233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6"/>
      <c r="C447" s="241">
        <f>YEAR(PA[[#This Row],[Date]])+IF(MONTH(PA[[#This Row],[Date]])&gt;=4,1,0)</f>
        <v>1900</v>
      </c>
      <c r="D447" s="240">
        <f>YEAR(PA[[#This Row],[Date]])</f>
        <v>1900</v>
      </c>
      <c r="E447" s="37" t="s">
        <v>219</v>
      </c>
      <c r="F447" s="37" t="s">
        <v>219</v>
      </c>
      <c r="G447" s="275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36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6"/>
      <c r="C448" s="240">
        <f>YEAR(PA[[#This Row],[Date]])+IF(MONTH(PA[[#This Row],[Date]])&gt;=4,1,0)</f>
        <v>1900</v>
      </c>
      <c r="D448" s="240">
        <f>YEAR(PA[[#This Row],[Date]])</f>
        <v>1900</v>
      </c>
      <c r="E448" s="37" t="s">
        <v>219</v>
      </c>
      <c r="F448" s="37" t="s">
        <v>219</v>
      </c>
      <c r="G448" s="275">
        <f>PA[[#This Row],[Date]]-DAY(PA[[#This Row],[Date]])+1</f>
        <v>1</v>
      </c>
      <c r="H448" s="231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33" t="str">
        <f>IFERROR(_xlfn.XLOOKUP(PA[[#This Row],[Affected Equipment ]],'Basic Data'!N:N,'Basic Data'!Q:Q),"")</f>
        <v/>
      </c>
      <c r="V448" s="237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0</v>
      </c>
      <c r="AG448" s="234">
        <f>IFERROR((PA[[#This Row],[Work Completion time on fault]]-PA[[#This Row],[Fault Time]])*24,"")</f>
        <v>0</v>
      </c>
      <c r="AH448" s="36"/>
      <c r="AI448" s="33"/>
      <c r="AJ448" s="233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6"/>
      <c r="C449" s="240">
        <f>YEAR(PA[[#This Row],[Date]])+IF(MONTH(PA[[#This Row],[Date]])&gt;=4,1,0)</f>
        <v>1900</v>
      </c>
      <c r="D449" s="240">
        <f>YEAR(PA[[#This Row],[Date]])</f>
        <v>1900</v>
      </c>
      <c r="E449" s="37" t="s">
        <v>219</v>
      </c>
      <c r="F449" s="37" t="s">
        <v>219</v>
      </c>
      <c r="G449" s="275">
        <f>PA[[#This Row],[Date]]-DAY(PA[[#This Row],[Date]])+1</f>
        <v>1</v>
      </c>
      <c r="H449" s="231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33" t="str">
        <f>IFERROR(_xlfn.XLOOKUP(PA[[#This Row],[Affected Equipment ]],'Basic Data'!N:N,'Basic Data'!Q:Q),"")</f>
        <v/>
      </c>
      <c r="V449" s="237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0</v>
      </c>
      <c r="AG449" s="234">
        <f>IFERROR((PA[[#This Row],[Work Completion time on fault]]-PA[[#This Row],[Fault Time]])*24,"")</f>
        <v>0</v>
      </c>
      <c r="AH449" s="38"/>
      <c r="AI449" s="33"/>
      <c r="AJ449" s="233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6"/>
      <c r="C450" s="240">
        <f>YEAR(PA[[#This Row],[Date]])+IF(MONTH(PA[[#This Row],[Date]])&gt;=4,1,0)</f>
        <v>1900</v>
      </c>
      <c r="D450" s="240">
        <f>YEAR(PA[[#This Row],[Date]])</f>
        <v>1900</v>
      </c>
      <c r="E450" s="37" t="s">
        <v>219</v>
      </c>
      <c r="F450" s="37" t="s">
        <v>219</v>
      </c>
      <c r="G450" s="275">
        <f>PA[[#This Row],[Date]]-DAY(PA[[#This Row],[Date]])+1</f>
        <v>1</v>
      </c>
      <c r="H450" s="231">
        <f>DAY(EOMONTH(PA[[#This Row],[Month Year]],0))</f>
        <v>31</v>
      </c>
      <c r="I450" s="232"/>
      <c r="J450" s="232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33" t="str">
        <f>IFERROR(_xlfn.XLOOKUP(PA[[#This Row],[Affected Equipment ]],'Basic Data'!N:N,'Basic Data'!Q:Q),"")</f>
        <v/>
      </c>
      <c r="V450" s="237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</v>
      </c>
      <c r="AG450" s="234">
        <f>IFERROR((PA[[#This Row],[Work Completion time on fault]]-PA[[#This Row],[Fault Time]])*24,"")</f>
        <v>0</v>
      </c>
      <c r="AH450" s="38"/>
      <c r="AI450" s="33"/>
      <c r="AJ450" s="233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41">
        <f>YEAR(PA[[#This Row],[Date]])+IF(MONTH(PA[[#This Row],[Date]])&gt;=4,1,0)</f>
        <v>1900</v>
      </c>
      <c r="D451" s="33">
        <f>YEAR(PA[[#This Row],[Date]])</f>
        <v>1900</v>
      </c>
      <c r="E451" s="33" t="s">
        <v>219</v>
      </c>
      <c r="F451" s="33" t="s">
        <v>219</v>
      </c>
      <c r="G451" s="274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36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31">
        <f>YEAR(PA[[#This Row],[Date]])</f>
        <v>1900</v>
      </c>
      <c r="E452" s="33" t="s">
        <v>219</v>
      </c>
      <c r="F452" s="33" t="s">
        <v>219</v>
      </c>
      <c r="G452" s="196">
        <f>PA[[#This Row],[Date]]-DAY(PA[[#This Row],[Date]])+1</f>
        <v>1</v>
      </c>
      <c r="H452" s="231">
        <f>DAY(EOMONTH(PA[[#This Row],[Month Year]],0))</f>
        <v>31</v>
      </c>
      <c r="I452" s="366"/>
      <c r="J452" s="366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31">
        <f>IF((PA[[#This Row],[String Type(If String BD)]]&amp;PA[[#This Row],[Equipment (If any BD other than PV  array and inv)]])="",1,0)</f>
        <v>1</v>
      </c>
      <c r="S452" s="231">
        <f>IF(PA[[#This Row],[String Type(If String BD)]]="",1,0)</f>
        <v>1</v>
      </c>
      <c r="T4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33" t="str">
        <f>IFERROR(_xlfn.XLOOKUP(PA[[#This Row],[Affected Equipment ]],'Basic Data'!N:N,'Basic Data'!Q:Q),"")</f>
        <v/>
      </c>
      <c r="V452" s="237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34">
        <f>IF(PA[[#This Row],[Acknowledgement Time ]]="NA","",(PA[[#This Row],[Acknowledgement Time ]]-PA[[#This Row],[Fault Time]])*24)</f>
        <v>0</v>
      </c>
      <c r="AE452" s="234">
        <f>IF(PA[[#This Row],[Work Start time on Fault]]="NA","",(PA[[#This Row],[Work Start time on Fault]]-PA[[#This Row],[Fault Time]])*24)</f>
        <v>0</v>
      </c>
      <c r="AF452" s="235">
        <f>IF(PA[[#This Row],[Status]]="Open","",(PA[[#This Row],[Work Completion time on fault]]-PA[[#This Row],[Fault Time]])*24)</f>
        <v>0</v>
      </c>
      <c r="AG452" s="234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31">
        <f>YEAR(PA[[#This Row],[Date]])</f>
        <v>1900</v>
      </c>
      <c r="E453" s="33" t="s">
        <v>219</v>
      </c>
      <c r="F453" s="33" t="s">
        <v>219</v>
      </c>
      <c r="G453" s="196">
        <f>PA[[#This Row],[Date]]-DAY(PA[[#This Row],[Date]])+1</f>
        <v>1</v>
      </c>
      <c r="H453" s="231">
        <f>DAY(EOMONTH(PA[[#This Row],[Month Year]],0))</f>
        <v>31</v>
      </c>
      <c r="I453" s="366"/>
      <c r="J453" s="366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31">
        <f>IF((PA[[#This Row],[String Type(If String BD)]]&amp;PA[[#This Row],[Equipment (If any BD other than PV  array and inv)]])="",1,0)</f>
        <v>1</v>
      </c>
      <c r="S453" s="231">
        <f>IF(PA[[#This Row],[String Type(If String BD)]]="",1,0)</f>
        <v>1</v>
      </c>
      <c r="T45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33" t="str">
        <f>IFERROR(_xlfn.XLOOKUP(PA[[#This Row],[Affected Equipment ]],'Basic Data'!N:N,'Basic Data'!Q:Q),"")</f>
        <v/>
      </c>
      <c r="V453" s="237" t="str">
        <f>IFERROR(_xlfn.XLOOKUP(PA[[#This Row],[Affected Equipment ]],'Basic Data'!N:N,'Basic Data'!R:R),"")</f>
        <v/>
      </c>
      <c r="W453" s="36"/>
      <c r="X453" s="41"/>
      <c r="Y453" s="350"/>
      <c r="Z453" s="42"/>
      <c r="AA453" s="42"/>
      <c r="AB453" s="42"/>
      <c r="AC453" s="42"/>
      <c r="AD453" s="234">
        <f>IF(PA[[#This Row],[Acknowledgement Time ]]="NA","",(PA[[#This Row],[Acknowledgement Time ]]-PA[[#This Row],[Fault Time]])*24)</f>
        <v>0</v>
      </c>
      <c r="AE453" s="234">
        <f>IF(PA[[#This Row],[Work Start time on Fault]]="NA","",(PA[[#This Row],[Work Start time on Fault]]-PA[[#This Row],[Fault Time]])*24)</f>
        <v>0</v>
      </c>
      <c r="AF453" s="235">
        <f>IF(PA[[#This Row],[Status]]="Open","",(PA[[#This Row],[Work Completion time on fault]]-PA[[#This Row],[Fault Time]])*24)</f>
        <v>0</v>
      </c>
      <c r="AG453" s="234">
        <f>IFERROR((PA[[#This Row],[Work Completion time on fault]]-PA[[#This Row],[Fault Time]])*24,"")</f>
        <v>0</v>
      </c>
      <c r="AH453" s="36"/>
      <c r="AI453" s="33"/>
      <c r="AJ453" s="233" t="str">
        <f>IFERROR(PA[[#This Row],[Breakdown Time]]*PA[[#This Row],[Plant Equivalent Weightage]],"")</f>
        <v/>
      </c>
      <c r="AK453" s="38"/>
      <c r="AL453" s="342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31">
        <f>YEAR(PA[[#This Row],[Date]])</f>
        <v>1900</v>
      </c>
      <c r="E454" s="33" t="s">
        <v>219</v>
      </c>
      <c r="F454" s="33" t="s">
        <v>219</v>
      </c>
      <c r="G454" s="196">
        <f>PA[[#This Row],[Date]]-DAY(PA[[#This Row],[Date]])+1</f>
        <v>1</v>
      </c>
      <c r="H454" s="231">
        <f>DAY(EOMONTH(PA[[#This Row],[Month Year]],0))</f>
        <v>31</v>
      </c>
      <c r="I454" s="366"/>
      <c r="J454" s="366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31">
        <f>IF((PA[[#This Row],[String Type(If String BD)]]&amp;PA[[#This Row],[Equipment (If any BD other than PV  array and inv)]])="",1,0)</f>
        <v>1</v>
      </c>
      <c r="S454" s="231">
        <f>IF(PA[[#This Row],[String Type(If String BD)]]="",1,0)</f>
        <v>1</v>
      </c>
      <c r="T4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33" t="str">
        <f>IFERROR(_xlfn.XLOOKUP(PA[[#This Row],[Affected Equipment ]],'Basic Data'!N:N,'Basic Data'!Q:Q),"")</f>
        <v/>
      </c>
      <c r="V454" s="237" t="str">
        <f>IFERROR(_xlfn.XLOOKUP(PA[[#This Row],[Affected Equipment ]],'Basic Data'!N:N,'Basic Data'!R:R),"")</f>
        <v/>
      </c>
      <c r="W454" s="36"/>
      <c r="X454" s="41"/>
      <c r="Y454" s="350"/>
      <c r="Z454" s="42"/>
      <c r="AA454" s="42"/>
      <c r="AB454" s="42"/>
      <c r="AC454" s="42"/>
      <c r="AD454" s="234">
        <f>IF(PA[[#This Row],[Acknowledgement Time ]]="NA","",(PA[[#This Row],[Acknowledgement Time ]]-PA[[#This Row],[Fault Time]])*24)</f>
        <v>0</v>
      </c>
      <c r="AE454" s="234">
        <f>IF(PA[[#This Row],[Work Start time on Fault]]="NA","",(PA[[#This Row],[Work Start time on Fault]]-PA[[#This Row],[Fault Time]])*24)</f>
        <v>0</v>
      </c>
      <c r="AF454" s="235">
        <f>IF(PA[[#This Row],[Status]]="Open","",(PA[[#This Row],[Work Completion time on fault]]-PA[[#This Row],[Fault Time]])*24)</f>
        <v>0</v>
      </c>
      <c r="AG454" s="234">
        <f>IFERROR((PA[[#This Row],[Work Completion time on fault]]-PA[[#This Row],[Fault Time]])*24,"")</f>
        <v>0</v>
      </c>
      <c r="AH454" s="36"/>
      <c r="AI454" s="33"/>
      <c r="AJ454" s="233" t="str">
        <f>IFERROR(PA[[#This Row],[Breakdown Time]]*PA[[#This Row],[Plant Equivalent Weightage]],"")</f>
        <v/>
      </c>
      <c r="AK454" s="38"/>
      <c r="AL454" s="342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31">
        <f>YEAR(PA[[#This Row],[Date]])</f>
        <v>1900</v>
      </c>
      <c r="E455" s="33" t="s">
        <v>219</v>
      </c>
      <c r="F455" s="33" t="s">
        <v>219</v>
      </c>
      <c r="G455" s="196">
        <f>PA[[#This Row],[Date]]-DAY(PA[[#This Row],[Date]])+1</f>
        <v>1</v>
      </c>
      <c r="H455" s="231">
        <f>DAY(EOMONTH(PA[[#This Row],[Month Year]],0))</f>
        <v>31</v>
      </c>
      <c r="I455" s="366"/>
      <c r="J455" s="366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31">
        <f>IF((PA[[#This Row],[String Type(If String BD)]]&amp;PA[[#This Row],[Equipment (If any BD other than PV  array and inv)]])="",1,0)</f>
        <v>1</v>
      </c>
      <c r="S455" s="231">
        <f>IF(PA[[#This Row],[String Type(If String BD)]]="",1,0)</f>
        <v>1</v>
      </c>
      <c r="T4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33" t="str">
        <f>IFERROR(_xlfn.XLOOKUP(PA[[#This Row],[Affected Equipment ]],'Basic Data'!N:N,'Basic Data'!Q:Q),"")</f>
        <v/>
      </c>
      <c r="V455" s="237" t="str">
        <f>IFERROR(_xlfn.XLOOKUP(PA[[#This Row],[Affected Equipment ]],'Basic Data'!N:N,'Basic Data'!R:R),"")</f>
        <v/>
      </c>
      <c r="W455" s="36"/>
      <c r="X455" s="41"/>
      <c r="Y455" s="350"/>
      <c r="Z455" s="42"/>
      <c r="AA455" s="42"/>
      <c r="AB455" s="42"/>
      <c r="AC455" s="42"/>
      <c r="AD455" s="234">
        <f>IF(PA[[#This Row],[Acknowledgement Time ]]="NA","",(PA[[#This Row],[Acknowledgement Time ]]-PA[[#This Row],[Fault Time]])*24)</f>
        <v>0</v>
      </c>
      <c r="AE455" s="234">
        <f>IF(PA[[#This Row],[Work Start time on Fault]]="NA","",(PA[[#This Row],[Work Start time on Fault]]-PA[[#This Row],[Fault Time]])*24)</f>
        <v>0</v>
      </c>
      <c r="AF455" s="235">
        <f>IF(PA[[#This Row],[Status]]="Open","",(PA[[#This Row],[Work Completion time on fault]]-PA[[#This Row],[Fault Time]])*24)</f>
        <v>0</v>
      </c>
      <c r="AG455" s="234">
        <f>IFERROR((PA[[#This Row],[Work Completion time on fault]]-PA[[#This Row],[Fault Time]])*24,"")</f>
        <v>0</v>
      </c>
      <c r="AH455" s="36"/>
      <c r="AI455" s="33"/>
      <c r="AJ455" s="233" t="str">
        <f>IFERROR(PA[[#This Row],[Breakdown Time]]*PA[[#This Row],[Plant Equivalent Weightage]],"")</f>
        <v/>
      </c>
      <c r="AK455" s="38"/>
      <c r="AL455" s="342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31">
        <f>YEAR(PA[[#This Row],[Date]])</f>
        <v>1900</v>
      </c>
      <c r="E456" s="33" t="s">
        <v>219</v>
      </c>
      <c r="F456" s="33" t="s">
        <v>219</v>
      </c>
      <c r="G456" s="196">
        <f>PA[[#This Row],[Date]]-DAY(PA[[#This Row],[Date]])+1</f>
        <v>1</v>
      </c>
      <c r="H456" s="231">
        <f>DAY(EOMONTH(PA[[#This Row],[Month Year]],0))</f>
        <v>31</v>
      </c>
      <c r="I456" s="366"/>
      <c r="J456" s="366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31">
        <f>IF((PA[[#This Row],[String Type(If String BD)]]&amp;PA[[#This Row],[Equipment (If any BD other than PV  array and inv)]])="",1,0)</f>
        <v>1</v>
      </c>
      <c r="S456" s="231">
        <f>IF(PA[[#This Row],[String Type(If String BD)]]="",1,0)</f>
        <v>1</v>
      </c>
      <c r="T4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33" t="str">
        <f>IFERROR(_xlfn.XLOOKUP(PA[[#This Row],[Affected Equipment ]],'Basic Data'!N:N,'Basic Data'!Q:Q),"")</f>
        <v/>
      </c>
      <c r="V456" s="237" t="str">
        <f>IFERROR(_xlfn.XLOOKUP(PA[[#This Row],[Affected Equipment ]],'Basic Data'!N:N,'Basic Data'!R:R),"")</f>
        <v/>
      </c>
      <c r="W456" s="36"/>
      <c r="X456" s="41"/>
      <c r="Y456" s="350"/>
      <c r="Z456" s="42"/>
      <c r="AA456" s="42"/>
      <c r="AB456" s="42"/>
      <c r="AC456" s="42"/>
      <c r="AD456" s="234">
        <f>IF(PA[[#This Row],[Acknowledgement Time ]]="NA","",(PA[[#This Row],[Acknowledgement Time ]]-PA[[#This Row],[Fault Time]])*24)</f>
        <v>0</v>
      </c>
      <c r="AE456" s="234">
        <f>IF(PA[[#This Row],[Work Start time on Fault]]="NA","",(PA[[#This Row],[Work Start time on Fault]]-PA[[#This Row],[Fault Time]])*24)</f>
        <v>0</v>
      </c>
      <c r="AF456" s="235">
        <f>IF(PA[[#This Row],[Status]]="Open","",(PA[[#This Row],[Work Completion time on fault]]-PA[[#This Row],[Fault Time]])*24)</f>
        <v>0</v>
      </c>
      <c r="AG456" s="234">
        <f>IFERROR((PA[[#This Row],[Work Completion time on fault]]-PA[[#This Row],[Fault Time]])*24,"")</f>
        <v>0</v>
      </c>
      <c r="AH456" s="36"/>
      <c r="AI456" s="33"/>
      <c r="AJ456" s="233" t="str">
        <f>IFERROR(PA[[#This Row],[Breakdown Time]]*PA[[#This Row],[Plant Equivalent Weightage]],"")</f>
        <v/>
      </c>
      <c r="AK456" s="38"/>
      <c r="AL456" s="342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31">
        <f>YEAR(PA[[#This Row],[Date]])</f>
        <v>1900</v>
      </c>
      <c r="E457" s="33" t="s">
        <v>219</v>
      </c>
      <c r="F457" s="33" t="s">
        <v>219</v>
      </c>
      <c r="G457" s="196">
        <f>PA[[#This Row],[Date]]-DAY(PA[[#This Row],[Date]])+1</f>
        <v>1</v>
      </c>
      <c r="H457" s="231">
        <f>DAY(EOMONTH(PA[[#This Row],[Month Year]],0))</f>
        <v>31</v>
      </c>
      <c r="I457" s="366"/>
      <c r="J457" s="366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31">
        <f>IF((PA[[#This Row],[String Type(If String BD)]]&amp;PA[[#This Row],[Equipment (If any BD other than PV  array and inv)]])="",1,0)</f>
        <v>1</v>
      </c>
      <c r="S457" s="231">
        <f>IF(PA[[#This Row],[String Type(If String BD)]]="",1,0)</f>
        <v>1</v>
      </c>
      <c r="T4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33" t="str">
        <f>IFERROR(_xlfn.XLOOKUP(PA[[#This Row],[Affected Equipment ]],'Basic Data'!N:N,'Basic Data'!Q:Q),"")</f>
        <v/>
      </c>
      <c r="V457" s="237" t="str">
        <f>IFERROR(_xlfn.XLOOKUP(PA[[#This Row],[Affected Equipment ]],'Basic Data'!N:N,'Basic Data'!R:R),"")</f>
        <v/>
      </c>
      <c r="W457" s="36"/>
      <c r="X457" s="41"/>
      <c r="Y457" s="350"/>
      <c r="Z457" s="42"/>
      <c r="AA457" s="42"/>
      <c r="AB457" s="42"/>
      <c r="AC457" s="42"/>
      <c r="AD457" s="234">
        <f>IF(PA[[#This Row],[Acknowledgement Time ]]="NA","",(PA[[#This Row],[Acknowledgement Time ]]-PA[[#This Row],[Fault Time]])*24)</f>
        <v>0</v>
      </c>
      <c r="AE457" s="234">
        <f>IF(PA[[#This Row],[Work Start time on Fault]]="NA","",(PA[[#This Row],[Work Start time on Fault]]-PA[[#This Row],[Fault Time]])*24)</f>
        <v>0</v>
      </c>
      <c r="AF457" s="235">
        <f>IF(PA[[#This Row],[Status]]="Open","",(PA[[#This Row],[Work Completion time on fault]]-PA[[#This Row],[Fault Time]])*24)</f>
        <v>0</v>
      </c>
      <c r="AG457" s="234">
        <f>IFERROR((PA[[#This Row],[Work Completion time on fault]]-PA[[#This Row],[Fault Time]])*24,"")</f>
        <v>0</v>
      </c>
      <c r="AH457" s="36"/>
      <c r="AI457" s="33"/>
      <c r="AJ457" s="233" t="str">
        <f>IFERROR(PA[[#This Row],[Breakdown Time]]*PA[[#This Row],[Plant Equivalent Weightage]],"")</f>
        <v/>
      </c>
      <c r="AK457" s="38"/>
      <c r="AL457" s="342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31">
        <f>YEAR(PA[[#This Row],[Date]])</f>
        <v>1900</v>
      </c>
      <c r="E458" s="33" t="s">
        <v>219</v>
      </c>
      <c r="F458" s="33" t="s">
        <v>219</v>
      </c>
      <c r="G458" s="196">
        <f>PA[[#This Row],[Date]]-DAY(PA[[#This Row],[Date]])+1</f>
        <v>1</v>
      </c>
      <c r="H458" s="231">
        <f>DAY(EOMONTH(PA[[#This Row],[Month Year]],0))</f>
        <v>31</v>
      </c>
      <c r="I458" s="366"/>
      <c r="J458" s="366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31">
        <f>IF((PA[[#This Row],[String Type(If String BD)]]&amp;PA[[#This Row],[Equipment (If any BD other than PV  array and inv)]])="",1,0)</f>
        <v>1</v>
      </c>
      <c r="S458" s="231">
        <f>IF(PA[[#This Row],[String Type(If String BD)]]="",1,0)</f>
        <v>1</v>
      </c>
      <c r="T4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33" t="str">
        <f>IFERROR(_xlfn.XLOOKUP(PA[[#This Row],[Affected Equipment ]],'Basic Data'!N:N,'Basic Data'!Q:Q),"")</f>
        <v/>
      </c>
      <c r="V458" s="237" t="str">
        <f>IFERROR(_xlfn.XLOOKUP(PA[[#This Row],[Affected Equipment ]],'Basic Data'!N:N,'Basic Data'!R:R),"")</f>
        <v/>
      </c>
      <c r="W458" s="36"/>
      <c r="X458" s="41"/>
      <c r="Y458" s="350"/>
      <c r="Z458" s="42"/>
      <c r="AA458" s="42"/>
      <c r="AB458" s="42"/>
      <c r="AC458" s="42"/>
      <c r="AD458" s="234">
        <f>IF(PA[[#This Row],[Acknowledgement Time ]]="NA","",(PA[[#This Row],[Acknowledgement Time ]]-PA[[#This Row],[Fault Time]])*24)</f>
        <v>0</v>
      </c>
      <c r="AE458" s="234">
        <f>IF(PA[[#This Row],[Work Start time on Fault]]="NA","",(PA[[#This Row],[Work Start time on Fault]]-PA[[#This Row],[Fault Time]])*24)</f>
        <v>0</v>
      </c>
      <c r="AF458" s="235">
        <f>IF(PA[[#This Row],[Status]]="Open","",(PA[[#This Row],[Work Completion time on fault]]-PA[[#This Row],[Fault Time]])*24)</f>
        <v>0</v>
      </c>
      <c r="AG458" s="234">
        <f>IFERROR((PA[[#This Row],[Work Completion time on fault]]-PA[[#This Row],[Fault Time]])*24,"")</f>
        <v>0</v>
      </c>
      <c r="AH458" s="36"/>
      <c r="AI458" s="33"/>
      <c r="AJ458" s="233" t="str">
        <f>IFERROR(PA[[#This Row],[Breakdown Time]]*PA[[#This Row],[Plant Equivalent Weightage]],"")</f>
        <v/>
      </c>
      <c r="AK458" s="38"/>
      <c r="AL458" s="342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31">
        <f>YEAR(PA[[#This Row],[Date]])</f>
        <v>1900</v>
      </c>
      <c r="E459" s="33" t="s">
        <v>219</v>
      </c>
      <c r="F459" s="33" t="s">
        <v>219</v>
      </c>
      <c r="G459" s="196">
        <f>PA[[#This Row],[Date]]-DAY(PA[[#This Row],[Date]])+1</f>
        <v>1</v>
      </c>
      <c r="H459" s="231">
        <f>DAY(EOMONTH(PA[[#This Row],[Month Year]],0))</f>
        <v>31</v>
      </c>
      <c r="I459" s="366"/>
      <c r="J459" s="366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31">
        <f>IF((PA[[#This Row],[String Type(If String BD)]]&amp;PA[[#This Row],[Equipment (If any BD other than PV  array and inv)]])="",1,0)</f>
        <v>1</v>
      </c>
      <c r="S459" s="231">
        <f>IF(PA[[#This Row],[String Type(If String BD)]]="",1,0)</f>
        <v>1</v>
      </c>
      <c r="T4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33" t="str">
        <f>IFERROR(_xlfn.XLOOKUP(PA[[#This Row],[Affected Equipment ]],'Basic Data'!N:N,'Basic Data'!Q:Q),"")</f>
        <v/>
      </c>
      <c r="V459" s="237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34">
        <f>IF(PA[[#This Row],[Acknowledgement Time ]]="NA","",(PA[[#This Row],[Acknowledgement Time ]]-PA[[#This Row],[Fault Time]])*24)</f>
        <v>0</v>
      </c>
      <c r="AE459" s="234">
        <f>IF(PA[[#This Row],[Work Start time on Fault]]="NA","",(PA[[#This Row],[Work Start time on Fault]]-PA[[#This Row],[Fault Time]])*24)</f>
        <v>0</v>
      </c>
      <c r="AF459" s="235">
        <f>IF(PA[[#This Row],[Status]]="Open","",(PA[[#This Row],[Work Completion time on fault]]-PA[[#This Row],[Fault Time]])*24)</f>
        <v>0</v>
      </c>
      <c r="AG459" s="234">
        <f>IFERROR((PA[[#This Row],[Work Completion time on fault]]-PA[[#This Row],[Fault Time]])*24,"")</f>
        <v>0</v>
      </c>
      <c r="AH459" s="38"/>
      <c r="AI459" s="33"/>
      <c r="AJ459" s="233" t="str">
        <f>IFERROR(PA[[#This Row],[Breakdown Time]]*PA[[#This Row],[Plant Equivalent Weightage]],"")</f>
        <v/>
      </c>
      <c r="AK459" s="38"/>
      <c r="AL459" s="342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31">
        <f>YEAR(PA[[#This Row],[Date]])</f>
        <v>1900</v>
      </c>
      <c r="E460" s="33" t="s">
        <v>219</v>
      </c>
      <c r="F460" s="33" t="s">
        <v>219</v>
      </c>
      <c r="G460" s="196">
        <f>PA[[#This Row],[Date]]-DAY(PA[[#This Row],[Date]])+1</f>
        <v>1</v>
      </c>
      <c r="H460" s="231">
        <f>DAY(EOMONTH(PA[[#This Row],[Month Year]],0))</f>
        <v>31</v>
      </c>
      <c r="I460" s="366"/>
      <c r="J460" s="366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31">
        <f>IF((PA[[#This Row],[String Type(If String BD)]]&amp;PA[[#This Row],[Equipment (If any BD other than PV  array and inv)]])="",1,0)</f>
        <v>1</v>
      </c>
      <c r="S460" s="231">
        <f>IF(PA[[#This Row],[String Type(If String BD)]]="",1,0)</f>
        <v>1</v>
      </c>
      <c r="T4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33" t="str">
        <f>IFERROR(_xlfn.XLOOKUP(PA[[#This Row],[Affected Equipment ]],'Basic Data'!N:N,'Basic Data'!Q:Q),"")</f>
        <v/>
      </c>
      <c r="V460" s="237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34">
        <f>IF(PA[[#This Row],[Acknowledgement Time ]]="NA","",(PA[[#This Row],[Acknowledgement Time ]]-PA[[#This Row],[Fault Time]])*24)</f>
        <v>0</v>
      </c>
      <c r="AE460" s="234">
        <f>IF(PA[[#This Row],[Work Start time on Fault]]="NA","",(PA[[#This Row],[Work Start time on Fault]]-PA[[#This Row],[Fault Time]])*24)</f>
        <v>0</v>
      </c>
      <c r="AF460" s="235">
        <f>IF(PA[[#This Row],[Status]]="Open","",(PA[[#This Row],[Work Completion time on fault]]-PA[[#This Row],[Fault Time]])*24)</f>
        <v>0</v>
      </c>
      <c r="AG460" s="234">
        <f>IFERROR((PA[[#This Row],[Work Completion time on fault]]-PA[[#This Row],[Fault Time]])*24,"")</f>
        <v>0</v>
      </c>
      <c r="AH460" s="38"/>
      <c r="AI460" s="33"/>
      <c r="AJ460" s="233" t="str">
        <f>IFERROR(PA[[#This Row],[Breakdown Time]]*PA[[#This Row],[Plant Equivalent Weightage]],"")</f>
        <v/>
      </c>
      <c r="AK460" s="38"/>
      <c r="AL460" s="342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31">
        <f>YEAR(PA[[#This Row],[Date]])</f>
        <v>1900</v>
      </c>
      <c r="E461" s="33" t="s">
        <v>219</v>
      </c>
      <c r="F461" s="33" t="s">
        <v>219</v>
      </c>
      <c r="G461" s="196">
        <f>PA[[#This Row],[Date]]-DAY(PA[[#This Row],[Date]])+1</f>
        <v>1</v>
      </c>
      <c r="H461" s="231">
        <f>DAY(EOMONTH(PA[[#This Row],[Month Year]],0))</f>
        <v>31</v>
      </c>
      <c r="I461" s="366"/>
      <c r="J461" s="366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31">
        <f>IF((PA[[#This Row],[String Type(If String BD)]]&amp;PA[[#This Row],[Equipment (If any BD other than PV  array and inv)]])="",1,0)</f>
        <v>1</v>
      </c>
      <c r="S461" s="231">
        <f>IF(PA[[#This Row],[String Type(If String BD)]]="",1,0)</f>
        <v>1</v>
      </c>
      <c r="T46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33" t="str">
        <f>IFERROR(_xlfn.XLOOKUP(PA[[#This Row],[Affected Equipment ]],'Basic Data'!N:N,'Basic Data'!Q:Q),"")</f>
        <v/>
      </c>
      <c r="V461" s="237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34">
        <f>IF(PA[[#This Row],[Acknowledgement Time ]]="NA","",(PA[[#This Row],[Acknowledgement Time ]]-PA[[#This Row],[Fault Time]])*24)</f>
        <v>0</v>
      </c>
      <c r="AE461" s="234">
        <f>IF(PA[[#This Row],[Work Start time on Fault]]="NA","",(PA[[#This Row],[Work Start time on Fault]]-PA[[#This Row],[Fault Time]])*24)</f>
        <v>0</v>
      </c>
      <c r="AF461" s="235">
        <f>IF(PA[[#This Row],[Status]]="Open","",(PA[[#This Row],[Work Completion time on fault]]-PA[[#This Row],[Fault Time]])*24)</f>
        <v>0</v>
      </c>
      <c r="AG461" s="234">
        <f>IFERROR((PA[[#This Row],[Work Completion time on fault]]-PA[[#This Row],[Fault Time]])*24,"")</f>
        <v>0</v>
      </c>
      <c r="AH461" s="38"/>
      <c r="AI461" s="33"/>
      <c r="AJ461" s="233" t="str">
        <f>IFERROR(PA[[#This Row],[Breakdown Time]]*PA[[#This Row],[Plant Equivalent Weightage]],"")</f>
        <v/>
      </c>
      <c r="AK461" s="38"/>
      <c r="AL461" s="342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31">
        <f>YEAR(PA[[#This Row],[Date]])</f>
        <v>1900</v>
      </c>
      <c r="E462" s="33" t="s">
        <v>219</v>
      </c>
      <c r="F462" s="33" t="s">
        <v>219</v>
      </c>
      <c r="G462" s="196">
        <f>PA[[#This Row],[Date]]-DAY(PA[[#This Row],[Date]])+1</f>
        <v>1</v>
      </c>
      <c r="H462" s="231">
        <f>DAY(EOMONTH(PA[[#This Row],[Month Year]],0))</f>
        <v>31</v>
      </c>
      <c r="I462" s="366"/>
      <c r="J462" s="366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31">
        <f>IF((PA[[#This Row],[String Type(If String BD)]]&amp;PA[[#This Row],[Equipment (If any BD other than PV  array and inv)]])="",1,0)</f>
        <v>1</v>
      </c>
      <c r="S462" s="231">
        <f>IF(PA[[#This Row],[String Type(If String BD)]]="",1,0)</f>
        <v>1</v>
      </c>
      <c r="T46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33" t="str">
        <f>IFERROR(_xlfn.XLOOKUP(PA[[#This Row],[Affected Equipment ]],'Basic Data'!N:N,'Basic Data'!Q:Q),"")</f>
        <v/>
      </c>
      <c r="V462" s="237" t="str">
        <f>IFERROR(_xlfn.XLOOKUP(PA[[#This Row],[Affected Equipment ]],'Basic Data'!N:N,'Basic Data'!R:R),"")</f>
        <v/>
      </c>
      <c r="W462" s="36"/>
      <c r="X462" s="41"/>
      <c r="Y462" s="350"/>
      <c r="Z462" s="42"/>
      <c r="AA462" s="42"/>
      <c r="AB462" s="42"/>
      <c r="AC462" s="42"/>
      <c r="AD462" s="234">
        <f>IF(PA[[#This Row],[Acknowledgement Time ]]="NA","",(PA[[#This Row],[Acknowledgement Time ]]-PA[[#This Row],[Fault Time]])*24)</f>
        <v>0</v>
      </c>
      <c r="AE462" s="234">
        <f>IF(PA[[#This Row],[Work Start time on Fault]]="NA","",(PA[[#This Row],[Work Start time on Fault]]-PA[[#This Row],[Fault Time]])*24)</f>
        <v>0</v>
      </c>
      <c r="AF462" s="235">
        <f>IF(PA[[#This Row],[Status]]="Open","",(PA[[#This Row],[Work Completion time on fault]]-PA[[#This Row],[Fault Time]])*24)</f>
        <v>0</v>
      </c>
      <c r="AG462" s="234">
        <f>IFERROR((PA[[#This Row],[Work Completion time on fault]]-PA[[#This Row],[Fault Time]])*24,"")</f>
        <v>0</v>
      </c>
      <c r="AH462" s="36"/>
      <c r="AI462" s="33"/>
      <c r="AJ462" s="233" t="str">
        <f>IFERROR(PA[[#This Row],[Breakdown Time]]*PA[[#This Row],[Plant Equivalent Weightage]],"")</f>
        <v/>
      </c>
      <c r="AK462" s="38"/>
      <c r="AL462" s="342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31">
        <f>YEAR(PA[[#This Row],[Date]])</f>
        <v>1900</v>
      </c>
      <c r="E463" s="33" t="s">
        <v>219</v>
      </c>
      <c r="F463" s="33" t="s">
        <v>219</v>
      </c>
      <c r="G463" s="196">
        <f>PA[[#This Row],[Date]]-DAY(PA[[#This Row],[Date]])+1</f>
        <v>1</v>
      </c>
      <c r="H463" s="231">
        <f>DAY(EOMONTH(PA[[#This Row],[Month Year]],0))</f>
        <v>31</v>
      </c>
      <c r="I463" s="366"/>
      <c r="J463" s="366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31">
        <f>IF((PA[[#This Row],[String Type(If String BD)]]&amp;PA[[#This Row],[Equipment (If any BD other than PV  array and inv)]])="",1,0)</f>
        <v>1</v>
      </c>
      <c r="S463" s="231">
        <f>IF(PA[[#This Row],[String Type(If String BD)]]="",1,0)</f>
        <v>1</v>
      </c>
      <c r="T4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33" t="str">
        <f>IFERROR(_xlfn.XLOOKUP(PA[[#This Row],[Affected Equipment ]],'Basic Data'!N:N,'Basic Data'!Q:Q),"")</f>
        <v/>
      </c>
      <c r="V463" s="237" t="str">
        <f>IFERROR(_xlfn.XLOOKUP(PA[[#This Row],[Affected Equipment ]],'Basic Data'!N:N,'Basic Data'!R:R),"")</f>
        <v/>
      </c>
      <c r="W463" s="36"/>
      <c r="X463" s="41"/>
      <c r="Y463" s="350"/>
      <c r="Z463" s="42"/>
      <c r="AA463" s="42"/>
      <c r="AB463" s="42"/>
      <c r="AC463" s="42"/>
      <c r="AD463" s="234">
        <f>IF(PA[[#This Row],[Acknowledgement Time ]]="NA","",(PA[[#This Row],[Acknowledgement Time ]]-PA[[#This Row],[Fault Time]])*24)</f>
        <v>0</v>
      </c>
      <c r="AE463" s="234">
        <f>IF(PA[[#This Row],[Work Start time on Fault]]="NA","",(PA[[#This Row],[Work Start time on Fault]]-PA[[#This Row],[Fault Time]])*24)</f>
        <v>0</v>
      </c>
      <c r="AF463" s="235">
        <f>IF(PA[[#This Row],[Status]]="Open","",(PA[[#This Row],[Work Completion time on fault]]-PA[[#This Row],[Fault Time]])*24)</f>
        <v>0</v>
      </c>
      <c r="AG463" s="234">
        <f>IFERROR((PA[[#This Row],[Work Completion time on fault]]-PA[[#This Row],[Fault Time]])*24,"")</f>
        <v>0</v>
      </c>
      <c r="AH463" s="36"/>
      <c r="AI463" s="33"/>
      <c r="AJ463" s="233" t="str">
        <f>IFERROR(PA[[#This Row],[Breakdown Time]]*PA[[#This Row],[Plant Equivalent Weightage]],"")</f>
        <v/>
      </c>
      <c r="AK463" s="38"/>
      <c r="AL463" s="342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31">
        <f>YEAR(PA[[#This Row],[Date]])</f>
        <v>1900</v>
      </c>
      <c r="E464" s="33" t="s">
        <v>219</v>
      </c>
      <c r="F464" s="33" t="s">
        <v>219</v>
      </c>
      <c r="G464" s="196">
        <f>PA[[#This Row],[Date]]-DAY(PA[[#This Row],[Date]])+1</f>
        <v>1</v>
      </c>
      <c r="H464" s="231">
        <f>DAY(EOMONTH(PA[[#This Row],[Month Year]],0))</f>
        <v>31</v>
      </c>
      <c r="I464" s="366"/>
      <c r="J464" s="366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31">
        <f>IF((PA[[#This Row],[String Type(If String BD)]]&amp;PA[[#This Row],[Equipment (If any BD other than PV  array and inv)]])="",1,0)</f>
        <v>1</v>
      </c>
      <c r="S464" s="231">
        <f>IF(PA[[#This Row],[String Type(If String BD)]]="",1,0)</f>
        <v>1</v>
      </c>
      <c r="T46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33" t="str">
        <f>IFERROR(_xlfn.XLOOKUP(PA[[#This Row],[Affected Equipment ]],'Basic Data'!N:N,'Basic Data'!Q:Q),"")</f>
        <v/>
      </c>
      <c r="V464" s="237" t="str">
        <f>IFERROR(_xlfn.XLOOKUP(PA[[#This Row],[Affected Equipment ]],'Basic Data'!N:N,'Basic Data'!R:R),"")</f>
        <v/>
      </c>
      <c r="W464" s="36"/>
      <c r="X464" s="41"/>
      <c r="Y464" s="347"/>
      <c r="Z464" s="42"/>
      <c r="AA464" s="42"/>
      <c r="AB464" s="42"/>
      <c r="AC464" s="42"/>
      <c r="AD464" s="234">
        <f>IF(PA[[#This Row],[Acknowledgement Time ]]="NA","",(PA[[#This Row],[Acknowledgement Time ]]-PA[[#This Row],[Fault Time]])*24)</f>
        <v>0</v>
      </c>
      <c r="AE464" s="234">
        <f>IF(PA[[#This Row],[Work Start time on Fault]]="NA","",(PA[[#This Row],[Work Start time on Fault]]-PA[[#This Row],[Fault Time]])*24)</f>
        <v>0</v>
      </c>
      <c r="AF464" s="235">
        <f>IF(PA[[#This Row],[Status]]="Open","",(PA[[#This Row],[Work Completion time on fault]]-PA[[#This Row],[Fault Time]])*24)</f>
        <v>0</v>
      </c>
      <c r="AG464" s="234">
        <f>IFERROR((PA[[#This Row],[Work Completion time on fault]]-PA[[#This Row],[Fault Time]])*24,"")</f>
        <v>0</v>
      </c>
      <c r="AH464" s="348"/>
      <c r="AI464" s="33"/>
      <c r="AJ464" s="233" t="str">
        <f>IFERROR(PA[[#This Row],[Breakdown Time]]*PA[[#This Row],[Plant Equivalent Weightage]],"")</f>
        <v/>
      </c>
      <c r="AK464" s="38"/>
      <c r="AL464" s="342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31">
        <f>YEAR(PA[[#This Row],[Date]])</f>
        <v>1900</v>
      </c>
      <c r="E465" s="33" t="s">
        <v>219</v>
      </c>
      <c r="F465" s="33" t="s">
        <v>219</v>
      </c>
      <c r="G465" s="196">
        <f>PA[[#This Row],[Date]]-DAY(PA[[#This Row],[Date]])+1</f>
        <v>1</v>
      </c>
      <c r="H465" s="231">
        <f>DAY(EOMONTH(PA[[#This Row],[Month Year]],0))</f>
        <v>31</v>
      </c>
      <c r="I465" s="366"/>
      <c r="J465" s="366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31">
        <f>IF((PA[[#This Row],[String Type(If String BD)]]&amp;PA[[#This Row],[Equipment (If any BD other than PV  array and inv)]])="",1,0)</f>
        <v>1</v>
      </c>
      <c r="S465" s="231">
        <f>IF(PA[[#This Row],[String Type(If String BD)]]="",1,0)</f>
        <v>1</v>
      </c>
      <c r="T46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33" t="str">
        <f>IFERROR(_xlfn.XLOOKUP(PA[[#This Row],[Affected Equipment ]],'Basic Data'!N:N,'Basic Data'!Q:Q),"")</f>
        <v/>
      </c>
      <c r="V465" s="237" t="str">
        <f>IFERROR(_xlfn.XLOOKUP(PA[[#This Row],[Affected Equipment ]],'Basic Data'!N:N,'Basic Data'!R:R),"")</f>
        <v/>
      </c>
      <c r="W465" s="36"/>
      <c r="X465" s="41"/>
      <c r="Y465" s="347"/>
      <c r="Z465" s="42"/>
      <c r="AA465" s="42"/>
      <c r="AB465" s="42"/>
      <c r="AC465" s="42"/>
      <c r="AD465" s="234">
        <f>IF(PA[[#This Row],[Acknowledgement Time ]]="NA","",(PA[[#This Row],[Acknowledgement Time ]]-PA[[#This Row],[Fault Time]])*24)</f>
        <v>0</v>
      </c>
      <c r="AE465" s="234">
        <f>IF(PA[[#This Row],[Work Start time on Fault]]="NA","",(PA[[#This Row],[Work Start time on Fault]]-PA[[#This Row],[Fault Time]])*24)</f>
        <v>0</v>
      </c>
      <c r="AF465" s="235">
        <f>IF(PA[[#This Row],[Status]]="Open","",(PA[[#This Row],[Work Completion time on fault]]-PA[[#This Row],[Fault Time]])*24)</f>
        <v>0</v>
      </c>
      <c r="AG465" s="234">
        <f>IFERROR((PA[[#This Row],[Work Completion time on fault]]-PA[[#This Row],[Fault Time]])*24,"")</f>
        <v>0</v>
      </c>
      <c r="AH465" s="348"/>
      <c r="AI465" s="33"/>
      <c r="AJ465" s="233" t="str">
        <f>IFERROR(PA[[#This Row],[Breakdown Time]]*PA[[#This Row],[Plant Equivalent Weightage]],"")</f>
        <v/>
      </c>
      <c r="AK465" s="38"/>
      <c r="AL465" s="342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31">
        <f>YEAR(PA[[#This Row],[Date]])</f>
        <v>1900</v>
      </c>
      <c r="E466" s="33" t="s">
        <v>219</v>
      </c>
      <c r="F466" s="33" t="s">
        <v>219</v>
      </c>
      <c r="G466" s="196">
        <f>PA[[#This Row],[Date]]-DAY(PA[[#This Row],[Date]])+1</f>
        <v>1</v>
      </c>
      <c r="H466" s="231">
        <f>DAY(EOMONTH(PA[[#This Row],[Month Year]],0))</f>
        <v>31</v>
      </c>
      <c r="I466" s="366"/>
      <c r="J466" s="366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31">
        <f>IF((PA[[#This Row],[String Type(If String BD)]]&amp;PA[[#This Row],[Equipment (If any BD other than PV  array and inv)]])="",1,0)</f>
        <v>1</v>
      </c>
      <c r="S466" s="231">
        <f>IF(PA[[#This Row],[String Type(If String BD)]]="",1,0)</f>
        <v>1</v>
      </c>
      <c r="T4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33" t="str">
        <f>IFERROR(_xlfn.XLOOKUP(PA[[#This Row],[Affected Equipment ]],'Basic Data'!N:N,'Basic Data'!Q:Q),"")</f>
        <v/>
      </c>
      <c r="V466" s="237" t="str">
        <f>IFERROR(_xlfn.XLOOKUP(PA[[#This Row],[Affected Equipment ]],'Basic Data'!N:N,'Basic Data'!R:R),"")</f>
        <v/>
      </c>
      <c r="W466" s="36"/>
      <c r="X466" s="41"/>
      <c r="Y466" s="350"/>
      <c r="Z466" s="42"/>
      <c r="AA466" s="42"/>
      <c r="AB466" s="42"/>
      <c r="AC466" s="42"/>
      <c r="AD466" s="234">
        <f>IF(PA[[#This Row],[Acknowledgement Time ]]="NA","",(PA[[#This Row],[Acknowledgement Time ]]-PA[[#This Row],[Fault Time]])*24)</f>
        <v>0</v>
      </c>
      <c r="AE466" s="234">
        <f>IF(PA[[#This Row],[Work Start time on Fault]]="NA","",(PA[[#This Row],[Work Start time on Fault]]-PA[[#This Row],[Fault Time]])*24)</f>
        <v>0</v>
      </c>
      <c r="AF466" s="235">
        <f>IF(PA[[#This Row],[Status]]="Open","",(PA[[#This Row],[Work Completion time on fault]]-PA[[#This Row],[Fault Time]])*24)</f>
        <v>0</v>
      </c>
      <c r="AG466" s="234">
        <f>IFERROR((PA[[#This Row],[Work Completion time on fault]]-PA[[#This Row],[Fault Time]])*24,"")</f>
        <v>0</v>
      </c>
      <c r="AH466" s="348"/>
      <c r="AI466" s="33"/>
      <c r="AJ466" s="233" t="str">
        <f>IFERROR(PA[[#This Row],[Breakdown Time]]*PA[[#This Row],[Plant Equivalent Weightage]],"")</f>
        <v/>
      </c>
      <c r="AK466" s="38"/>
      <c r="AL466" s="342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31">
        <f>YEAR(PA[[#This Row],[Date]])</f>
        <v>1900</v>
      </c>
      <c r="E467" s="33" t="s">
        <v>219</v>
      </c>
      <c r="F467" s="33" t="s">
        <v>219</v>
      </c>
      <c r="G467" s="196">
        <f>PA[[#This Row],[Date]]-DAY(PA[[#This Row],[Date]])+1</f>
        <v>1</v>
      </c>
      <c r="H467" s="231">
        <f>DAY(EOMONTH(PA[[#This Row],[Month Year]],0))</f>
        <v>31</v>
      </c>
      <c r="I467" s="366"/>
      <c r="J467" s="366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31">
        <f>IF((PA[[#This Row],[String Type(If String BD)]]&amp;PA[[#This Row],[Equipment (If any BD other than PV  array and inv)]])="",1,0)</f>
        <v>1</v>
      </c>
      <c r="S467" s="231">
        <f>IF(PA[[#This Row],[String Type(If String BD)]]="",1,0)</f>
        <v>1</v>
      </c>
      <c r="T46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33" t="str">
        <f>IFERROR(_xlfn.XLOOKUP(PA[[#This Row],[Affected Equipment ]],'Basic Data'!N:N,'Basic Data'!Q:Q),"")</f>
        <v/>
      </c>
      <c r="V467" s="237" t="str">
        <f>IFERROR(_xlfn.XLOOKUP(PA[[#This Row],[Affected Equipment ]],'Basic Data'!N:N,'Basic Data'!R:R),"")</f>
        <v/>
      </c>
      <c r="W467" s="36"/>
      <c r="X467" s="41"/>
      <c r="Y467" s="350"/>
      <c r="Z467" s="42"/>
      <c r="AA467" s="42"/>
      <c r="AB467" s="42"/>
      <c r="AC467" s="42"/>
      <c r="AD467" s="234">
        <f>IF(PA[[#This Row],[Acknowledgement Time ]]="NA","",(PA[[#This Row],[Acknowledgement Time ]]-PA[[#This Row],[Fault Time]])*24)</f>
        <v>0</v>
      </c>
      <c r="AE467" s="234">
        <f>IF(PA[[#This Row],[Work Start time on Fault]]="NA","",(PA[[#This Row],[Work Start time on Fault]]-PA[[#This Row],[Fault Time]])*24)</f>
        <v>0</v>
      </c>
      <c r="AF467" s="235">
        <f>IF(PA[[#This Row],[Status]]="Open","",(PA[[#This Row],[Work Completion time on fault]]-PA[[#This Row],[Fault Time]])*24)</f>
        <v>0</v>
      </c>
      <c r="AG467" s="234">
        <f>IFERROR((PA[[#This Row],[Work Completion time on fault]]-PA[[#This Row],[Fault Time]])*24,"")</f>
        <v>0</v>
      </c>
      <c r="AH467" s="348"/>
      <c r="AI467" s="33"/>
      <c r="AJ467" s="233" t="str">
        <f>IFERROR(PA[[#This Row],[Breakdown Time]]*PA[[#This Row],[Plant Equivalent Weightage]],"")</f>
        <v/>
      </c>
      <c r="AK467" s="38"/>
      <c r="AL467" s="342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31">
        <f>YEAR(PA[[#This Row],[Date]])</f>
        <v>1900</v>
      </c>
      <c r="E468" s="33" t="s">
        <v>219</v>
      </c>
      <c r="F468" s="33" t="s">
        <v>219</v>
      </c>
      <c r="G468" s="196">
        <f>PA[[#This Row],[Date]]-DAY(PA[[#This Row],[Date]])+1</f>
        <v>1</v>
      </c>
      <c r="H468" s="231">
        <f>DAY(EOMONTH(PA[[#This Row],[Month Year]],0))</f>
        <v>31</v>
      </c>
      <c r="I468" s="366"/>
      <c r="J468" s="366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31">
        <f>IF((PA[[#This Row],[String Type(If String BD)]]&amp;PA[[#This Row],[Equipment (If any BD other than PV  array and inv)]])="",1,0)</f>
        <v>1</v>
      </c>
      <c r="S468" s="231">
        <f>IF(PA[[#This Row],[String Type(If String BD)]]="",1,0)</f>
        <v>1</v>
      </c>
      <c r="T4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33" t="str">
        <f>IFERROR(_xlfn.XLOOKUP(PA[[#This Row],[Affected Equipment ]],'Basic Data'!N:N,'Basic Data'!Q:Q),"")</f>
        <v/>
      </c>
      <c r="V468" s="237" t="str">
        <f>IFERROR(_xlfn.XLOOKUP(PA[[#This Row],[Affected Equipment ]],'Basic Data'!N:N,'Basic Data'!R:R),"")</f>
        <v/>
      </c>
      <c r="W468" s="36"/>
      <c r="X468" s="41"/>
      <c r="Y468" s="347"/>
      <c r="Z468" s="42"/>
      <c r="AA468" s="42"/>
      <c r="AB468" s="42"/>
      <c r="AC468" s="42"/>
      <c r="AD468" s="234">
        <f>IF(PA[[#This Row],[Acknowledgement Time ]]="NA","",(PA[[#This Row],[Acknowledgement Time ]]-PA[[#This Row],[Fault Time]])*24)</f>
        <v>0</v>
      </c>
      <c r="AE468" s="234">
        <f>IF(PA[[#This Row],[Work Start time on Fault]]="NA","",(PA[[#This Row],[Work Start time on Fault]]-PA[[#This Row],[Fault Time]])*24)</f>
        <v>0</v>
      </c>
      <c r="AF468" s="235">
        <f>IF(PA[[#This Row],[Status]]="Open","",(PA[[#This Row],[Work Completion time on fault]]-PA[[#This Row],[Fault Time]])*24)</f>
        <v>0</v>
      </c>
      <c r="AG468" s="234">
        <f>IFERROR((PA[[#This Row],[Work Completion time on fault]]-PA[[#This Row],[Fault Time]])*24,"")</f>
        <v>0</v>
      </c>
      <c r="AH468" s="36"/>
      <c r="AI468" s="33"/>
      <c r="AJ468" s="233" t="str">
        <f>IFERROR(PA[[#This Row],[Breakdown Time]]*PA[[#This Row],[Plant Equivalent Weightage]],"")</f>
        <v/>
      </c>
      <c r="AK468" s="38"/>
      <c r="AL468" s="342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9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AI319:AI321 AI330:AI331 AI2:AI113 AI447:AI468 AI170:AI287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W2:W45 W60:W468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Q2:Q45 Q54:Q113 Q115:Q468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45312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45312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453125" bestFit="1" customWidth="1"/>
    <col min="31" max="31" width="22.453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201</v>
      </c>
      <c r="F1" s="14" t="s">
        <v>202</v>
      </c>
      <c r="G1" s="14" t="s">
        <v>387</v>
      </c>
      <c r="H1" s="14" t="s">
        <v>388</v>
      </c>
      <c r="I1" s="14" t="s">
        <v>204</v>
      </c>
      <c r="J1" s="140" t="s">
        <v>205</v>
      </c>
      <c r="K1" s="14" t="s">
        <v>389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210</v>
      </c>
      <c r="Q1" s="14" t="s">
        <v>211</v>
      </c>
      <c r="R1" s="14" t="s">
        <v>212</v>
      </c>
      <c r="S1" s="14" t="s">
        <v>213</v>
      </c>
      <c r="T1" s="21" t="s">
        <v>214</v>
      </c>
      <c r="U1" s="21" t="s">
        <v>390</v>
      </c>
      <c r="V1" s="22" t="s">
        <v>216</v>
      </c>
      <c r="W1" s="22" t="s">
        <v>391</v>
      </c>
      <c r="X1" s="22" t="s">
        <v>392</v>
      </c>
      <c r="Y1" s="29" t="s">
        <v>291</v>
      </c>
      <c r="Z1" s="29" t="s">
        <v>292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218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218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218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393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394</v>
      </c>
      <c r="S4" s="4"/>
      <c r="T4" s="24" t="s">
        <v>345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218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218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218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218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218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218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218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218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218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218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218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218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218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218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218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218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218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218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218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218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218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218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218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218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218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218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218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218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218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395</v>
      </c>
    </row>
    <row r="604" spans="7:7">
      <c r="G604" s="4" t="s">
        <v>396</v>
      </c>
    </row>
  </sheetData>
  <phoneticPr fontId="60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ColWidth="8.81640625" defaultRowHeight="14.5"/>
  <cols>
    <col min="1" max="2" width="8.81640625" style="4"/>
    <col min="3" max="3" width="10" style="4" bestFit="1" customWidth="1"/>
    <col min="4" max="4" width="12.453125" style="4" customWidth="1"/>
    <col min="5" max="5" width="14" style="4" customWidth="1"/>
    <col min="6" max="6" width="17.453125" style="4" customWidth="1"/>
    <col min="7" max="7" width="12.81640625" style="4" customWidth="1"/>
    <col min="8" max="9" width="8.81640625" style="4"/>
    <col min="10" max="10" width="16.453125" style="4" customWidth="1"/>
    <col min="11" max="11" width="20.81640625" style="4" customWidth="1"/>
    <col min="12" max="12" width="23" style="4" customWidth="1"/>
    <col min="13" max="13" width="10.453125" style="4" customWidth="1"/>
    <col min="14" max="14" width="11.453125" style="4" customWidth="1"/>
    <col min="15" max="15" width="9.81640625" style="4" customWidth="1"/>
    <col min="16" max="16" width="23.1796875" style="4" customWidth="1"/>
    <col min="17" max="18" width="22.81640625" style="4" customWidth="1"/>
    <col min="19" max="19" width="58.453125" style="4" bestFit="1" customWidth="1"/>
    <col min="20" max="20" width="39.1796875" style="4" customWidth="1"/>
    <col min="21" max="21" width="27.1796875" style="4" customWidth="1"/>
    <col min="22" max="16384" width="8.81640625" style="4"/>
  </cols>
  <sheetData>
    <row r="1" spans="1:21" ht="23.5" customHeight="1">
      <c r="A1" s="355" t="s">
        <v>736</v>
      </c>
      <c r="B1" s="356" t="s">
        <v>86</v>
      </c>
      <c r="C1" s="356" t="s">
        <v>110</v>
      </c>
      <c r="D1" s="356" t="s">
        <v>737</v>
      </c>
      <c r="E1" s="356" t="s">
        <v>738</v>
      </c>
      <c r="F1" s="356" t="s">
        <v>739</v>
      </c>
      <c r="G1" s="356" t="s">
        <v>740</v>
      </c>
      <c r="H1" s="356" t="s">
        <v>66</v>
      </c>
      <c r="I1" s="356" t="s">
        <v>67</v>
      </c>
      <c r="J1" s="356" t="s">
        <v>741</v>
      </c>
      <c r="K1" s="356" t="s">
        <v>742</v>
      </c>
      <c r="L1" s="356" t="s">
        <v>743</v>
      </c>
      <c r="M1" s="356" t="s">
        <v>744</v>
      </c>
      <c r="N1" s="356" t="s">
        <v>745</v>
      </c>
      <c r="O1" s="356" t="s">
        <v>746</v>
      </c>
      <c r="P1" s="356" t="s">
        <v>747</v>
      </c>
      <c r="Q1" s="356" t="s">
        <v>748</v>
      </c>
      <c r="R1" s="356" t="s">
        <v>749</v>
      </c>
      <c r="S1" s="356" t="s">
        <v>750</v>
      </c>
      <c r="T1" s="356" t="s">
        <v>751</v>
      </c>
      <c r="U1" s="357" t="s">
        <v>752</v>
      </c>
    </row>
    <row r="2" spans="1:21">
      <c r="A2" s="358">
        <v>1</v>
      </c>
      <c r="B2" s="359">
        <f>Table7[[#This Row],[Date]]-DAY(Table7[[#This Row],[Date]])+1</f>
        <v>1</v>
      </c>
      <c r="C2" s="360"/>
      <c r="D2" s="1" t="s">
        <v>753</v>
      </c>
      <c r="E2" s="1"/>
      <c r="F2" s="1"/>
      <c r="G2" s="1"/>
      <c r="H2" s="361"/>
      <c r="I2" s="361"/>
      <c r="J2" s="361">
        <f>I2-H2</f>
        <v>0</v>
      </c>
      <c r="K2" s="361">
        <f>(J2/0.041677)</f>
        <v>0</v>
      </c>
      <c r="L2" s="1"/>
      <c r="M2" s="1"/>
      <c r="N2" s="362"/>
      <c r="O2" s="362">
        <f t="shared" ref="O2:O6" si="0">(N2-M2)</f>
        <v>0</v>
      </c>
      <c r="P2" s="362"/>
      <c r="Q2" s="1" t="str">
        <f>IFERROR(_xlfn.XLOOKUP(Table7[[#This Row],[Month]],'Modelling New'!$D:$D,'Modelling New'!$O:$O),"")</f>
        <v/>
      </c>
      <c r="R2" s="363" t="str">
        <f>IFERROR(Table7[[#This Row],[Loss of Capacity in KWp]]*Table7[[#This Row],[Lost POA]]*Table7[[#This Row],[Estimated PR % (Pvsyst)]],"")</f>
        <v/>
      </c>
      <c r="S2" s="1"/>
      <c r="T2" s="1"/>
      <c r="U2" s="364"/>
    </row>
    <row r="3" spans="1:21">
      <c r="A3" s="358">
        <v>2</v>
      </c>
      <c r="B3" s="359">
        <f>Table7[[#This Row],[Date]]-DAY(Table7[[#This Row],[Date]])+1</f>
        <v>1</v>
      </c>
      <c r="C3" s="360"/>
      <c r="D3" s="1"/>
      <c r="E3" s="1"/>
      <c r="F3" s="1"/>
      <c r="G3" s="1"/>
      <c r="H3" s="361"/>
      <c r="I3" s="361"/>
      <c r="J3" s="361">
        <f>I3-H3</f>
        <v>0</v>
      </c>
      <c r="K3" s="361">
        <f>(J3/0.041677)</f>
        <v>0</v>
      </c>
      <c r="L3" s="1"/>
      <c r="M3" s="1"/>
      <c r="N3" s="362"/>
      <c r="O3" s="362">
        <f t="shared" si="0"/>
        <v>0</v>
      </c>
      <c r="P3" s="362"/>
      <c r="Q3" s="1" t="str">
        <f>IFERROR(_xlfn.XLOOKUP(Table7[[#This Row],[Month]],'Modelling New'!$D:$D,'Modelling New'!$O:$O),"")</f>
        <v/>
      </c>
      <c r="R3" s="363" t="str">
        <f>IFERROR(Table7[[#This Row],[Loss of Capacity in KWp]]*Table7[[#This Row],[Lost POA]]*Table7[[#This Row],[Estimated PR % (Pvsyst)]],"")</f>
        <v/>
      </c>
      <c r="S3" s="1"/>
      <c r="T3" s="1"/>
      <c r="U3" s="364"/>
    </row>
    <row r="4" spans="1:21">
      <c r="A4" s="358">
        <v>3</v>
      </c>
      <c r="B4" s="359">
        <f>Table7[[#This Row],[Date]]-DAY(Table7[[#This Row],[Date]])+1</f>
        <v>1</v>
      </c>
      <c r="C4" s="360"/>
      <c r="D4" s="1"/>
      <c r="E4" s="1"/>
      <c r="F4" s="1"/>
      <c r="G4" s="1"/>
      <c r="H4" s="361"/>
      <c r="I4" s="361"/>
      <c r="J4" s="361">
        <f t="shared" ref="J4:J6" si="1">I4-H4</f>
        <v>0</v>
      </c>
      <c r="K4" s="361">
        <f t="shared" ref="K4:K6" si="2">(J4/0.041677)</f>
        <v>0</v>
      </c>
      <c r="L4" s="1"/>
      <c r="M4" s="1"/>
      <c r="N4" s="362"/>
      <c r="O4" s="362">
        <f t="shared" si="0"/>
        <v>0</v>
      </c>
      <c r="P4" s="362"/>
      <c r="Q4" s="1" t="str">
        <f>IFERROR(_xlfn.XLOOKUP(Table7[[#This Row],[Month]],'Modelling New'!$D:$D,'Modelling New'!$O:$O),"")</f>
        <v/>
      </c>
      <c r="R4" s="363" t="str">
        <f>IFERROR(Table7[[#This Row],[Loss of Capacity in KWp]]*Table7[[#This Row],[Lost POA]]*Table7[[#This Row],[Estimated PR % (Pvsyst)]],"")</f>
        <v/>
      </c>
      <c r="S4" s="1"/>
      <c r="T4" s="1"/>
      <c r="U4" s="364"/>
    </row>
    <row r="5" spans="1:21">
      <c r="A5" s="358">
        <v>4</v>
      </c>
      <c r="B5" s="359">
        <f>Table7[[#This Row],[Date]]-DAY(Table7[[#This Row],[Date]])+1</f>
        <v>1</v>
      </c>
      <c r="C5" s="360"/>
      <c r="D5" s="1"/>
      <c r="E5" s="1"/>
      <c r="F5" s="1"/>
      <c r="G5" s="1"/>
      <c r="H5" s="361"/>
      <c r="I5" s="361"/>
      <c r="J5" s="361">
        <f t="shared" si="1"/>
        <v>0</v>
      </c>
      <c r="K5" s="361">
        <f t="shared" si="2"/>
        <v>0</v>
      </c>
      <c r="L5" s="1"/>
      <c r="M5" s="1"/>
      <c r="N5" s="362"/>
      <c r="O5" s="362">
        <f t="shared" si="0"/>
        <v>0</v>
      </c>
      <c r="P5" s="362"/>
      <c r="Q5" s="1" t="str">
        <f>IFERROR(_xlfn.XLOOKUP(Table7[[#This Row],[Month]],'Modelling New'!$D:$D,'Modelling New'!$O:$O),"")</f>
        <v/>
      </c>
      <c r="R5" s="363" t="str">
        <f>IFERROR(Table7[[#This Row],[Loss of Capacity in KWp]]*Table7[[#This Row],[Lost POA]]*Table7[[#This Row],[Estimated PR % (Pvsyst)]],"")</f>
        <v/>
      </c>
      <c r="S5" s="1"/>
      <c r="T5" s="1"/>
      <c r="U5" s="364"/>
    </row>
    <row r="6" spans="1:21">
      <c r="A6" s="358">
        <v>5</v>
      </c>
      <c r="B6" s="359">
        <f>Table7[[#This Row],[Date]]-DAY(Table7[[#This Row],[Date]])+1</f>
        <v>1</v>
      </c>
      <c r="C6" s="360"/>
      <c r="D6" s="1"/>
      <c r="E6" s="1"/>
      <c r="F6" s="1"/>
      <c r="G6" s="1"/>
      <c r="H6" s="361"/>
      <c r="I6" s="361"/>
      <c r="J6" s="361">
        <f t="shared" si="1"/>
        <v>0</v>
      </c>
      <c r="K6" s="361">
        <f t="shared" si="2"/>
        <v>0</v>
      </c>
      <c r="L6" s="1"/>
      <c r="M6" s="1"/>
      <c r="N6" s="362"/>
      <c r="O6" s="362">
        <f t="shared" si="0"/>
        <v>0</v>
      </c>
      <c r="P6" s="362"/>
      <c r="Q6" s="1" t="str">
        <f>IFERROR(_xlfn.XLOOKUP(Table7[[#This Row],[Month]],'Modelling New'!$D:$D,'Modelling New'!$O:$O),"")</f>
        <v/>
      </c>
      <c r="R6" s="363" t="str">
        <f>IFERROR(Table7[[#This Row],[Loss of Capacity in KWp]]*Table7[[#This Row],[Lost POA]]*Table7[[#This Row],[Estimated PR % (Pvsyst)]],"")</f>
        <v/>
      </c>
      <c r="S6" s="1"/>
      <c r="T6" s="1"/>
      <c r="U6" s="364"/>
    </row>
    <row r="8" spans="1:21">
      <c r="R8" s="36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43" activePane="bottomRight" state="frozen"/>
      <selection pane="topRight" activeCell="G63" sqref="G63"/>
      <selection pane="bottomLeft" activeCell="G63" sqref="G63"/>
      <selection pane="bottomRight" activeCell="L66" sqref="L66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397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  <c r="J3" s="198" t="s">
        <v>398</v>
      </c>
    </row>
    <row r="4" spans="2:10">
      <c r="B4" s="224">
        <f t="shared" ref="B4" ca="1" si="2">TODAY()-60</f>
        <v>45794</v>
      </c>
      <c r="C4" s="225">
        <f ca="1">VLOOKUP($B4,RD[[#All],[Date]:[IS4Inv2]],C$2,0)/C$1</f>
        <v>4.4548670472995493</v>
      </c>
      <c r="D4" s="225">
        <f ca="1">VLOOKUP($B4,RD[[#All],[Date]:[IS4Inv2]],D$2,0)/D$1</f>
        <v>4.4360130617322344</v>
      </c>
      <c r="E4" s="225">
        <f ca="1">VLOOKUP($B4,RD[[#All],[Date]:[IS4Inv2]],E$2,0)/E$1</f>
        <v>4.3018251988803211</v>
      </c>
      <c r="F4" s="225">
        <f ca="1">VLOOKUP($B4,RD[[#All],[Date]:[IS4Inv2]],F$2,0)/F$1</f>
        <v>4.3345710198739997</v>
      </c>
      <c r="G4" s="225">
        <f ca="1">VLOOKUP($B4,RD[[#All],[Date]:[IS4Inv2]],G$2,0)/G$1</f>
        <v>4.352086313418754</v>
      </c>
      <c r="H4" s="225">
        <f ca="1">VLOOKUP($B4,RD[[#All],[Date]:[IS4Inv2]],H$2,0)/H$1</f>
        <v>4.5163410103356085</v>
      </c>
      <c r="I4" s="225">
        <f ca="1">VLOOKUP($B4,RD[[#All],[Date]:[IS4Inv2]],I$2,0)/I$1</f>
        <v>4.4548589341692786</v>
      </c>
      <c r="J4" s="225">
        <f ca="1">AVERAGEIFS(Inv_SY_B[[#This Row],[IS1Inv1]:[IS4Inv2]],Inv_SY_B[[#This Row],[IS1Inv1]:[IS4Inv2]],"&lt;&gt;0")</f>
        <v>4.4072232265299638</v>
      </c>
    </row>
    <row r="5" spans="2:10">
      <c r="B5" s="224">
        <f ca="1">B4+1</f>
        <v>45795</v>
      </c>
      <c r="C5" s="225">
        <f ca="1">VLOOKUP($B5,RD[[#All],[Date]:[IS4Inv2]],C$2,0)/C$1</f>
        <v>4.7457823941163193</v>
      </c>
      <c r="D5" s="225">
        <f ca="1">VLOOKUP($B5,RD[[#All],[Date]:[IS4Inv2]],D$2,0)/D$1</f>
        <v>4.7915967377841167</v>
      </c>
      <c r="E5" s="225">
        <f ca="1">VLOOKUP($B5,RD[[#All],[Date]:[IS4Inv2]],E$2,0)/E$1</f>
        <v>4.653425775499775</v>
      </c>
      <c r="F5" s="225">
        <f ca="1">VLOOKUP($B5,RD[[#All],[Date]:[IS4Inv2]],F$2,0)/F$1</f>
        <v>4.7544967586815599</v>
      </c>
      <c r="G5" s="225">
        <f ca="1">VLOOKUP($B5,RD[[#All],[Date]:[IS4Inv2]],G$2,0)/G$1</f>
        <v>4.8315579632954924</v>
      </c>
      <c r="H5" s="225">
        <f ca="1">VLOOKUP($B5,RD[[#All],[Date]:[IS4Inv2]],H$2,0)/H$1</f>
        <v>4.5612025320180232</v>
      </c>
      <c r="I5" s="225">
        <f ca="1">VLOOKUP($B5,RD[[#All],[Date]:[IS4Inv2]],I$2,0)/I$1</f>
        <v>4.83810736677116</v>
      </c>
      <c r="J5" s="225">
        <f ca="1">AVERAGEIFS(Inv_SY_B[[#This Row],[IS1Inv1]:[IS4Inv2]],Inv_SY_B[[#This Row],[IS1Inv1]:[IS4Inv2]],"&lt;&gt;0")</f>
        <v>4.7394527897380643</v>
      </c>
    </row>
    <row r="6" spans="2:10">
      <c r="B6" s="224">
        <f t="shared" ref="B6:B64" ca="1" si="3">B5+1</f>
        <v>45796</v>
      </c>
      <c r="C6" s="225">
        <f ca="1">VLOOKUP($B6,RD[[#All],[Date]:[IS4Inv2]],C$2,0)/C$1</f>
        <v>4.5085212304979407</v>
      </c>
      <c r="D6" s="225">
        <f ca="1">VLOOKUP($B6,RD[[#All],[Date]:[IS4Inv2]],D$2,0)/D$1</f>
        <v>4.5500726545450636</v>
      </c>
      <c r="E6" s="225">
        <f ca="1">VLOOKUP($B6,RD[[#All],[Date]:[IS4Inv2]],E$2,0)/E$1</f>
        <v>4.3799586603513108</v>
      </c>
      <c r="F6" s="225">
        <f ca="1">VLOOKUP($B6,RD[[#All],[Date]:[IS4Inv2]],F$2,0)/F$1</f>
        <v>4.4784064278540345</v>
      </c>
      <c r="G6" s="225">
        <f ca="1">VLOOKUP($B6,RD[[#All],[Date]:[IS4Inv2]],G$2,0)/G$1</f>
        <v>4.5941656268070732</v>
      </c>
      <c r="H6" s="225">
        <f ca="1">VLOOKUP($B6,RD[[#All],[Date]:[IS4Inv2]],H$2,0)/H$1</f>
        <v>4.4707340851446968</v>
      </c>
      <c r="I6" s="225">
        <f ca="1">VLOOKUP($B6,RD[[#All],[Date]:[IS4Inv2]],I$2,0)/I$1</f>
        <v>4.6349529780564263</v>
      </c>
      <c r="J6" s="225">
        <f ca="1">AVERAGEIFS(Inv_SY_B[[#This Row],[IS1Inv1]:[IS4Inv2]],Inv_SY_B[[#This Row],[IS1Inv1]:[IS4Inv2]],"&lt;&gt;0")</f>
        <v>4.5166873804652203</v>
      </c>
    </row>
    <row r="7" spans="2:10">
      <c r="B7" s="224">
        <f t="shared" ca="1" si="3"/>
        <v>45797</v>
      </c>
      <c r="C7" s="225">
        <f ca="1">VLOOKUP($B7,RD[[#All],[Date]:[IS4Inv2]],C$2,0)/C$1</f>
        <v>4.1751126307753523</v>
      </c>
      <c r="D7" s="225">
        <f ca="1">VLOOKUP($B7,RD[[#All],[Date]:[IS4Inv2]],D$2,0)/D$1</f>
        <v>4.1965694186027811</v>
      </c>
      <c r="E7" s="225">
        <f ca="1">VLOOKUP($B7,RD[[#All],[Date]:[IS4Inv2]],E$2,0)/E$1</f>
        <v>4.1142255680388073</v>
      </c>
      <c r="F7" s="225">
        <f ca="1">VLOOKUP($B7,RD[[#All],[Date]:[IS4Inv2]],F$2,0)/F$1</f>
        <v>4.1951791094743891</v>
      </c>
      <c r="G7" s="225">
        <f ca="1">VLOOKUP($B7,RD[[#All],[Date]:[IS4Inv2]],G$2,0)/G$1</f>
        <v>4.2243661928964915</v>
      </c>
      <c r="H7" s="225">
        <f ca="1">VLOOKUP($B7,RD[[#All],[Date]:[IS4Inv2]],H$2,0)/H$1</f>
        <v>4.2356573576230261</v>
      </c>
      <c r="I7" s="225">
        <f ca="1">VLOOKUP($B7,RD[[#All],[Date]:[IS4Inv2]],I$2,0)/I$1</f>
        <v>4.2279780564263323</v>
      </c>
      <c r="J7" s="225">
        <f ca="1">AVERAGEIFS(Inv_SY_B[[#This Row],[IS1Inv1]:[IS4Inv2]],Inv_SY_B[[#This Row],[IS1Inv1]:[IS4Inv2]],"&lt;&gt;0")</f>
        <v>4.1955840476910256</v>
      </c>
    </row>
    <row r="8" spans="2:10">
      <c r="B8" s="224">
        <f t="shared" ca="1" si="3"/>
        <v>45798</v>
      </c>
      <c r="C8" s="225">
        <f ca="1">VLOOKUP($B8,RD[[#All],[Date]:[IS4Inv2]],C$2,0)/C$1</f>
        <v>3.8586712256593878</v>
      </c>
      <c r="D8" s="225">
        <f ca="1">VLOOKUP($B8,RD[[#All],[Date]:[IS4Inv2]],D$2,0)/D$1</f>
        <v>3.9044498898117417</v>
      </c>
      <c r="E8" s="225">
        <f ca="1">VLOOKUP($B8,RD[[#All],[Date]:[IS4Inv2]],E$2,0)/E$1</f>
        <v>3.8614282772349728</v>
      </c>
      <c r="F8" s="225">
        <f ca="1">VLOOKUP($B8,RD[[#All],[Date]:[IS4Inv2]],F$2,0)/F$1</f>
        <v>3.920717046595855</v>
      </c>
      <c r="G8" s="225">
        <f ca="1">VLOOKUP($B8,RD[[#All],[Date]:[IS4Inv2]],G$2,0)/G$1</f>
        <v>3.933743190187784</v>
      </c>
      <c r="H8" s="225">
        <f ca="1">VLOOKUP($B8,RD[[#All],[Date]:[IS4Inv2]],H$2,0)/H$1</f>
        <v>3.9176446818402049</v>
      </c>
      <c r="I8" s="225">
        <f ca="1">VLOOKUP($B8,RD[[#All],[Date]:[IS4Inv2]],I$2,0)/I$1</f>
        <v>3.8942202194357365</v>
      </c>
      <c r="J8" s="225">
        <f ca="1">AVERAGEIFS(Inv_SY_B[[#This Row],[IS1Inv1]:[IS4Inv2]],Inv_SY_B[[#This Row],[IS1Inv1]:[IS4Inv2]],"&lt;&gt;0")</f>
        <v>3.8986963615379548</v>
      </c>
    </row>
    <row r="9" spans="2:10">
      <c r="B9" s="224">
        <f t="shared" ca="1" si="3"/>
        <v>45799</v>
      </c>
      <c r="C9" s="225">
        <f ca="1">VLOOKUP($B9,RD[[#All],[Date]:[IS4Inv2]],C$2,0)/C$1</f>
        <v>2.5932496801178457</v>
      </c>
      <c r="D9" s="225">
        <f ca="1">VLOOKUP($B9,RD[[#All],[Date]:[IS4Inv2]],D$2,0)/D$1</f>
        <v>2.9083909297100785</v>
      </c>
      <c r="E9" s="225">
        <f ca="1">VLOOKUP($B9,RD[[#All],[Date]:[IS4Inv2]],E$2,0)/E$1</f>
        <v>2.9089078552959755</v>
      </c>
      <c r="F9" s="225">
        <f ca="1">VLOOKUP($B9,RD[[#All],[Date]:[IS4Inv2]],F$2,0)/F$1</f>
        <v>2.9866999421736615</v>
      </c>
      <c r="G9" s="225">
        <f ca="1">VLOOKUP($B9,RD[[#All],[Date]:[IS4Inv2]],G$2,0)/G$1</f>
        <v>3.0543567580728617</v>
      </c>
      <c r="H9" s="225">
        <f ca="1">VLOOKUP($B9,RD[[#All],[Date]:[IS4Inv2]],H$2,0)/H$1</f>
        <v>3.0441690810547852</v>
      </c>
      <c r="I9" s="225">
        <f ca="1">VLOOKUP($B9,RD[[#All],[Date]:[IS4Inv2]],I$2,0)/I$1</f>
        <v>3.0399098746081505</v>
      </c>
      <c r="J9" s="225">
        <f ca="1">AVERAGEIFS(Inv_SY_B[[#This Row],[IS1Inv1]:[IS4Inv2]],Inv_SY_B[[#This Row],[IS1Inv1]:[IS4Inv2]],"&lt;&gt;0")</f>
        <v>2.9336691601476224</v>
      </c>
    </row>
    <row r="10" spans="2:10">
      <c r="B10" s="224">
        <f t="shared" ca="1" si="3"/>
        <v>45800</v>
      </c>
      <c r="C10" s="225">
        <f ca="1">VLOOKUP($B10,RD[[#All],[Date]:[IS4Inv2]],C$2,0)/C$1</f>
        <v>3.2098749502704216</v>
      </c>
      <c r="D10" s="225">
        <f ca="1">VLOOKUP($B10,RD[[#All],[Date]:[IS4Inv2]],D$2,0)/D$1</f>
        <v>3.2628593182805266</v>
      </c>
      <c r="E10" s="225">
        <f ca="1">VLOOKUP($B10,RD[[#All],[Date]:[IS4Inv2]],E$2,0)/E$1</f>
        <v>3.2116788321167884</v>
      </c>
      <c r="F10" s="225">
        <f ca="1">VLOOKUP($B10,RD[[#All],[Date]:[IS4Inv2]],F$2,0)/F$1</f>
        <v>3.2861186352984149</v>
      </c>
      <c r="G10" s="225">
        <f ca="1">VLOOKUP($B10,RD[[#All],[Date]:[IS4Inv2]],G$2,0)/G$1</f>
        <v>3.3361536354505894</v>
      </c>
      <c r="H10" s="225">
        <f ca="1">VLOOKUP($B10,RD[[#All],[Date]:[IS4Inv2]],H$2,0)/H$1</f>
        <v>3.3031379526119524</v>
      </c>
      <c r="I10" s="225">
        <f ca="1">VLOOKUP($B10,RD[[#All],[Date]:[IS4Inv2]],I$2,0)/I$1</f>
        <v>3.3014694357366774</v>
      </c>
      <c r="J10" s="225">
        <f ca="1">AVERAGEIFS(Inv_SY_B[[#This Row],[IS1Inv1]:[IS4Inv2]],Inv_SY_B[[#This Row],[IS1Inv1]:[IS4Inv2]],"&lt;&gt;0")</f>
        <v>3.2730418228236244</v>
      </c>
    </row>
    <row r="11" spans="2:10">
      <c r="B11" s="224">
        <f t="shared" ca="1" si="3"/>
        <v>45801</v>
      </c>
      <c r="C11" s="225">
        <f ca="1">VLOOKUP($B11,RD[[#All],[Date]:[IS4Inv2]],C$2,0)/C$1</f>
        <v>2.2991086309043798</v>
      </c>
      <c r="D11" s="225">
        <f ca="1">VLOOKUP($B11,RD[[#All],[Date]:[IS4Inv2]],D$2,0)/D$1</f>
        <v>2.4767103308864926</v>
      </c>
      <c r="E11" s="225">
        <f ca="1">VLOOKUP($B11,RD[[#All],[Date]:[IS4Inv2]],E$2,0)/E$1</f>
        <v>2.4616311618576909</v>
      </c>
      <c r="F11" s="225">
        <f ca="1">VLOOKUP($B11,RD[[#All],[Date]:[IS4Inv2]],F$2,0)/F$1</f>
        <v>2.5033934930151869</v>
      </c>
      <c r="G11" s="225">
        <f ca="1">VLOOKUP($B11,RD[[#All],[Date]:[IS4Inv2]],G$2,0)/G$1</f>
        <v>2.5365523328362301</v>
      </c>
      <c r="H11" s="225">
        <f ca="1">VLOOKUP($B11,RD[[#All],[Date]:[IS4Inv2]],H$2,0)/H$1</f>
        <v>2.6342952307906575</v>
      </c>
      <c r="I11" s="225">
        <f ca="1">VLOOKUP($B11,RD[[#All],[Date]:[IS4Inv2]],I$2,0)/I$1</f>
        <v>2.6368730407523513</v>
      </c>
      <c r="J11" s="225">
        <f ca="1">AVERAGEIFS(Inv_SY_B[[#This Row],[IS1Inv1]:[IS4Inv2]],Inv_SY_B[[#This Row],[IS1Inv1]:[IS4Inv2]],"&lt;&gt;0")</f>
        <v>2.5069377458632838</v>
      </c>
    </row>
    <row r="12" spans="2:10">
      <c r="B12" s="224">
        <f t="shared" ca="1" si="3"/>
        <v>45802</v>
      </c>
      <c r="C12" s="225">
        <f ca="1">VLOOKUP($B12,RD[[#All],[Date]:[IS4Inv2]],C$2,0)/C$1</f>
        <v>4.1962517338150391</v>
      </c>
      <c r="D12" s="225">
        <f ca="1">VLOOKUP($B12,RD[[#All],[Date]:[IS4Inv2]],D$2,0)/D$1</f>
        <v>4.1736202338886539</v>
      </c>
      <c r="E12" s="225">
        <f ca="1">VLOOKUP($B12,RD[[#All],[Date]:[IS4Inv2]],E$2,0)/E$1</f>
        <v>4.0789114400994588</v>
      </c>
      <c r="F12" s="225">
        <f ca="1">VLOOKUP($B12,RD[[#All],[Date]:[IS4Inv2]],F$2,0)/F$1</f>
        <v>4.0826003591319964</v>
      </c>
      <c r="G12" s="225">
        <f ca="1">VLOOKUP($B12,RD[[#All],[Date]:[IS4Inv2]],G$2,0)/G$1</f>
        <v>4.1494963021578357</v>
      </c>
      <c r="H12" s="225">
        <f ca="1">VLOOKUP($B12,RD[[#All],[Date]:[IS4Inv2]],H$2,0)/H$1</f>
        <v>3.8930659819416191</v>
      </c>
      <c r="I12" s="225">
        <f ca="1">VLOOKUP($B12,RD[[#All],[Date]:[IS4Inv2]],I$2,0)/I$1</f>
        <v>3.8403409090909086</v>
      </c>
      <c r="J12" s="225">
        <f ca="1">AVERAGEIFS(Inv_SY_B[[#This Row],[IS1Inv1]:[IS4Inv2]],Inv_SY_B[[#This Row],[IS1Inv1]:[IS4Inv2]],"&lt;&gt;0")</f>
        <v>4.0591838514465017</v>
      </c>
    </row>
    <row r="13" spans="2:10">
      <c r="B13" s="224">
        <f t="shared" ca="1" si="3"/>
        <v>45803</v>
      </c>
      <c r="C13" s="225">
        <f ca="1">VLOOKUP($B13,RD[[#All],[Date]:[IS4Inv2]],C$2,0)/C$1</f>
        <v>4.7092889476683553</v>
      </c>
      <c r="D13" s="225">
        <f ca="1">VLOOKUP($B13,RD[[#All],[Date]:[IS4Inv2]],D$2,0)/D$1</f>
        <v>4.7126043571279199</v>
      </c>
      <c r="E13" s="225">
        <f ca="1">VLOOKUP($B13,RD[[#All],[Date]:[IS4Inv2]],E$2,0)/E$1</f>
        <v>4.5594886697328176</v>
      </c>
      <c r="F13" s="225">
        <f ca="1">VLOOKUP($B13,RD[[#All],[Date]:[IS4Inv2]],F$2,0)/F$1</f>
        <v>4.6302918708342213</v>
      </c>
      <c r="G13" s="225">
        <f ca="1">VLOOKUP($B13,RD[[#All],[Date]:[IS4Inv2]],G$2,0)/G$1</f>
        <v>4.6831725355327638</v>
      </c>
      <c r="H13" s="225">
        <f ca="1">VLOOKUP($B13,RD[[#All],[Date]:[IS4Inv2]],H$2,0)/H$1</f>
        <v>4.8932601791714649</v>
      </c>
      <c r="I13" s="225">
        <f ca="1">VLOOKUP($B13,RD[[#All],[Date]:[IS4Inv2]],I$2,0)/I$1</f>
        <v>4.8936520376175547</v>
      </c>
      <c r="J13" s="225">
        <f ca="1">AVERAGEIFS(Inv_SY_B[[#This Row],[IS1Inv1]:[IS4Inv2]],Inv_SY_B[[#This Row],[IS1Inv1]:[IS4Inv2]],"&lt;&gt;0")</f>
        <v>4.7259655139550132</v>
      </c>
    </row>
    <row r="14" spans="2:10">
      <c r="B14" s="224">
        <f t="shared" ca="1" si="3"/>
        <v>45804</v>
      </c>
      <c r="C14" s="225">
        <f ca="1">VLOOKUP($B14,RD[[#All],[Date]:[IS4Inv2]],C$2,0)/C$1</f>
        <v>3.3278281345763041</v>
      </c>
      <c r="D14" s="225">
        <f ca="1">VLOOKUP($B14,RD[[#All],[Date]:[IS4Inv2]],D$2,0)/D$1</f>
        <v>3.3080070134424311</v>
      </c>
      <c r="E14" s="225">
        <f ca="1">VLOOKUP($B14,RD[[#All],[Date]:[IS4Inv2]],E$2,0)/E$1</f>
        <v>3.2127771548863926</v>
      </c>
      <c r="F14" s="225">
        <f ca="1">VLOOKUP($B14,RD[[#All],[Date]:[IS4Inv2]],F$2,0)/F$1</f>
        <v>3.2254161974617284</v>
      </c>
      <c r="G14" s="225">
        <f ca="1">VLOOKUP($B14,RD[[#All],[Date]:[IS4Inv2]],G$2,0)/G$1</f>
        <v>3.2523358797212167</v>
      </c>
      <c r="H14" s="225">
        <f ca="1">VLOOKUP($B14,RD[[#All],[Date]:[IS4Inv2]],H$2,0)/H$1</f>
        <v>3.3637902591454143</v>
      </c>
      <c r="I14" s="225">
        <f ca="1">VLOOKUP($B14,RD[[#All],[Date]:[IS4Inv2]],I$2,0)/I$1</f>
        <v>3.3469631661442008</v>
      </c>
      <c r="J14" s="225">
        <f ca="1">AVERAGEIFS(Inv_SY_B[[#This Row],[IS1Inv1]:[IS4Inv2]],Inv_SY_B[[#This Row],[IS1Inv1]:[IS4Inv2]],"&lt;&gt;0")</f>
        <v>3.2910168293396693</v>
      </c>
    </row>
    <row r="15" spans="2:10">
      <c r="B15" s="224">
        <f t="shared" ca="1" si="3"/>
        <v>45805</v>
      </c>
      <c r="C15" s="225">
        <f ca="1">VLOOKUP($B15,RD[[#All],[Date]:[IS4Inv2]],C$2,0)/C$1</f>
        <v>2.5380901691343292</v>
      </c>
      <c r="D15" s="225">
        <f ca="1">VLOOKUP($B15,RD[[#All],[Date]:[IS4Inv2]],D$2,0)/D$1</f>
        <v>2.568013769510828</v>
      </c>
      <c r="E15" s="225">
        <f ca="1">VLOOKUP($B15,RD[[#All],[Date]:[IS4Inv2]],E$2,0)/E$1</f>
        <v>2.5080047899076341</v>
      </c>
      <c r="F15" s="225">
        <f ca="1">VLOOKUP($B15,RD[[#All],[Date]:[IS4Inv2]],F$2,0)/F$1</f>
        <v>2.5538545819764438</v>
      </c>
      <c r="G15" s="225">
        <f ca="1">VLOOKUP($B15,RD[[#All],[Date]:[IS4Inv2]],G$2,0)/G$1</f>
        <v>2.573728581428615</v>
      </c>
      <c r="H15" s="225">
        <f ca="1">VLOOKUP($B15,RD[[#All],[Date]:[IS4Inv2]],H$2,0)/H$1</f>
        <v>2.5791549870437098</v>
      </c>
      <c r="I15" s="225">
        <f ca="1">VLOOKUP($B15,RD[[#All],[Date]:[IS4Inv2]],I$2,0)/I$1</f>
        <v>2.5947492163009405</v>
      </c>
      <c r="J15" s="225">
        <f ca="1">AVERAGEIFS(Inv_SY_B[[#This Row],[IS1Inv1]:[IS4Inv2]],Inv_SY_B[[#This Row],[IS1Inv1]:[IS4Inv2]],"&lt;&gt;0")</f>
        <v>2.5593708707575002</v>
      </c>
    </row>
    <row r="16" spans="2:10">
      <c r="B16" s="224">
        <f t="shared" ca="1" si="3"/>
        <v>45806</v>
      </c>
      <c r="C16" s="225">
        <f ca="1">VLOOKUP($B16,RD[[#All],[Date]:[IS4Inv2]],C$2,0)/C$1</f>
        <v>4.6814833930088273</v>
      </c>
      <c r="D16" s="225">
        <f ca="1">VLOOKUP($B16,RD[[#All],[Date]:[IS4Inv2]],D$2,0)/D$1</f>
        <v>4.7228778706588237</v>
      </c>
      <c r="E16" s="225">
        <f ca="1">VLOOKUP($B16,RD[[#All],[Date]:[IS4Inv2]],E$2,0)/E$1</f>
        <v>4.6198201496464772</v>
      </c>
      <c r="F16" s="225">
        <f ca="1">VLOOKUP($B16,RD[[#All],[Date]:[IS4Inv2]],F$2,0)/F$1</f>
        <v>4.6839334084061237</v>
      </c>
      <c r="G16" s="225">
        <f ca="1">VLOOKUP($B16,RD[[#All],[Date]:[IS4Inv2]],G$2,0)/G$1</f>
        <v>4.7588032991447795</v>
      </c>
      <c r="H16" s="225">
        <f ca="1">VLOOKUP($B16,RD[[#All],[Date]:[IS4Inv2]],H$2,0)/H$1</f>
        <v>4.75783213120671</v>
      </c>
      <c r="I16" s="225">
        <f ca="1">VLOOKUP($B16,RD[[#All],[Date]:[IS4Inv2]],I$2,0)/I$1</f>
        <v>4.7729231974921627</v>
      </c>
      <c r="J16" s="225">
        <f ca="1">AVERAGEIFS(Inv_SY_B[[#This Row],[IS1Inv1]:[IS4Inv2]],Inv_SY_B[[#This Row],[IS1Inv1]:[IS4Inv2]],"&lt;&gt;0")</f>
        <v>4.7139533499377011</v>
      </c>
    </row>
    <row r="17" spans="2:10">
      <c r="B17" s="224">
        <f t="shared" ca="1" si="3"/>
        <v>45807</v>
      </c>
      <c r="C17" s="225">
        <f ca="1">VLOOKUP($B17,RD[[#All],[Date]:[IS4Inv2]],C$2,0)/C$1</f>
        <v>3.1208025547562985</v>
      </c>
      <c r="D17" s="225">
        <f ca="1">VLOOKUP($B17,RD[[#All],[Date]:[IS4Inv2]],D$2,0)/D$1</f>
        <v>3.1347299449326806</v>
      </c>
      <c r="E17" s="225">
        <f ca="1">VLOOKUP($B17,RD[[#All],[Date]:[IS4Inv2]],E$2,0)/E$1</f>
        <v>3.1058889931278557</v>
      </c>
      <c r="F17" s="225">
        <f ca="1">VLOOKUP($B17,RD[[#All],[Date]:[IS4Inv2]],F$2,0)/F$1</f>
        <v>3.1489789086039508</v>
      </c>
      <c r="G17" s="225">
        <f ca="1">VLOOKUP($B17,RD[[#All],[Date]:[IS4Inv2]],G$2,0)/G$1</f>
        <v>3.1736007547858907</v>
      </c>
      <c r="H17" s="225">
        <f ca="1">VLOOKUP($B17,RD[[#All],[Date]:[IS4Inv2]],H$2,0)/H$1</f>
        <v>3.1297924051228838</v>
      </c>
      <c r="I17" s="225">
        <f ca="1">VLOOKUP($B17,RD[[#All],[Date]:[IS4Inv2]],I$2,0)/I$1</f>
        <v>3.150058777429467</v>
      </c>
      <c r="J17" s="225">
        <f ca="1">AVERAGEIFS(Inv_SY_B[[#This Row],[IS1Inv1]:[IS4Inv2]],Inv_SY_B[[#This Row],[IS1Inv1]:[IS4Inv2]],"&lt;&gt;0")</f>
        <v>3.13769319125129</v>
      </c>
    </row>
    <row r="18" spans="2:10">
      <c r="B18" s="224">
        <f t="shared" ca="1" si="3"/>
        <v>45808</v>
      </c>
      <c r="C18" s="225">
        <f ca="1">VLOOKUP($B18,RD[[#All],[Date]:[IS4Inv2]],C$2,0)/C$1</f>
        <v>5.5894971129963551</v>
      </c>
      <c r="D18" s="225">
        <f ca="1">VLOOKUP($B18,RD[[#All],[Date]:[IS4Inv2]],D$2,0)/D$1</f>
        <v>5.5867109207019876</v>
      </c>
      <c r="E18" s="225">
        <f ca="1">VLOOKUP($B18,RD[[#All],[Date]:[IS4Inv2]],E$2,0)/E$1</f>
        <v>5.4096667658208064</v>
      </c>
      <c r="F18" s="225">
        <f ca="1">VLOOKUP($B18,RD[[#All],[Date]:[IS4Inv2]],F$2,0)/F$1</f>
        <v>5.4420823568798129</v>
      </c>
      <c r="G18" s="225">
        <f ca="1">VLOOKUP($B18,RD[[#All],[Date]:[IS4Inv2]],G$2,0)/G$1</f>
        <v>5.4952673707276993</v>
      </c>
      <c r="H18" s="225">
        <f ca="1">VLOOKUP($B18,RD[[#All],[Date]:[IS4Inv2]],H$2,0)/H$1</f>
        <v>5.8692287623751698</v>
      </c>
      <c r="I18" s="225">
        <f ca="1">VLOOKUP($B18,RD[[#All],[Date]:[IS4Inv2]],I$2,0)/I$1</f>
        <v>5.8388910658307207</v>
      </c>
      <c r="J18" s="225">
        <f ca="1">AVERAGEIFS(Inv_SY_B[[#This Row],[IS1Inv1]:[IS4Inv2]],Inv_SY_B[[#This Row],[IS1Inv1]:[IS4Inv2]],"&lt;&gt;0")</f>
        <v>5.6044777650475073</v>
      </c>
    </row>
    <row r="19" spans="2:10">
      <c r="B19" s="224">
        <f t="shared" ca="1" si="3"/>
        <v>45809</v>
      </c>
      <c r="C19" s="225">
        <f ca="1">VLOOKUP($B19,RD[[#All],[Date]:[IS4Inv2]],C$2,0)/C$1</f>
        <v>2.4408244895325959</v>
      </c>
      <c r="D19" s="225">
        <f ca="1">VLOOKUP($B19,RD[[#All],[Date]:[IS4Inv2]],D$2,0)/D$1</f>
        <v>2.4418147014193101</v>
      </c>
      <c r="E19" s="225">
        <f ca="1">VLOOKUP($B19,RD[[#All],[Date]:[IS4Inv2]],E$2,0)/E$1</f>
        <v>2.3895232211366118</v>
      </c>
      <c r="F19" s="225">
        <f ca="1">VLOOKUP($B19,RD[[#All],[Date]:[IS4Inv2]],F$2,0)/F$1</f>
        <v>2.4280518610950486</v>
      </c>
      <c r="G19" s="225">
        <f ca="1">VLOOKUP($B19,RD[[#All],[Date]:[IS4Inv2]],G$2,0)/G$1</f>
        <v>2.4580302523054449</v>
      </c>
      <c r="H19" s="225">
        <f ca="1">VLOOKUP($B19,RD[[#All],[Date]:[IS4Inv2]],H$2,0)/H$1</f>
        <v>2.4519459935542214</v>
      </c>
      <c r="I19" s="225">
        <f ca="1">VLOOKUP($B19,RD[[#All],[Date]:[IS4Inv2]],I$2,0)/I$1</f>
        <v>2.4082876175548589</v>
      </c>
      <c r="J19" s="225">
        <f ca="1">AVERAGEIFS(Inv_SY_B[[#This Row],[IS1Inv1]:[IS4Inv2]],Inv_SY_B[[#This Row],[IS1Inv1]:[IS4Inv2]],"&lt;&gt;0")</f>
        <v>2.4312111623711559</v>
      </c>
    </row>
    <row r="20" spans="2:10">
      <c r="B20" s="224">
        <f t="shared" ca="1" si="3"/>
        <v>45810</v>
      </c>
      <c r="C20" s="225">
        <f ca="1">VLOOKUP($B20,RD[[#All],[Date]:[IS4Inv2]],C$2,0)/C$1</f>
        <v>5.0799866670967608</v>
      </c>
      <c r="D20" s="225">
        <f ca="1">VLOOKUP($B20,RD[[#All],[Date]:[IS4Inv2]],D$2,0)/D$1</f>
        <v>5.0755231931538507</v>
      </c>
      <c r="E20" s="225">
        <f ca="1">VLOOKUP($B20,RD[[#All],[Date]:[IS4Inv2]],E$2,0)/E$1</f>
        <v>4.954167906093403</v>
      </c>
      <c r="F20" s="225">
        <f ca="1">VLOOKUP($B20,RD[[#All],[Date]:[IS4Inv2]],F$2,0)/F$1</f>
        <v>4.991523876190767</v>
      </c>
      <c r="G20" s="225">
        <f ca="1">VLOOKUP($B20,RD[[#All],[Date]:[IS4Inv2]],G$2,0)/G$1</f>
        <v>5.1122896186505162</v>
      </c>
      <c r="H20" s="225">
        <f ca="1">VLOOKUP($B20,RD[[#All],[Date]:[IS4Inv2]],H$2,0)/H$1</f>
        <v>5.2525642861486377</v>
      </c>
      <c r="I20" s="225">
        <f ca="1">VLOOKUP($B20,RD[[#All],[Date]:[IS4Inv2]],I$2,0)/I$1</f>
        <v>5.2373040752351097</v>
      </c>
      <c r="J20" s="225">
        <f ca="1">AVERAGEIFS(Inv_SY_B[[#This Row],[IS1Inv1]:[IS4Inv2]],Inv_SY_B[[#This Row],[IS1Inv1]:[IS4Inv2]],"&lt;&gt;0")</f>
        <v>5.1004799460812924</v>
      </c>
    </row>
    <row r="21" spans="2:10">
      <c r="B21" s="224">
        <f t="shared" ca="1" si="3"/>
        <v>45811</v>
      </c>
      <c r="C21" s="225">
        <f ca="1">VLOOKUP($B21,RD[[#All],[Date]:[IS4Inv2]],C$2,0)/C$1</f>
        <v>5.0854918658537898</v>
      </c>
      <c r="D21" s="225">
        <f ca="1">VLOOKUP($B21,RD[[#All],[Date]:[IS4Inv2]],D$2,0)/D$1</f>
        <v>5.0874910857430864</v>
      </c>
      <c r="E21" s="225">
        <f ca="1">VLOOKUP($B21,RD[[#All],[Date]:[IS4Inv2]],E$2,0)/E$1</f>
        <v>4.9435812949530549</v>
      </c>
      <c r="F21" s="225">
        <f ca="1">VLOOKUP($B21,RD[[#All],[Date]:[IS4Inv2]],F$2,0)/F$1</f>
        <v>4.9888456036765376</v>
      </c>
      <c r="G21" s="225">
        <f ca="1">VLOOKUP($B21,RD[[#All],[Date]:[IS4Inv2]],G$2,0)/G$1</f>
        <v>5.0345588459080259</v>
      </c>
      <c r="H21" s="225">
        <f ca="1">VLOOKUP($B21,RD[[#All],[Date]:[IS4Inv2]],H$2,0)/H$1</f>
        <v>5.2973865760674475</v>
      </c>
      <c r="I21" s="225">
        <f ca="1">VLOOKUP($B21,RD[[#All],[Date]:[IS4Inv2]],I$2,0)/I$1</f>
        <v>5.2706308777429465</v>
      </c>
      <c r="J21" s="225">
        <f ca="1">AVERAGEIFS(Inv_SY_B[[#This Row],[IS1Inv1]:[IS4Inv2]],Inv_SY_B[[#This Row],[IS1Inv1]:[IS4Inv2]],"&lt;&gt;0")</f>
        <v>5.1011408785635552</v>
      </c>
    </row>
    <row r="22" spans="2:10">
      <c r="B22" s="224">
        <f t="shared" ca="1" si="3"/>
        <v>45812</v>
      </c>
      <c r="C22" s="225">
        <f ca="1">VLOOKUP($B22,RD[[#All],[Date]:[IS4Inv2]],C$2,0)/C$1</f>
        <v>5.2006279367332242</v>
      </c>
      <c r="D22" s="225">
        <f ca="1">VLOOKUP($B22,RD[[#All],[Date]:[IS4Inv2]],D$2,0)/D$1</f>
        <v>5.1912342693526501</v>
      </c>
      <c r="E22" s="225">
        <f ca="1">VLOOKUP($B22,RD[[#All],[Date]:[IS4Inv2]],E$2,0)/E$1</f>
        <v>5.0785682142339583</v>
      </c>
      <c r="F22" s="225">
        <f ca="1">VLOOKUP($B22,RD[[#All],[Date]:[IS4Inv2]],F$2,0)/F$1</f>
        <v>5.1166418114861374</v>
      </c>
      <c r="G22" s="225">
        <f ca="1">VLOOKUP($B22,RD[[#All],[Date]:[IS4Inv2]],G$2,0)/G$1</f>
        <v>5.1411419180083398</v>
      </c>
      <c r="H22" s="225">
        <f ca="1">VLOOKUP($B22,RD[[#All],[Date]:[IS4Inv2]],H$2,0)/H$1</f>
        <v>5.350898701624784</v>
      </c>
      <c r="I22" s="225">
        <f ca="1">VLOOKUP($B22,RD[[#All],[Date]:[IS4Inv2]],I$2,0)/I$1</f>
        <v>5.3467868338557993</v>
      </c>
      <c r="J22" s="225">
        <f ca="1">AVERAGEIFS(Inv_SY_B[[#This Row],[IS1Inv1]:[IS4Inv2]],Inv_SY_B[[#This Row],[IS1Inv1]:[IS4Inv2]],"&lt;&gt;0")</f>
        <v>5.2036999550421275</v>
      </c>
    </row>
    <row r="23" spans="2:10">
      <c r="B23" s="224">
        <f t="shared" ca="1" si="3"/>
        <v>45813</v>
      </c>
      <c r="C23" s="225">
        <f ca="1">VLOOKUP($B23,RD[[#All],[Date]:[IS4Inv2]],C$2,0)/C$1</f>
        <v>4.3617087620829436</v>
      </c>
      <c r="D23" s="225">
        <f ca="1">VLOOKUP($B23,RD[[#All],[Date]:[IS4Inv2]],D$2,0)/D$1</f>
        <v>4.3214601686872314</v>
      </c>
      <c r="E23" s="225">
        <f ca="1">VLOOKUP($B23,RD[[#All],[Date]:[IS4Inv2]],E$2,0)/E$1</f>
        <v>4.2082694551861426</v>
      </c>
      <c r="F23" s="225">
        <f ca="1">VLOOKUP($B23,RD[[#All],[Date]:[IS4Inv2]],F$2,0)/F$1</f>
        <v>4.2295249109778741</v>
      </c>
      <c r="G23" s="225">
        <f ca="1">VLOOKUP($B23,RD[[#All],[Date]:[IS4Inv2]],G$2,0)/G$1</f>
        <v>4.2152509358736339</v>
      </c>
      <c r="H23" s="225">
        <f ca="1">VLOOKUP($B23,RD[[#All],[Date]:[IS4Inv2]],H$2,0)/H$1</f>
        <v>4.4813070454362673</v>
      </c>
      <c r="I23" s="225">
        <f ca="1">VLOOKUP($B23,RD[[#All],[Date]:[IS4Inv2]],I$2,0)/I$1</f>
        <v>4.4137539184952974</v>
      </c>
      <c r="J23" s="225">
        <f ca="1">AVERAGEIFS(Inv_SY_B[[#This Row],[IS1Inv1]:[IS4Inv2]],Inv_SY_B[[#This Row],[IS1Inv1]:[IS4Inv2]],"&lt;&gt;0")</f>
        <v>4.3187535995341984</v>
      </c>
    </row>
    <row r="24" spans="2:10">
      <c r="B24" s="224">
        <f t="shared" ca="1" si="3"/>
        <v>45814</v>
      </c>
      <c r="C24" s="225">
        <f ca="1">VLOOKUP($B24,RD[[#All],[Date]:[IS4Inv2]],C$2,0)/C$1</f>
        <v>5.6439254647699535</v>
      </c>
      <c r="D24" s="225">
        <f ca="1">VLOOKUP($B24,RD[[#All],[Date]:[IS4Inv2]],D$2,0)/D$1</f>
        <v>5.5947324114338413</v>
      </c>
      <c r="E24" s="225">
        <f ca="1">VLOOKUP($B24,RD[[#All],[Date]:[IS4Inv2]],E$2,0)/E$1</f>
        <v>5.4604641939149872</v>
      </c>
      <c r="F24" s="225">
        <f ca="1">VLOOKUP($B24,RD[[#All],[Date]:[IS4Inv2]],F$2,0)/F$1</f>
        <v>5.4860303740451046</v>
      </c>
      <c r="G24" s="225">
        <f ca="1">VLOOKUP($B24,RD[[#All],[Date]:[IS4Inv2]],G$2,0)/G$1</f>
        <v>5.4395258240253224</v>
      </c>
      <c r="H24" s="225">
        <f ca="1">VLOOKUP($B24,RD[[#All],[Date]:[IS4Inv2]],H$2,0)/H$1</f>
        <v>5.6207936193459673</v>
      </c>
      <c r="I24" s="225">
        <f ca="1">VLOOKUP($B24,RD[[#All],[Date]:[IS4Inv2]],I$2,0)/I$1</f>
        <v>5.5831308777429465</v>
      </c>
      <c r="J24" s="225">
        <f ca="1">AVERAGEIFS(Inv_SY_B[[#This Row],[IS1Inv1]:[IS4Inv2]],Inv_SY_B[[#This Row],[IS1Inv1]:[IS4Inv2]],"&lt;&gt;0")</f>
        <v>5.5469432521825883</v>
      </c>
    </row>
    <row r="25" spans="2:10">
      <c r="B25" s="224">
        <f t="shared" ca="1" si="3"/>
        <v>45815</v>
      </c>
      <c r="C25" s="225">
        <f ca="1">VLOOKUP($B25,RD[[#All],[Date]:[IS4Inv2]],C$2,0)/C$1</f>
        <v>4.4188251991871237</v>
      </c>
      <c r="D25" s="225">
        <f ca="1">VLOOKUP($B25,RD[[#All],[Date]:[IS4Inv2]],D$2,0)/D$1</f>
        <v>4.4010745365926898</v>
      </c>
      <c r="E25" s="225">
        <f ca="1">VLOOKUP($B25,RD[[#All],[Date]:[IS4Inv2]],E$2,0)/E$1</f>
        <v>4.3059744182321582</v>
      </c>
      <c r="F25" s="225">
        <f ca="1">VLOOKUP($B25,RD[[#All],[Date]:[IS4Inv2]],F$2,0)/F$1</f>
        <v>4.3379340779742526</v>
      </c>
      <c r="G25" s="225">
        <f ca="1">VLOOKUP($B25,RD[[#All],[Date]:[IS4Inv2]],G$2,0)/G$1</f>
        <v>4.3521928356210244</v>
      </c>
      <c r="H25" s="225">
        <f ca="1">VLOOKUP($B25,RD[[#All],[Date]:[IS4Inv2]],H$2,0)/H$1</f>
        <v>4.527188592972414</v>
      </c>
      <c r="I25" s="225">
        <f ca="1">VLOOKUP($B25,RD[[#All],[Date]:[IS4Inv2]],I$2,0)/I$1</f>
        <v>4.4932797805642632</v>
      </c>
      <c r="J25" s="225">
        <f ca="1">AVERAGEIFS(Inv_SY_B[[#This Row],[IS1Inv1]:[IS4Inv2]],Inv_SY_B[[#This Row],[IS1Inv1]:[IS4Inv2]],"&lt;&gt;0")</f>
        <v>4.4052099201634176</v>
      </c>
    </row>
    <row r="26" spans="2:10">
      <c r="B26" s="224">
        <f t="shared" ca="1" si="3"/>
        <v>45816</v>
      </c>
      <c r="C26" s="225">
        <f ca="1">VLOOKUP($B26,RD[[#All],[Date]:[IS4Inv2]],C$2,0)/C$1</f>
        <v>4.8316505919163903</v>
      </c>
      <c r="D26" s="225">
        <f ca="1">VLOOKUP($B26,RD[[#All],[Date]:[IS4Inv2]],D$2,0)/D$1</f>
        <v>4.8673504951769182</v>
      </c>
      <c r="E26" s="225">
        <f ca="1">VLOOKUP($B26,RD[[#All],[Date]:[IS4Inv2]],E$2,0)/E$1</f>
        <v>4.7636089055671231</v>
      </c>
      <c r="F26" s="225">
        <f ca="1">VLOOKUP($B26,RD[[#All],[Date]:[IS4Inv2]],F$2,0)/F$1</f>
        <v>4.8358949386736461</v>
      </c>
      <c r="G26" s="225">
        <f ca="1">VLOOKUP($B26,RD[[#All],[Date]:[IS4Inv2]],G$2,0)/G$1</f>
        <v>4.8829016647898476</v>
      </c>
      <c r="H26" s="225">
        <f ca="1">VLOOKUP($B26,RD[[#All],[Date]:[IS4Inv2]],H$2,0)/H$1</f>
        <v>4.9333158098122558</v>
      </c>
      <c r="I26" s="225">
        <f ca="1">VLOOKUP($B26,RD[[#All],[Date]:[IS4Inv2]],I$2,0)/I$1</f>
        <v>4.9258620689655173</v>
      </c>
      <c r="J26" s="225">
        <f ca="1">AVERAGEIFS(Inv_SY_B[[#This Row],[IS1Inv1]:[IS4Inv2]],Inv_SY_B[[#This Row],[IS1Inv1]:[IS4Inv2]],"&lt;&gt;0")</f>
        <v>4.8629406392716712</v>
      </c>
    </row>
    <row r="27" spans="2:10">
      <c r="B27" s="224">
        <f t="shared" ca="1" si="3"/>
        <v>45817</v>
      </c>
      <c r="C27" s="225">
        <f ca="1">VLOOKUP($B27,RD[[#All],[Date]:[IS4Inv2]],C$2,0)/C$1</f>
        <v>5.2558089523993852</v>
      </c>
      <c r="D27" s="225">
        <f ca="1">VLOOKUP($B27,RD[[#All],[Date]:[IS4Inv2]],D$2,0)/D$1</f>
        <v>5.2774545708019875</v>
      </c>
      <c r="E27" s="225">
        <f ca="1">VLOOKUP($B27,RD[[#All],[Date]:[IS4Inv2]],E$2,0)/E$1</f>
        <v>5.142850605221609</v>
      </c>
      <c r="F27" s="225">
        <f ca="1">VLOOKUP($B27,RD[[#All],[Date]:[IS4Inv2]],F$2,0)/F$1</f>
        <v>5.1722311836138424</v>
      </c>
      <c r="G27" s="225">
        <f ca="1">VLOOKUP($B27,RD[[#All],[Date]:[IS4Inv2]],G$2,0)/G$1</f>
        <v>5.1817420945308461</v>
      </c>
      <c r="H27" s="225">
        <f ca="1">VLOOKUP($B27,RD[[#All],[Date]:[IS4Inv2]],H$2,0)/H$1</f>
        <v>5.3888162011490985</v>
      </c>
      <c r="I27" s="225">
        <f ca="1">VLOOKUP($B27,RD[[#All],[Date]:[IS4Inv2]],I$2,0)/I$1</f>
        <v>5.32762539184953</v>
      </c>
      <c r="J27" s="225">
        <f ca="1">AVERAGEIFS(Inv_SY_B[[#This Row],[IS1Inv1]:[IS4Inv2]],Inv_SY_B[[#This Row],[IS1Inv1]:[IS4Inv2]],"&lt;&gt;0")</f>
        <v>5.2495041427951863</v>
      </c>
    </row>
    <row r="28" spans="2:10">
      <c r="B28" s="224">
        <f t="shared" ca="1" si="3"/>
        <v>45818</v>
      </c>
      <c r="C28" s="225">
        <f ca="1">VLOOKUP($B28,RD[[#All],[Date]:[IS4Inv2]],C$2,0)/C$1</f>
        <v>4.2299280668365542</v>
      </c>
      <c r="D28" s="225">
        <f ca="1">VLOOKUP($B28,RD[[#All],[Date]:[IS4Inv2]],D$2,0)/D$1</f>
        <v>4.2119260693086824</v>
      </c>
      <c r="E28" s="225">
        <f ca="1">VLOOKUP($B28,RD[[#All],[Date]:[IS4Inv2]],E$2,0)/E$1</f>
        <v>4.1443989352370929</v>
      </c>
      <c r="F28" s="225">
        <f ca="1">VLOOKUP($B28,RD[[#All],[Date]:[IS4Inv2]],F$2,0)/F$1</f>
        <v>4.1660833307970906</v>
      </c>
      <c r="G28" s="225">
        <f ca="1">VLOOKUP($B28,RD[[#All],[Date]:[IS4Inv2]],G$2,0)/G$1</f>
        <v>4.1767507684816021</v>
      </c>
      <c r="H28" s="225">
        <f ca="1">VLOOKUP($B28,RD[[#All],[Date]:[IS4Inv2]],H$2,0)/H$1</f>
        <v>4.2783415164253586</v>
      </c>
      <c r="I28" s="225">
        <f ca="1">VLOOKUP($B28,RD[[#All],[Date]:[IS4Inv2]],I$2,0)/I$1</f>
        <v>4.2419866771159871</v>
      </c>
      <c r="J28" s="225">
        <f ca="1">AVERAGEIFS(Inv_SY_B[[#This Row],[IS1Inv1]:[IS4Inv2]],Inv_SY_B[[#This Row],[IS1Inv1]:[IS4Inv2]],"&lt;&gt;0")</f>
        <v>4.2070593377431953</v>
      </c>
    </row>
    <row r="29" spans="2:10">
      <c r="B29" s="224">
        <f t="shared" ca="1" si="3"/>
        <v>45819</v>
      </c>
      <c r="C29" s="225">
        <f ca="1">VLOOKUP($B29,RD[[#All],[Date]:[IS4Inv2]],C$2,0)/C$1</f>
        <v>3.9380880186660652</v>
      </c>
      <c r="D29" s="225">
        <f ca="1">VLOOKUP($B29,RD[[#All],[Date]:[IS4Inv2]],D$2,0)/D$1</f>
        <v>3.9323535246837782</v>
      </c>
      <c r="E29" s="225">
        <f ca="1">VLOOKUP($B29,RD[[#All],[Date]:[IS4Inv2]],E$2,0)/E$1</f>
        <v>3.8850117078156345</v>
      </c>
      <c r="F29" s="225">
        <f ca="1">VLOOKUP($B29,RD[[#All],[Date]:[IS4Inv2]],F$2,0)/F$1</f>
        <v>3.9176431201874795</v>
      </c>
      <c r="G29" s="225">
        <f ca="1">VLOOKUP($B29,RD[[#All],[Date]:[IS4Inv2]],G$2,0)/G$1</f>
        <v>3.9501476093374319</v>
      </c>
      <c r="H29" s="225">
        <f ca="1">VLOOKUP($B29,RD[[#All],[Date]:[IS4Inv2]],H$2,0)/H$1</f>
        <v>3.9586418748075189</v>
      </c>
      <c r="I29" s="225">
        <f ca="1">VLOOKUP($B29,RD[[#All],[Date]:[IS4Inv2]],I$2,0)/I$1</f>
        <v>3.9278213166144198</v>
      </c>
      <c r="J29" s="225">
        <f ca="1">AVERAGEIFS(Inv_SY_B[[#This Row],[IS1Inv1]:[IS4Inv2]],Inv_SY_B[[#This Row],[IS1Inv1]:[IS4Inv2]],"&lt;&gt;0")</f>
        <v>3.9299581674446182</v>
      </c>
    </row>
    <row r="30" spans="2:10">
      <c r="B30" s="224">
        <f t="shared" ca="1" si="3"/>
        <v>45820</v>
      </c>
      <c r="C30" s="225">
        <f ca="1">VLOOKUP($B30,RD[[#All],[Date]:[IS4Inv2]],C$2,0)/C$1</f>
        <v>3.0076664193628164</v>
      </c>
      <c r="D30" s="225">
        <f ca="1">VLOOKUP($B30,RD[[#All],[Date]:[IS4Inv2]],D$2,0)/D$1</f>
        <v>3.0221288049801873</v>
      </c>
      <c r="E30" s="225">
        <f ca="1">VLOOKUP($B30,RD[[#All],[Date]:[IS4Inv2]],E$2,0)/E$1</f>
        <v>2.9287844465292237</v>
      </c>
      <c r="F30" s="225">
        <f ca="1">VLOOKUP($B30,RD[[#All],[Date]:[IS4Inv2]],F$2,0)/F$1</f>
        <v>2.9695498676081198</v>
      </c>
      <c r="G30" s="225">
        <f ca="1">VLOOKUP($B30,RD[[#All],[Date]:[IS4Inv2]],G$2,0)/G$1</f>
        <v>3.0389110387436471</v>
      </c>
      <c r="H30" s="225">
        <f ca="1">VLOOKUP($B30,RD[[#All],[Date]:[IS4Inv2]],H$2,0)/H$1</f>
        <v>3.1310674374400489</v>
      </c>
      <c r="I30" s="225">
        <f ca="1">VLOOKUP($B30,RD[[#All],[Date]:[IS4Inv2]],I$2,0)/I$1</f>
        <v>3.1257641065830719</v>
      </c>
      <c r="J30" s="225">
        <f ca="1">AVERAGEIFS(Inv_SY_B[[#This Row],[IS1Inv1]:[IS4Inv2]],Inv_SY_B[[#This Row],[IS1Inv1]:[IS4Inv2]],"&lt;&gt;0")</f>
        <v>3.0319817316067308</v>
      </c>
    </row>
    <row r="31" spans="2:10">
      <c r="B31" s="224">
        <f t="shared" ca="1" si="3"/>
        <v>45821</v>
      </c>
      <c r="C31" s="225">
        <f ca="1">VLOOKUP($B31,RD[[#All],[Date]:[IS4Inv2]],C$2,0)/C$1</f>
        <v>4.0919110136232169</v>
      </c>
      <c r="D31" s="225">
        <f ca="1">VLOOKUP($B31,RD[[#All],[Date]:[IS4Inv2]],D$2,0)/D$1</f>
        <v>4.0652228698277195</v>
      </c>
      <c r="E31" s="225">
        <f ca="1">VLOOKUP($B31,RD[[#All],[Date]:[IS4Inv2]],E$2,0)/E$1</f>
        <v>4.0740757690166198</v>
      </c>
      <c r="F31" s="225">
        <f ca="1">VLOOKUP($B31,RD[[#All],[Date]:[IS4Inv2]],F$2,0)/F$1</f>
        <v>4.0986547767598998</v>
      </c>
      <c r="G31" s="225">
        <f ca="1">VLOOKUP($B31,RD[[#All],[Date]:[IS4Inv2]],G$2,0)/G$1</f>
        <v>4.1375810329610134</v>
      </c>
      <c r="H31" s="225">
        <f ca="1">VLOOKUP($B31,RD[[#All],[Date]:[IS4Inv2]],H$2,0)/H$1</f>
        <v>4.0899505875937399</v>
      </c>
      <c r="I31" s="225">
        <f ca="1">VLOOKUP($B31,RD[[#All],[Date]:[IS4Inv2]],I$2,0)/I$1</f>
        <v>4.1353448275862066</v>
      </c>
      <c r="J31" s="225">
        <f ca="1">AVERAGEIFS(Inv_SY_B[[#This Row],[IS1Inv1]:[IS4Inv2]],Inv_SY_B[[#This Row],[IS1Inv1]:[IS4Inv2]],"&lt;&gt;0")</f>
        <v>4.0989629824812024</v>
      </c>
    </row>
    <row r="32" spans="2:10">
      <c r="B32" s="224">
        <f t="shared" ca="1" si="3"/>
        <v>45822</v>
      </c>
      <c r="C32" s="225">
        <f ca="1">VLOOKUP($B32,RD[[#All],[Date]:[IS4Inv2]],C$2,0)/C$1</f>
        <v>5.0748470479446901</v>
      </c>
      <c r="D32" s="225">
        <f ca="1">VLOOKUP($B32,RD[[#All],[Date]:[IS4Inv2]],D$2,0)/D$1</f>
        <v>5.0024504152837279</v>
      </c>
      <c r="E32" s="225">
        <f ca="1">VLOOKUP($B32,RD[[#All],[Date]:[IS4Inv2]],E$2,0)/E$1</f>
        <v>4.9073671525219478</v>
      </c>
      <c r="F32" s="225">
        <f ca="1">VLOOKUP($B32,RD[[#All],[Date]:[IS4Inv2]],F$2,0)/F$1</f>
        <v>4.904738716255288</v>
      </c>
      <c r="G32" s="225">
        <f ca="1">VLOOKUP($B32,RD[[#All],[Date]:[IS4Inv2]],G$2,0)/G$1</f>
        <v>4.8777429467084641</v>
      </c>
      <c r="H32" s="225">
        <f ca="1">VLOOKUP($B32,RD[[#All],[Date]:[IS4Inv2]],H$2,0)/H$1</f>
        <v>5.171746853122162</v>
      </c>
      <c r="I32" s="225">
        <f ca="1">VLOOKUP($B32,RD[[#All],[Date]:[IS4Inv2]],I$2,0)/I$1</f>
        <v>5.0854819749216302</v>
      </c>
      <c r="J32" s="225">
        <f ca="1">AVERAGEIFS(Inv_SY_B[[#This Row],[IS1Inv1]:[IS4Inv2]],Inv_SY_B[[#This Row],[IS1Inv1]:[IS4Inv2]],"&lt;&gt;0")</f>
        <v>5.003482158108274</v>
      </c>
    </row>
    <row r="33" spans="2:10">
      <c r="B33" s="224">
        <f t="shared" ca="1" si="3"/>
        <v>45823</v>
      </c>
      <c r="C33" s="225">
        <f ca="1">VLOOKUP($B33,RD[[#All],[Date]:[IS4Inv2]],C$2,0)/C$1</f>
        <v>4.1352859585174677</v>
      </c>
      <c r="D33" s="225">
        <f ca="1">VLOOKUP($B33,RD[[#All],[Date]:[IS4Inv2]],D$2,0)/D$1</f>
        <v>4.2024246778803098</v>
      </c>
      <c r="E33" s="225">
        <f ca="1">VLOOKUP($B33,RD[[#All],[Date]:[IS4Inv2]],E$2,0)/E$1</f>
        <v>4.0624518530383122</v>
      </c>
      <c r="F33" s="225">
        <f ca="1">VLOOKUP($B33,RD[[#All],[Date]:[IS4Inv2]],F$2,0)/F$1</f>
        <v>4.1496332592750411</v>
      </c>
      <c r="G33" s="225">
        <f ca="1">VLOOKUP($B33,RD[[#All],[Date]:[IS4Inv2]],G$2,0)/G$1</f>
        <v>4.362373314666586</v>
      </c>
      <c r="H33" s="225">
        <f ca="1">VLOOKUP($B33,RD[[#All],[Date]:[IS4Inv2]],H$2,0)/H$1</f>
        <v>4.4130633926452214</v>
      </c>
      <c r="I33" s="225">
        <f ca="1">VLOOKUP($B33,RD[[#All],[Date]:[IS4Inv2]],I$2,0)/I$1</f>
        <v>4.3947100313479623</v>
      </c>
      <c r="J33" s="225">
        <f ca="1">AVERAGEIFS(Inv_SY_B[[#This Row],[IS1Inv1]:[IS4Inv2]],Inv_SY_B[[#This Row],[IS1Inv1]:[IS4Inv2]],"&lt;&gt;0")</f>
        <v>4.245706069624414</v>
      </c>
    </row>
    <row r="34" spans="2:10">
      <c r="B34" s="224">
        <f t="shared" ca="1" si="3"/>
        <v>45824</v>
      </c>
      <c r="C34" s="225">
        <f ca="1">VLOOKUP($B34,RD[[#All],[Date]:[IS4Inv2]],C$2,0)/C$1</f>
        <v>3.1471888003612789</v>
      </c>
      <c r="D34" s="225">
        <f ca="1">VLOOKUP($B34,RD[[#All],[Date]:[IS4Inv2]],D$2,0)/D$1</f>
        <v>3.1706121748642082</v>
      </c>
      <c r="E34" s="225">
        <f ca="1">VLOOKUP($B34,RD[[#All],[Date]:[IS4Inv2]],E$2,0)/E$1</f>
        <v>3.10935176074869</v>
      </c>
      <c r="F34" s="225">
        <f ca="1">VLOOKUP($B34,RD[[#All],[Date]:[IS4Inv2]],F$2,0)/F$1</f>
        <v>3.1445354110235262</v>
      </c>
      <c r="G34" s="225">
        <f ca="1">VLOOKUP($B34,RD[[#All],[Date]:[IS4Inv2]],G$2,0)/G$1</f>
        <v>3.1532550141522355</v>
      </c>
      <c r="H34" s="225">
        <f ca="1">VLOOKUP($B34,RD[[#All],[Date]:[IS4Inv2]],H$2,0)/H$1</f>
        <v>3.220437394932433</v>
      </c>
      <c r="I34" s="225">
        <f ca="1">VLOOKUP($B34,RD[[#All],[Date]:[IS4Inv2]],I$2,0)/I$1</f>
        <v>3.179760971786834</v>
      </c>
      <c r="J34" s="225">
        <f ca="1">AVERAGEIFS(Inv_SY_B[[#This Row],[IS1Inv1]:[IS4Inv2]],Inv_SY_B[[#This Row],[IS1Inv1]:[IS4Inv2]],"&lt;&gt;0")</f>
        <v>3.1607345039813146</v>
      </c>
    </row>
    <row r="35" spans="2:10">
      <c r="B35" s="224">
        <f t="shared" ca="1" si="3"/>
        <v>45825</v>
      </c>
      <c r="C35" s="225">
        <f ca="1">VLOOKUP($B35,RD[[#All],[Date]:[IS4Inv2]],C$2,0)/C$1</f>
        <v>5.3858477683515593</v>
      </c>
      <c r="D35" s="225">
        <f ca="1">VLOOKUP($B35,RD[[#All],[Date]:[IS4Inv2]],D$2,0)/D$1</f>
        <v>5.4216269256135421</v>
      </c>
      <c r="E35" s="225">
        <f ca="1">VLOOKUP($B35,RD[[#All],[Date]:[IS4Inv2]],E$2,0)/E$1</f>
        <v>5.2218383177356245</v>
      </c>
      <c r="F35" s="225">
        <f ca="1">VLOOKUP($B35,RD[[#All],[Date]:[IS4Inv2]],F$2,0)/F$1</f>
        <v>5.2609641781051231</v>
      </c>
      <c r="G35" s="225">
        <f ca="1">VLOOKUP($B35,RD[[#All],[Date]:[IS4Inv2]],G$2,0)/G$1</f>
        <v>5.3538211035700156</v>
      </c>
      <c r="H35" s="225">
        <f ca="1">VLOOKUP($B35,RD[[#All],[Date]:[IS4Inv2]],H$2,0)/H$1</f>
        <v>5.643685353409535</v>
      </c>
      <c r="I35" s="225">
        <f ca="1">VLOOKUP($B35,RD[[#All],[Date]:[IS4Inv2]],I$2,0)/I$1</f>
        <v>5.5802507836990589</v>
      </c>
      <c r="J35" s="225">
        <f ca="1">AVERAGEIFS(Inv_SY_B[[#This Row],[IS1Inv1]:[IS4Inv2]],Inv_SY_B[[#This Row],[IS1Inv1]:[IS4Inv2]],"&lt;&gt;0")</f>
        <v>5.4097192043549223</v>
      </c>
    </row>
    <row r="36" spans="2:10">
      <c r="B36" s="224">
        <f t="shared" ca="1" si="3"/>
        <v>45826</v>
      </c>
      <c r="C36" s="225">
        <f ca="1">VLOOKUP($B36,RD[[#All],[Date]:[IS4Inv2]],C$2,0)/C$1</f>
        <v>3.6638603055815406</v>
      </c>
      <c r="D36" s="225">
        <f ca="1">VLOOKUP($B36,RD[[#All],[Date]:[IS4Inv2]],D$2,0)/D$1</f>
        <v>3.660416409739462</v>
      </c>
      <c r="E36" s="225">
        <f ca="1">VLOOKUP($B36,RD[[#All],[Date]:[IS4Inv2]],E$2,0)/E$1</f>
        <v>3.6359060018763016</v>
      </c>
      <c r="F36" s="225">
        <f ca="1">VLOOKUP($B36,RD[[#All],[Date]:[IS4Inv2]],F$2,0)/F$1</f>
        <v>3.6675137717990083</v>
      </c>
      <c r="G36" s="225">
        <f ca="1">VLOOKUP($B36,RD[[#All],[Date]:[IS4Inv2]],G$2,0)/G$1</f>
        <v>3.7171226831421009</v>
      </c>
      <c r="H36" s="225">
        <f ca="1">VLOOKUP($B36,RD[[#All],[Date]:[IS4Inv2]],H$2,0)/H$1</f>
        <v>3.7131491140486985</v>
      </c>
      <c r="I36" s="225">
        <f ca="1">VLOOKUP($B36,RD[[#All],[Date]:[IS4Inv2]],I$2,0)/I$1</f>
        <v>3.7065047021943576</v>
      </c>
      <c r="J36" s="225">
        <f ca="1">AVERAGEIFS(Inv_SY_B[[#This Row],[IS1Inv1]:[IS4Inv2]],Inv_SY_B[[#This Row],[IS1Inv1]:[IS4Inv2]],"&lt;&gt;0")</f>
        <v>3.6806389983402101</v>
      </c>
    </row>
    <row r="37" spans="2:10">
      <c r="B37" s="224">
        <f t="shared" ca="1" si="3"/>
        <v>45827</v>
      </c>
      <c r="C37" s="225">
        <f ca="1">VLOOKUP($B37,RD[[#All],[Date]:[IS4Inv2]],C$2,0)/C$1</f>
        <v>3.3265378536176256</v>
      </c>
      <c r="D37" s="225">
        <f ca="1">VLOOKUP($B37,RD[[#All],[Date]:[IS4Inv2]],D$2,0)/D$1</f>
        <v>3.3331438774470641</v>
      </c>
      <c r="E37" s="225">
        <f ca="1">VLOOKUP($B37,RD[[#All],[Date]:[IS4Inv2]],E$2,0)/E$1</f>
        <v>3.2410894751695154</v>
      </c>
      <c r="F37" s="225">
        <f ca="1">VLOOKUP($B37,RD[[#All],[Date]:[IS4Inv2]],F$2,0)/F$1</f>
        <v>3.2595337371032049</v>
      </c>
      <c r="G37" s="225">
        <f ca="1">VLOOKUP($B37,RD[[#All],[Date]:[IS4Inv2]],G$2,0)/G$1</f>
        <v>3.3119883129926655</v>
      </c>
      <c r="H37" s="225">
        <f ca="1">VLOOKUP($B37,RD[[#All],[Date]:[IS4Inv2]],H$2,0)/H$1</f>
        <v>3.427953808521532</v>
      </c>
      <c r="I37" s="225">
        <f ca="1">VLOOKUP($B37,RD[[#All],[Date]:[IS4Inv2]],I$2,0)/I$1</f>
        <v>3.4071120689655174</v>
      </c>
      <c r="J37" s="225">
        <f ca="1">AVERAGEIFS(Inv_SY_B[[#This Row],[IS1Inv1]:[IS4Inv2]],Inv_SY_B[[#This Row],[IS1Inv1]:[IS4Inv2]],"&lt;&gt;0")</f>
        <v>3.3296227334024464</v>
      </c>
    </row>
    <row r="38" spans="2:10">
      <c r="B38" s="224">
        <f t="shared" ca="1" si="3"/>
        <v>45828</v>
      </c>
      <c r="C38" s="225">
        <f ca="1">VLOOKUP($B38,RD[[#All],[Date]:[IS4Inv2]],C$2,0)/C$1</f>
        <v>5.1351031687149877</v>
      </c>
      <c r="D38" s="225">
        <f ca="1">VLOOKUP($B38,RD[[#All],[Date]:[IS4Inv2]],D$2,0)/D$1</f>
        <v>5.149732706341589</v>
      </c>
      <c r="E38" s="225">
        <f ca="1">VLOOKUP($B38,RD[[#All],[Date]:[IS4Inv2]],E$2,0)/E$1</f>
        <v>5.0387997772845496</v>
      </c>
      <c r="F38" s="225">
        <f ca="1">VLOOKUP($B38,RD[[#All],[Date]:[IS4Inv2]],F$2,0)/F$1</f>
        <v>5.050324131844051</v>
      </c>
      <c r="G38" s="225">
        <f ca="1">VLOOKUP($B38,RD[[#All],[Date]:[IS4Inv2]],G$2,0)/G$1</f>
        <v>5.1530571872051629</v>
      </c>
      <c r="H38" s="225">
        <f ca="1">VLOOKUP($B38,RD[[#All],[Date]:[IS4Inv2]],H$2,0)/H$1</f>
        <v>5.3661794735489643</v>
      </c>
      <c r="I38" s="225">
        <f ca="1">VLOOKUP($B38,RD[[#All],[Date]:[IS4Inv2]],I$2,0)/I$1</f>
        <v>5.3417515673981191</v>
      </c>
      <c r="J38" s="225">
        <f ca="1">AVERAGEIFS(Inv_SY_B[[#This Row],[IS1Inv1]:[IS4Inv2]],Inv_SY_B[[#This Row],[IS1Inv1]:[IS4Inv2]],"&lt;&gt;0")</f>
        <v>5.1764211446196313</v>
      </c>
    </row>
    <row r="39" spans="2:10">
      <c r="B39" s="224">
        <f t="shared" ca="1" si="3"/>
        <v>45829</v>
      </c>
      <c r="C39" s="225">
        <f ca="1">VLOOKUP($B39,RD[[#All],[Date]:[IS4Inv2]],C$2,0)/C$1</f>
        <v>4.120082147887703</v>
      </c>
      <c r="D39" s="225">
        <f ca="1">VLOOKUP($B39,RD[[#All],[Date]:[IS4Inv2]],D$2,0)/D$1</f>
        <v>4.1355717725028009</v>
      </c>
      <c r="E39" s="225">
        <f ca="1">VLOOKUP($B39,RD[[#All],[Date]:[IS4Inv2]],E$2,0)/E$1</f>
        <v>4.0097933780289683</v>
      </c>
      <c r="F39" s="225">
        <f ca="1">VLOOKUP($B39,RD[[#All],[Date]:[IS4Inv2]],F$2,0)/F$1</f>
        <v>4.0370392914751809</v>
      </c>
      <c r="G39" s="225">
        <f ca="1">VLOOKUP($B39,RD[[#All],[Date]:[IS4Inv2]],G$2,0)/G$1</f>
        <v>4.1068874212496578</v>
      </c>
      <c r="H39" s="225">
        <f ca="1">VLOOKUP($B39,RD[[#All],[Date]:[IS4Inv2]],H$2,0)/H$1</f>
        <v>4.2992128146632638</v>
      </c>
      <c r="I39" s="225">
        <f ca="1">VLOOKUP($B39,RD[[#All],[Date]:[IS4Inv2]],I$2,0)/I$1</f>
        <v>4.2758620689655169</v>
      </c>
      <c r="J39" s="225">
        <f ca="1">AVERAGEIFS(Inv_SY_B[[#This Row],[IS1Inv1]:[IS4Inv2]],Inv_SY_B[[#This Row],[IS1Inv1]:[IS4Inv2]],"&lt;&gt;0")</f>
        <v>4.1406355563961554</v>
      </c>
    </row>
    <row r="40" spans="2:10">
      <c r="B40" s="224">
        <f t="shared" ca="1" si="3"/>
        <v>45830</v>
      </c>
      <c r="C40" s="225">
        <f ca="1">VLOOKUP($B40,RD[[#All],[Date]:[IS4Inv2]],C$2,0)/C$1</f>
        <v>3.8531445222197136</v>
      </c>
      <c r="D40" s="225">
        <f ca="1">VLOOKUP($B40,RD[[#All],[Date]:[IS4Inv2]],D$2,0)/D$1</f>
        <v>3.8365460404613425</v>
      </c>
      <c r="E40" s="225">
        <f ca="1">VLOOKUP($B40,RD[[#All],[Date]:[IS4Inv2]],E$2,0)/E$1</f>
        <v>3.7409483712025868</v>
      </c>
      <c r="F40" s="225">
        <f ca="1">VLOOKUP($B40,RD[[#All],[Date]:[IS4Inv2]],F$2,0)/F$1</f>
        <v>3.7609337431901877</v>
      </c>
      <c r="G40" s="225">
        <f ca="1">VLOOKUP($B40,RD[[#All],[Date]:[IS4Inv2]],G$2,0)/G$1</f>
        <v>3.7772164226800986</v>
      </c>
      <c r="H40" s="225">
        <f ca="1">VLOOKUP($B40,RD[[#All],[Date]:[IS4Inv2]],H$2,0)/H$1</f>
        <v>3.938005967151244</v>
      </c>
      <c r="I40" s="225">
        <f ca="1">VLOOKUP($B40,RD[[#All],[Date]:[IS4Inv2]],I$2,0)/I$1</f>
        <v>3.906563479623824</v>
      </c>
      <c r="J40" s="225">
        <f ca="1">AVERAGEIFS(Inv_SY_B[[#This Row],[IS1Inv1]:[IS4Inv2]],Inv_SY_B[[#This Row],[IS1Inv1]:[IS4Inv2]],"&lt;&gt;0")</f>
        <v>3.8304797923612854</v>
      </c>
    </row>
    <row r="41" spans="2:10">
      <c r="B41" s="224">
        <f t="shared" ca="1" si="3"/>
        <v>45831</v>
      </c>
      <c r="C41" s="225">
        <f ca="1">VLOOKUP($B41,RD[[#All],[Date]:[IS4Inv2]],C$2,0)/C$1</f>
        <v>2.6436136468716067</v>
      </c>
      <c r="D41" s="225">
        <f ca="1">VLOOKUP($B41,RD[[#All],[Date]:[IS4Inv2]],D$2,0)/D$1</f>
        <v>2.6629847881221882</v>
      </c>
      <c r="E41" s="225">
        <f ca="1">VLOOKUP($B41,RD[[#All],[Date]:[IS4Inv2]],E$2,0)/E$1</f>
        <v>2.6120403633617828</v>
      </c>
      <c r="F41" s="225">
        <f ca="1">VLOOKUP($B41,RD[[#All],[Date]:[IS4Inv2]],F$2,0)/F$1</f>
        <v>2.642800620872265</v>
      </c>
      <c r="G41" s="225">
        <f ca="1">VLOOKUP($B41,RD[[#All],[Date]:[IS4Inv2]],G$2,0)/G$1</f>
        <v>2.645418023556624</v>
      </c>
      <c r="H41" s="225">
        <f ca="1">VLOOKUP($B41,RD[[#All],[Date]:[IS4Inv2]],H$2,0)/H$1</f>
        <v>2.6858065364041344</v>
      </c>
      <c r="I41" s="225">
        <f ca="1">VLOOKUP($B41,RD[[#All],[Date]:[IS4Inv2]],I$2,0)/I$1</f>
        <v>2.6776253918495296</v>
      </c>
      <c r="J41" s="225">
        <f ca="1">AVERAGEIFS(Inv_SY_B[[#This Row],[IS1Inv1]:[IS4Inv2]],Inv_SY_B[[#This Row],[IS1Inv1]:[IS4Inv2]],"&lt;&gt;0")</f>
        <v>2.6528984815768757</v>
      </c>
    </row>
    <row r="42" spans="2:10">
      <c r="B42" s="224">
        <f t="shared" ca="1" si="3"/>
        <v>45832</v>
      </c>
      <c r="C42" s="225">
        <f ca="1">VLOOKUP($B42,RD[[#All],[Date]:[IS4Inv2]],C$2,0)/C$1</f>
        <v>3.6038837456856232</v>
      </c>
      <c r="D42" s="225">
        <f ca="1">VLOOKUP($B42,RD[[#All],[Date]:[IS4Inv2]],D$2,0)/D$1</f>
        <v>3.614282114113212</v>
      </c>
      <c r="E42" s="225">
        <f ca="1">VLOOKUP($B42,RD[[#All],[Date]:[IS4Inv2]],E$2,0)/E$1</f>
        <v>3.5137633572065989</v>
      </c>
      <c r="F42" s="225">
        <f ca="1">VLOOKUP($B42,RD[[#All],[Date]:[IS4Inv2]],F$2,0)/F$1</f>
        <v>3.5378914690933443</v>
      </c>
      <c r="G42" s="225">
        <f ca="1">VLOOKUP($B42,RD[[#All],[Date]:[IS4Inv2]],G$2,0)/G$1</f>
        <v>3.5535197979121649</v>
      </c>
      <c r="H42" s="225">
        <f ca="1">VLOOKUP($B42,RD[[#All],[Date]:[IS4Inv2]],H$2,0)/H$1</f>
        <v>3.6874523088873676</v>
      </c>
      <c r="I42" s="225">
        <f ca="1">VLOOKUP($B42,RD[[#All],[Date]:[IS4Inv2]],I$2,0)/I$1</f>
        <v>3.6492946708463951</v>
      </c>
      <c r="J42" s="225">
        <f ca="1">AVERAGEIFS(Inv_SY_B[[#This Row],[IS1Inv1]:[IS4Inv2]],Inv_SY_B[[#This Row],[IS1Inv1]:[IS4Inv2]],"&lt;&gt;0")</f>
        <v>3.5942982091063871</v>
      </c>
    </row>
    <row r="43" spans="2:10">
      <c r="B43" s="224">
        <f t="shared" ca="1" si="3"/>
        <v>45833</v>
      </c>
      <c r="C43" s="225">
        <f ca="1">VLOOKUP($B43,RD[[#All],[Date]:[IS4Inv2]],C$2,0)/C$1</f>
        <v>2.7116329580766214</v>
      </c>
      <c r="D43" s="225">
        <f ca="1">VLOOKUP($B43,RD[[#All],[Date]:[IS4Inv2]],D$2,0)/D$1</f>
        <v>2.7319610292816581</v>
      </c>
      <c r="E43" s="225">
        <f ca="1">VLOOKUP($B43,RD[[#All],[Date]:[IS4Inv2]],E$2,0)/E$1</f>
        <v>2.6948416966035897</v>
      </c>
      <c r="F43" s="225">
        <f ca="1">VLOOKUP($B43,RD[[#All],[Date]:[IS4Inv2]],F$2,0)/F$1</f>
        <v>2.7289922999665217</v>
      </c>
      <c r="G43" s="225">
        <f ca="1">VLOOKUP($B43,RD[[#All],[Date]:[IS4Inv2]],G$2,0)/G$1</f>
        <v>2.7308640472349879</v>
      </c>
      <c r="H43" s="225">
        <f ca="1">VLOOKUP($B43,RD[[#All],[Date]:[IS4Inv2]],H$2,0)/H$1</f>
        <v>2.7540698050769827</v>
      </c>
      <c r="I43" s="225">
        <f ca="1">VLOOKUP($B43,RD[[#All],[Date]:[IS4Inv2]],I$2,0)/I$1</f>
        <v>2.7406935736677114</v>
      </c>
      <c r="J43" s="225">
        <f ca="1">AVERAGEIFS(Inv_SY_B[[#This Row],[IS1Inv1]:[IS4Inv2]],Inv_SY_B[[#This Row],[IS1Inv1]:[IS4Inv2]],"&lt;&gt;0")</f>
        <v>2.727579344272582</v>
      </c>
    </row>
    <row r="44" spans="2:10">
      <c r="B44" s="224">
        <f t="shared" ca="1" si="3"/>
        <v>45834</v>
      </c>
      <c r="C44" s="225">
        <f ca="1">VLOOKUP($B44,RD[[#All],[Date]:[IS4Inv2]],C$2,0)/C$1</f>
        <v>0.82900551595109839</v>
      </c>
      <c r="D44" s="225">
        <f ca="1">VLOOKUP($B44,RD[[#All],[Date]:[IS4Inv2]],D$2,0)/D$1</f>
        <v>0.84214928766374075</v>
      </c>
      <c r="E44" s="225">
        <f ca="1">VLOOKUP($B44,RD[[#All],[Date]:[IS4Inv2]],E$2,0)/E$1</f>
        <v>0.82037083647957043</v>
      </c>
      <c r="F44" s="225">
        <f ca="1">VLOOKUP($B44,RD[[#All],[Date]:[IS4Inv2]],F$2,0)/F$1</f>
        <v>0.83677755120674446</v>
      </c>
      <c r="G44" s="225">
        <f ca="1">VLOOKUP($B44,RD[[#All],[Date]:[IS4Inv2]],G$2,0)/G$1</f>
        <v>0.25583589493867365</v>
      </c>
      <c r="H44" s="225">
        <f ca="1">VLOOKUP($B44,RD[[#All],[Date]:[IS4Inv2]],H$2,0)/H$1</f>
        <v>0.4830607052694143</v>
      </c>
      <c r="I44" s="225">
        <f ca="1">VLOOKUP($B44,RD[[#All],[Date]:[IS4Inv2]],I$2,0)/I$1</f>
        <v>0.8538401253918495</v>
      </c>
      <c r="J44" s="225">
        <f ca="1">AVERAGEIFS(Inv_SY_B[[#This Row],[IS1Inv1]:[IS4Inv2]],Inv_SY_B[[#This Row],[IS1Inv1]:[IS4Inv2]],"&lt;&gt;0")</f>
        <v>0.7030057024144416</v>
      </c>
    </row>
    <row r="45" spans="2:10">
      <c r="B45" s="224">
        <f t="shared" ca="1" si="3"/>
        <v>45835</v>
      </c>
      <c r="C45" s="225">
        <f ca="1">VLOOKUP($B45,RD[[#All],[Date]:[IS4Inv2]],C$2,0)/C$1</f>
        <v>3.7699859144328682</v>
      </c>
      <c r="D45" s="225">
        <f ca="1">VLOOKUP($B45,RD[[#All],[Date]:[IS4Inv2]],D$2,0)/D$1</f>
        <v>3.7898326532581943</v>
      </c>
      <c r="E45" s="225">
        <f ca="1">VLOOKUP($B45,RD[[#All],[Date]:[IS4Inv2]],E$2,0)/E$1</f>
        <v>3.667482781502414</v>
      </c>
      <c r="F45" s="225">
        <f ca="1">VLOOKUP($B45,RD[[#All],[Date]:[IS4Inv2]],F$2,0)/F$1</f>
        <v>3.7570685089935179</v>
      </c>
      <c r="G45" s="225">
        <f ca="1">VLOOKUP($B45,RD[[#All],[Date]:[IS4Inv2]],G$2,0)/G$1</f>
        <v>3.6679246431506227</v>
      </c>
      <c r="H45" s="225">
        <f ca="1">VLOOKUP($B45,RD[[#All],[Date]:[IS4Inv2]],H$2,0)/H$1</f>
        <v>3.7970462405181733</v>
      </c>
      <c r="I45" s="225">
        <f ca="1">VLOOKUP($B45,RD[[#All],[Date]:[IS4Inv2]],I$2,0)/I$1</f>
        <v>3.7863636363636362</v>
      </c>
      <c r="J45" s="225">
        <f ca="1">AVERAGEIFS(Inv_SY_B[[#This Row],[IS1Inv1]:[IS4Inv2]],Inv_SY_B[[#This Row],[IS1Inv1]:[IS4Inv2]],"&lt;&gt;0")</f>
        <v>3.7479577683170611</v>
      </c>
    </row>
    <row r="46" spans="2:10">
      <c r="B46" s="224">
        <f t="shared" ca="1" si="3"/>
        <v>45836</v>
      </c>
      <c r="C46" s="225">
        <f ca="1">VLOOKUP($B46,RD[[#All],[Date]:[IS4Inv2]],C$2,0)/C$1</f>
        <v>4.1766394632431219</v>
      </c>
      <c r="D46" s="225">
        <f ca="1">VLOOKUP($B46,RD[[#All],[Date]:[IS4Inv2]],D$2,0)/D$1</f>
        <v>4.1876900144236693</v>
      </c>
      <c r="E46" s="225">
        <f ca="1">VLOOKUP($B46,RD[[#All],[Date]:[IS4Inv2]],E$2,0)/E$1</f>
        <v>4.0688587358610011</v>
      </c>
      <c r="F46" s="225">
        <f ca="1">VLOOKUP($B46,RD[[#All],[Date]:[IS4Inv2]],F$2,0)/F$1</f>
        <v>4.1140396262592445</v>
      </c>
      <c r="G46" s="225">
        <f ca="1">VLOOKUP($B46,RD[[#All],[Date]:[IS4Inv2]],G$2,0)/G$1</f>
        <v>4.1511550050217618</v>
      </c>
      <c r="H46" s="225">
        <f ca="1">VLOOKUP($B46,RD[[#All],[Date]:[IS4Inv2]],H$2,0)/H$1</f>
        <v>4.3132577860338843</v>
      </c>
      <c r="I46" s="225">
        <f ca="1">VLOOKUP($B46,RD[[#All],[Date]:[IS4Inv2]],I$2,0)/I$1</f>
        <v>4.2880094043887151</v>
      </c>
      <c r="J46" s="225">
        <f ca="1">AVERAGEIFS(Inv_SY_B[[#This Row],[IS1Inv1]:[IS4Inv2]],Inv_SY_B[[#This Row],[IS1Inv1]:[IS4Inv2]],"&lt;&gt;0")</f>
        <v>4.1856642907473418</v>
      </c>
    </row>
    <row r="47" spans="2:10">
      <c r="B47" s="224">
        <f t="shared" ca="1" si="3"/>
        <v>45837</v>
      </c>
      <c r="C47" s="225">
        <f ca="1">VLOOKUP($B47,RD[[#All],[Date]:[IS4Inv2]],C$2,0)/C$1</f>
        <v>0.73047106007333107</v>
      </c>
      <c r="D47" s="225">
        <f ca="1">VLOOKUP($B47,RD[[#All],[Date]:[IS4Inv2]],D$2,0)/D$1</f>
        <v>0.73274387530228036</v>
      </c>
      <c r="E47" s="225">
        <f ca="1">VLOOKUP($B47,RD[[#All],[Date]:[IS4Inv2]],E$2,0)/E$1</f>
        <v>0.68285167303541328</v>
      </c>
      <c r="F47" s="225">
        <f ca="1">VLOOKUP($B47,RD[[#All],[Date]:[IS4Inv2]],F$2,0)/F$1</f>
        <v>0.6873725537937122</v>
      </c>
      <c r="G47" s="225">
        <f ca="1">VLOOKUP($B47,RD[[#All],[Date]:[IS4Inv2]],G$2,0)/G$1</f>
        <v>0.69890738655385465</v>
      </c>
      <c r="H47" s="225">
        <f ca="1">VLOOKUP($B47,RD[[#All],[Date]:[IS4Inv2]],H$2,0)/H$1</f>
        <v>0.76733406435186191</v>
      </c>
      <c r="I47" s="225">
        <f ca="1">VLOOKUP($B47,RD[[#All],[Date]:[IS4Inv2]],I$2,0)/I$1</f>
        <v>0.74278996865203761</v>
      </c>
      <c r="J47" s="225">
        <f ca="1">AVERAGEIFS(Inv_SY_B[[#This Row],[IS1Inv1]:[IS4Inv2]],Inv_SY_B[[#This Row],[IS1Inv1]:[IS4Inv2]],"&lt;&gt;0")</f>
        <v>0.72035294025178442</v>
      </c>
    </row>
    <row r="48" spans="2:10">
      <c r="B48" s="224">
        <f t="shared" ca="1" si="3"/>
        <v>45838</v>
      </c>
      <c r="C48" s="225">
        <f ca="1">VLOOKUP($B48,RD[[#All],[Date]:[IS4Inv2]],C$2,0)/C$1</f>
        <v>1.6480113544724364</v>
      </c>
      <c r="D48" s="225">
        <f ca="1">VLOOKUP($B48,RD[[#All],[Date]:[IS4Inv2]],D$2,0)/D$1</f>
        <v>1.655858744550909</v>
      </c>
      <c r="E48" s="225">
        <f ca="1">VLOOKUP($B48,RD[[#All],[Date]:[IS4Inv2]],E$2,0)/E$1</f>
        <v>1.6356619301497228</v>
      </c>
      <c r="F48" s="225">
        <f ca="1">VLOOKUP($B48,RD[[#All],[Date]:[IS4Inv2]],F$2,0)/F$1</f>
        <v>1.6527680555132849</v>
      </c>
      <c r="G48" s="225">
        <f ca="1">VLOOKUP($B48,RD[[#All],[Date]:[IS4Inv2]],G$2,0)/G$1</f>
        <v>1.6513376145113676</v>
      </c>
      <c r="H48" s="225">
        <f ca="1">VLOOKUP($B48,RD[[#All],[Date]:[IS4Inv2]],H$2,0)/H$1</f>
        <v>1.6685465220060771</v>
      </c>
      <c r="I48" s="225">
        <f ca="1">VLOOKUP($B48,RD[[#All],[Date]:[IS4Inv2]],I$2,0)/I$1</f>
        <v>1.6459639498432601</v>
      </c>
      <c r="J48" s="225">
        <f ca="1">AVERAGEIFS(Inv_SY_B[[#This Row],[IS1Inv1]:[IS4Inv2]],Inv_SY_B[[#This Row],[IS1Inv1]:[IS4Inv2]],"&lt;&gt;0")</f>
        <v>1.6511640244352939</v>
      </c>
    </row>
    <row r="49" spans="2:10">
      <c r="B49" s="224">
        <f t="shared" ca="1" si="3"/>
        <v>45839</v>
      </c>
      <c r="C49" s="225">
        <f ca="1">VLOOKUP($B49,RD[[#All],[Date]:[IS4Inv2]],C$2,0)/C$1</f>
        <v>1.3636764405449289</v>
      </c>
      <c r="D49" s="225">
        <f ca="1">VLOOKUP($B49,RD[[#All],[Date]:[IS4Inv2]],D$2,0)/D$1</f>
        <v>1.3783880878717847</v>
      </c>
      <c r="E49" s="225">
        <f ca="1">VLOOKUP($B49,RD[[#All],[Date]:[IS4Inv2]],E$2,0)/E$1</f>
        <v>1.3449877582774639</v>
      </c>
      <c r="F49" s="225">
        <f ca="1">VLOOKUP($B49,RD[[#All],[Date]:[IS4Inv2]],F$2,0)/F$1</f>
        <v>1.3634841890616916</v>
      </c>
      <c r="G49" s="225">
        <f ca="1">VLOOKUP($B49,RD[[#All],[Date]:[IS4Inv2]],G$2,0)/G$1</f>
        <v>1.3898103904799586</v>
      </c>
      <c r="H49" s="225">
        <f ca="1">VLOOKUP($B49,RD[[#All],[Date]:[IS4Inv2]],H$2,0)/H$1</f>
        <v>1.427055401134975</v>
      </c>
      <c r="I49" s="225">
        <f ca="1">VLOOKUP($B49,RD[[#All],[Date]:[IS4Inv2]],I$2,0)/I$1</f>
        <v>1.2983542319749217</v>
      </c>
      <c r="J49" s="225">
        <f ca="1">AVERAGEIFS(Inv_SY_B[[#This Row],[IS1Inv1]:[IS4Inv2]],Inv_SY_B[[#This Row],[IS1Inv1]:[IS4Inv2]],"&lt;&gt;0")</f>
        <v>1.3665366427636749</v>
      </c>
    </row>
    <row r="50" spans="2:10">
      <c r="B50" s="224">
        <f t="shared" ca="1" si="3"/>
        <v>45840</v>
      </c>
      <c r="C50" s="225">
        <f ca="1">VLOOKUP($B50,RD[[#All],[Date]:[IS4Inv2]],C$2,0)/C$1</f>
        <v>2.5895723793856114</v>
      </c>
      <c r="D50" s="225">
        <f ca="1">VLOOKUP($B50,RD[[#All],[Date]:[IS4Inv2]],D$2,0)/D$1</f>
        <v>2.5967753178301223</v>
      </c>
      <c r="E50" s="225">
        <f ca="1">VLOOKUP($B50,RD[[#All],[Date]:[IS4Inv2]],E$2,0)/E$1</f>
        <v>2.4634922087728532</v>
      </c>
      <c r="F50" s="225">
        <f ca="1">VLOOKUP($B50,RD[[#All],[Date]:[IS4Inv2]],F$2,0)/F$1</f>
        <v>2.4875369023343583</v>
      </c>
      <c r="G50" s="225">
        <f ca="1">VLOOKUP($B50,RD[[#All],[Date]:[IS4Inv2]],G$2,0)/G$1</f>
        <v>2.5745198892169099</v>
      </c>
      <c r="H50" s="225">
        <f ca="1">VLOOKUP($B50,RD[[#All],[Date]:[IS4Inv2]],H$2,0)/H$1</f>
        <v>2.6208191199923108</v>
      </c>
      <c r="I50" s="225">
        <f ca="1">VLOOKUP($B50,RD[[#All],[Date]:[IS4Inv2]],I$2,0)/I$1</f>
        <v>2.5834639498432601</v>
      </c>
      <c r="J50" s="225">
        <f ca="1">AVERAGEIFS(Inv_SY_B[[#This Row],[IS1Inv1]:[IS4Inv2]],Inv_SY_B[[#This Row],[IS1Inv1]:[IS4Inv2]],"&lt;&gt;0")</f>
        <v>2.5594542524822037</v>
      </c>
    </row>
    <row r="51" spans="2:10">
      <c r="B51" s="224">
        <f t="shared" ca="1" si="3"/>
        <v>45841</v>
      </c>
      <c r="C51" s="225">
        <f ca="1">VLOOKUP($B51,RD[[#All],[Date]:[IS4Inv2]],C$2,0)/C$1</f>
        <v>3.695278646925368</v>
      </c>
      <c r="D51" s="225">
        <f ca="1">VLOOKUP($B51,RD[[#All],[Date]:[IS4Inv2]],D$2,0)/D$1</f>
        <v>3.6958267872749988</v>
      </c>
      <c r="E51" s="225">
        <f ca="1">VLOOKUP($B51,RD[[#All],[Date]:[IS4Inv2]],E$2,0)/E$1</f>
        <v>3.6202854113752676</v>
      </c>
      <c r="F51" s="225">
        <f ca="1">VLOOKUP($B51,RD[[#All],[Date]:[IS4Inv2]],F$2,0)/F$1</f>
        <v>3.6435310588306904</v>
      </c>
      <c r="G51" s="225">
        <f ca="1">VLOOKUP($B51,RD[[#All],[Date]:[IS4Inv2]],G$2,0)/G$1</f>
        <v>3.650698481297745</v>
      </c>
      <c r="H51" s="225">
        <f ca="1">VLOOKUP($B51,RD[[#All],[Date]:[IS4Inv2]],H$2,0)/H$1</f>
        <v>3.7332946246599099</v>
      </c>
      <c r="I51" s="225">
        <f ca="1">VLOOKUP($B51,RD[[#All],[Date]:[IS4Inv2]],I$2,0)/I$1</f>
        <v>3.6633032915360499</v>
      </c>
      <c r="J51" s="225">
        <f ca="1">AVERAGEIFS(Inv_SY_B[[#This Row],[IS1Inv1]:[IS4Inv2]],Inv_SY_B[[#This Row],[IS1Inv1]:[IS4Inv2]],"&lt;&gt;0")</f>
        <v>3.671745471700004</v>
      </c>
    </row>
    <row r="52" spans="2:10">
      <c r="B52" s="224">
        <f t="shared" ca="1" si="3"/>
        <v>45842</v>
      </c>
      <c r="C52" s="225">
        <f ca="1">VLOOKUP($B52,RD[[#All],[Date]:[IS4Inv2]],C$2,0)/C$1</f>
        <v>2.5457243314731786</v>
      </c>
      <c r="D52" s="225">
        <f ca="1">VLOOKUP($B52,RD[[#All],[Date]:[IS4Inv2]],D$2,0)/D$1</f>
        <v>2.5644105330323486</v>
      </c>
      <c r="E52" s="225">
        <f ca="1">VLOOKUP($B52,RD[[#All],[Date]:[IS4Inv2]],E$2,0)/E$1</f>
        <v>2.5247999755928276</v>
      </c>
      <c r="F52" s="225">
        <f ca="1">VLOOKUP($B52,RD[[#All],[Date]:[IS4Inv2]],F$2,0)/F$1</f>
        <v>2.5550719785738201</v>
      </c>
      <c r="G52" s="225">
        <f ca="1">VLOOKUP($B52,RD[[#All],[Date]:[IS4Inv2]],G$2,0)/G$1</f>
        <v>2.5758438080165571</v>
      </c>
      <c r="H52" s="225">
        <f ca="1">VLOOKUP($B52,RD[[#All],[Date]:[IS4Inv2]],H$2,0)/H$1</f>
        <v>2.573937162484234</v>
      </c>
      <c r="I52" s="225">
        <f ca="1">VLOOKUP($B52,RD[[#All],[Date]:[IS4Inv2]],I$2,0)/I$1</f>
        <v>2.5416144200626958</v>
      </c>
      <c r="J52" s="225">
        <f ca="1">AVERAGEIFS(Inv_SY_B[[#This Row],[IS1Inv1]:[IS4Inv2]],Inv_SY_B[[#This Row],[IS1Inv1]:[IS4Inv2]],"&lt;&gt;0")</f>
        <v>2.5544860298908092</v>
      </c>
    </row>
    <row r="53" spans="2:10">
      <c r="B53" s="224">
        <f t="shared" ca="1" si="3"/>
        <v>45843</v>
      </c>
      <c r="C53" s="225">
        <f ca="1">VLOOKUP($B53,RD[[#All],[Date]:[IS4Inv2]],C$2,0)/C$1</f>
        <v>2.7609647000634387</v>
      </c>
      <c r="D53" s="225">
        <f ca="1">VLOOKUP($B53,RD[[#All],[Date]:[IS4Inv2]],D$2,0)/D$1</f>
        <v>2.7720470351047459</v>
      </c>
      <c r="E53" s="225">
        <f ca="1">VLOOKUP($B53,RD[[#All],[Date]:[IS4Inv2]],E$2,0)/E$1</f>
        <v>2.7379356108276323</v>
      </c>
      <c r="F53" s="225">
        <f ca="1">VLOOKUP($B53,RD[[#All],[Date]:[IS4Inv2]],F$2,0)/F$1</f>
        <v>2.7566272027269689</v>
      </c>
      <c r="G53" s="225">
        <f ca="1">VLOOKUP($B53,RD[[#All],[Date]:[IS4Inv2]],G$2,0)/G$1</f>
        <v>2.7491858660255044</v>
      </c>
      <c r="H53" s="225">
        <f ca="1">VLOOKUP($B53,RD[[#All],[Date]:[IS4Inv2]],H$2,0)/H$1</f>
        <v>2.7734895280615</v>
      </c>
      <c r="I53" s="225">
        <f ca="1">VLOOKUP($B53,RD[[#All],[Date]:[IS4Inv2]],I$2,0)/I$1</f>
        <v>2.7213362068965519</v>
      </c>
      <c r="J53" s="225">
        <f ca="1">AVERAGEIFS(Inv_SY_B[[#This Row],[IS1Inv1]:[IS4Inv2]],Inv_SY_B[[#This Row],[IS1Inv1]:[IS4Inv2]],"&lt;&gt;0")</f>
        <v>2.7530837356723348</v>
      </c>
    </row>
    <row r="54" spans="2:10">
      <c r="B54" s="224">
        <f t="shared" ca="1" si="3"/>
        <v>45844</v>
      </c>
      <c r="C54" s="225">
        <f ca="1">VLOOKUP($B54,RD[[#All],[Date]:[IS4Inv2]],C$2,0)/C$1</f>
        <v>1.9723449781189857</v>
      </c>
      <c r="D54" s="225">
        <f ca="1">VLOOKUP($B54,RD[[#All],[Date]:[IS4Inv2]],D$2,0)/D$1</f>
        <v>1.9817157196553332</v>
      </c>
      <c r="E54" s="225">
        <f ca="1">VLOOKUP($B54,RD[[#All],[Date]:[IS4Inv2]],E$2,0)/E$1</f>
        <v>1.9611620865081725</v>
      </c>
      <c r="F54" s="225">
        <f ca="1">VLOOKUP($B54,RD[[#All],[Date]:[IS4Inv2]],F$2,0)/F$1</f>
        <v>1.8929756216331377</v>
      </c>
      <c r="G54" s="225">
        <f ca="1">VLOOKUP($B54,RD[[#All],[Date]:[IS4Inv2]],G$2,0)/G$1</f>
        <v>1.9064278540341479</v>
      </c>
      <c r="H54" s="225">
        <f ca="1">VLOOKUP($B54,RD[[#All],[Date]:[IS4Inv2]],H$2,0)/H$1</f>
        <v>1.9775162762779259</v>
      </c>
      <c r="I54" s="225">
        <f ca="1">VLOOKUP($B54,RD[[#All],[Date]:[IS4Inv2]],I$2,0)/I$1</f>
        <v>1.9110893416927901</v>
      </c>
      <c r="J54" s="225">
        <f ca="1">AVERAGEIFS(Inv_SY_B[[#This Row],[IS1Inv1]:[IS4Inv2]],Inv_SY_B[[#This Row],[IS1Inv1]:[IS4Inv2]],"&lt;&gt;0")</f>
        <v>1.9433188397029275</v>
      </c>
    </row>
    <row r="55" spans="2:10">
      <c r="B55" s="224">
        <f t="shared" ca="1" si="3"/>
        <v>45845</v>
      </c>
      <c r="C55" s="225">
        <f ca="1">VLOOKUP($B55,RD[[#All],[Date]:[IS4Inv2]],C$2,0)/C$1</f>
        <v>1.4498026945367355</v>
      </c>
      <c r="D55" s="225">
        <f ca="1">VLOOKUP($B55,RD[[#All],[Date]:[IS4Inv2]],D$2,0)/D$1</f>
        <v>1.4640507455804053</v>
      </c>
      <c r="E55" s="225">
        <f ca="1">VLOOKUP($B55,RD[[#All],[Date]:[IS4Inv2]],E$2,0)/E$1</f>
        <v>1.4298179377464553</v>
      </c>
      <c r="F55" s="225">
        <f ca="1">VLOOKUP($B55,RD[[#All],[Date]:[IS4Inv2]],F$2,0)/F$1</f>
        <v>1.4461454180235569</v>
      </c>
      <c r="G55" s="225">
        <f ca="1">VLOOKUP($B55,RD[[#All],[Date]:[IS4Inv2]],G$2,0)/G$1</f>
        <v>1.4509084822107923</v>
      </c>
      <c r="H55" s="225">
        <f ca="1">VLOOKUP($B55,RD[[#All],[Date]:[IS4Inv2]],H$2,0)/H$1</f>
        <v>1.4699357187553332</v>
      </c>
      <c r="I55" s="225">
        <f ca="1">VLOOKUP($B55,RD[[#All],[Date]:[IS4Inv2]],I$2,0)/I$1</f>
        <v>1.4512735109717869</v>
      </c>
      <c r="J55" s="225">
        <f ca="1">AVERAGEIFS(Inv_SY_B[[#This Row],[IS1Inv1]:[IS4Inv2]],Inv_SY_B[[#This Row],[IS1Inv1]:[IS4Inv2]],"&lt;&gt;0")</f>
        <v>1.451704929689295</v>
      </c>
    </row>
    <row r="56" spans="2:10">
      <c r="B56" s="224">
        <f t="shared" ca="1" si="3"/>
        <v>45846</v>
      </c>
      <c r="C56" s="225">
        <f ca="1">VLOOKUP($B56,RD[[#All],[Date]:[IS4Inv2]],C$2,0)/C$1</f>
        <v>1.6758814231798975</v>
      </c>
      <c r="D56" s="225">
        <f ca="1">VLOOKUP($B56,RD[[#All],[Date]:[IS4Inv2]],D$2,0)/D$1</f>
        <v>1.6941216842985751</v>
      </c>
      <c r="E56" s="225">
        <f ca="1">VLOOKUP($B56,RD[[#All],[Date]:[IS4Inv2]],E$2,0)/E$1</f>
        <v>1.6740574636371266</v>
      </c>
      <c r="F56" s="225">
        <f ca="1">VLOOKUP($B56,RD[[#All],[Date]:[IS4Inv2]],F$2,0)/F$1</f>
        <v>1.695833460145479</v>
      </c>
      <c r="G56" s="225">
        <f ca="1">VLOOKUP($B56,RD[[#All],[Date]:[IS4Inv2]],G$2,0)/G$1</f>
        <v>1.7040356697203032</v>
      </c>
      <c r="H56" s="225">
        <f ca="1">VLOOKUP($B56,RD[[#All],[Date]:[IS4Inv2]],H$2,0)/H$1</f>
        <v>1.7107795155269512</v>
      </c>
      <c r="I56" s="225">
        <f ca="1">VLOOKUP($B56,RD[[#All],[Date]:[IS4Inv2]],I$2,0)/I$1</f>
        <v>1.6894004702194358</v>
      </c>
      <c r="J56" s="225">
        <f ca="1">AVERAGEIFS(Inv_SY_B[[#This Row],[IS1Inv1]:[IS4Inv2]],Inv_SY_B[[#This Row],[IS1Inv1]:[IS4Inv2]],"&lt;&gt;0")</f>
        <v>1.6920156695325386</v>
      </c>
    </row>
    <row r="57" spans="2:10">
      <c r="B57" s="224">
        <f t="shared" ca="1" si="3"/>
        <v>45847</v>
      </c>
      <c r="C57" s="225">
        <f ca="1">VLOOKUP($B57,RD[[#All],[Date]:[IS4Inv2]],C$2,0)/C$1</f>
        <v>1.4287066008623379</v>
      </c>
      <c r="D57" s="225">
        <f ca="1">VLOOKUP($B57,RD[[#All],[Date]:[IS4Inv2]],D$2,0)/D$1</f>
        <v>1.4405010214531981</v>
      </c>
      <c r="E57" s="225">
        <f ca="1">VLOOKUP($B57,RD[[#All],[Date]:[IS4Inv2]],E$2,0)/E$1</f>
        <v>1.4174312976225889</v>
      </c>
      <c r="F57" s="225">
        <f ca="1">VLOOKUP($B57,RD[[#All],[Date]:[IS4Inv2]],F$2,0)/F$1</f>
        <v>1.4321149222387923</v>
      </c>
      <c r="G57" s="225">
        <f ca="1">VLOOKUP($B57,RD[[#All],[Date]:[IS4Inv2]],G$2,0)/G$1</f>
        <v>1.4327692729098822</v>
      </c>
      <c r="H57" s="225">
        <f ca="1">VLOOKUP($B57,RD[[#All],[Date]:[IS4Inv2]],H$2,0)/H$1</f>
        <v>1.4463770447104793</v>
      </c>
      <c r="I57" s="225">
        <f ca="1">VLOOKUP($B57,RD[[#All],[Date]:[IS4Inv2]],I$2,0)/I$1</f>
        <v>1.4381465517241379</v>
      </c>
      <c r="J57" s="225">
        <f ca="1">AVERAGEIFS(Inv_SY_B[[#This Row],[IS1Inv1]:[IS4Inv2]],Inv_SY_B[[#This Row],[IS1Inv1]:[IS4Inv2]],"&lt;&gt;0")</f>
        <v>1.4337209587887738</v>
      </c>
    </row>
    <row r="58" spans="2:10">
      <c r="B58" s="224">
        <f t="shared" ca="1" si="3"/>
        <v>45848</v>
      </c>
      <c r="C58" s="225">
        <f ca="1">VLOOKUP($B58,RD[[#All],[Date]:[IS4Inv2]],C$2,0)/C$1</f>
        <v>1.4810059890541165</v>
      </c>
      <c r="D58" s="225">
        <f ca="1">VLOOKUP($B58,RD[[#All],[Date]:[IS4Inv2]],D$2,0)/D$1</f>
        <v>1.4919758282886235</v>
      </c>
      <c r="E58" s="225">
        <f ca="1">VLOOKUP($B58,RD[[#All],[Date]:[IS4Inv2]],E$2,0)/E$1</f>
        <v>1.4777932865020709</v>
      </c>
      <c r="F58" s="225">
        <f ca="1">VLOOKUP($B58,RD[[#All],[Date]:[IS4Inv2]],F$2,0)/F$1</f>
        <v>1.4907934382323402</v>
      </c>
      <c r="G58" s="225">
        <f ca="1">VLOOKUP($B58,RD[[#All],[Date]:[IS4Inv2]],G$2,0)/G$1</f>
        <v>1.491965182457315</v>
      </c>
      <c r="H58" s="225">
        <f ca="1">VLOOKUP($B58,RD[[#All],[Date]:[IS4Inv2]],H$2,0)/H$1</f>
        <v>1.5149345516103658</v>
      </c>
      <c r="I58" s="225">
        <f ca="1">VLOOKUP($B58,RD[[#All],[Date]:[IS4Inv2]],I$2,0)/I$1</f>
        <v>1.5024882445141066</v>
      </c>
      <c r="J58" s="225">
        <f ca="1">AVERAGEIFS(Inv_SY_B[[#This Row],[IS1Inv1]:[IS4Inv2]],Inv_SY_B[[#This Row],[IS1Inv1]:[IS4Inv2]],"&lt;&gt;0")</f>
        <v>1.4929937886655629</v>
      </c>
    </row>
    <row r="59" spans="2:10">
      <c r="B59" s="224">
        <f t="shared" ca="1" si="3"/>
        <v>45849</v>
      </c>
      <c r="C59" s="225">
        <f ca="1">VLOOKUP($B59,RD[[#All],[Date]:[IS4Inv2]],C$2,0)/C$1</f>
        <v>4.9247873724503517</v>
      </c>
      <c r="D59" s="225">
        <f ca="1">VLOOKUP($B59,RD[[#All],[Date]:[IS4Inv2]],D$2,0)/D$1</f>
        <v>4.9482302854170799</v>
      </c>
      <c r="E59" s="225">
        <f ca="1">VLOOKUP($B59,RD[[#All],[Date]:[IS4Inv2]],E$2,0)/E$1</f>
        <v>4.8340846166167077</v>
      </c>
      <c r="F59" s="225">
        <f ca="1">VLOOKUP($B59,RD[[#All],[Date]:[IS4Inv2]],F$2,0)/F$1</f>
        <v>4.8660863742885843</v>
      </c>
      <c r="G59" s="225">
        <f ca="1">VLOOKUP($B59,RD[[#All],[Date]:[IS4Inv2]],G$2,0)/G$1</f>
        <v>4.9325105761329402</v>
      </c>
      <c r="H59" s="225">
        <f ca="1">VLOOKUP($B59,RD[[#All],[Date]:[IS4Inv2]],H$2,0)/H$1</f>
        <v>5.0543065687703397</v>
      </c>
      <c r="I59" s="225">
        <f ca="1">VLOOKUP($B59,RD[[#All],[Date]:[IS4Inv2]],I$2,0)/I$1</f>
        <v>5.0226684952978058</v>
      </c>
      <c r="J59" s="225">
        <f ca="1">AVERAGEIFS(Inv_SY_B[[#This Row],[IS1Inv1]:[IS4Inv2]],Inv_SY_B[[#This Row],[IS1Inv1]:[IS4Inv2]],"&lt;&gt;0")</f>
        <v>4.940382041281973</v>
      </c>
    </row>
    <row r="60" spans="2:10">
      <c r="B60" s="224">
        <f t="shared" ca="1" si="3"/>
        <v>45850</v>
      </c>
      <c r="C60" s="225">
        <f ca="1">VLOOKUP($B60,RD[[#All],[Date]:[IS4Inv2]],C$2,0)/C$1</f>
        <v>4.9401202111759837</v>
      </c>
      <c r="D60" s="225">
        <f ca="1">VLOOKUP($B60,RD[[#All],[Date]:[IS4Inv2]],D$2,0)/D$1</f>
        <v>4.9502249341819518</v>
      </c>
      <c r="E60" s="225">
        <f ca="1">VLOOKUP($B60,RD[[#All],[Date]:[IS4Inv2]],E$2,0)/E$1</f>
        <v>4.8161758536789998</v>
      </c>
      <c r="F60" s="225">
        <f ca="1">VLOOKUP($B60,RD[[#All],[Date]:[IS4Inv2]],F$2,0)/F$1</f>
        <v>4.8407645250631521</v>
      </c>
      <c r="G60" s="225">
        <f ca="1">VLOOKUP($B60,RD[[#All],[Date]:[IS4Inv2]],G$2,0)/G$1</f>
        <v>4.9339866695072594</v>
      </c>
      <c r="H60" s="225">
        <f ca="1">VLOOKUP($B60,RD[[#All],[Date]:[IS4Inv2]],H$2,0)/H$1</f>
        <v>4.8035371358066348</v>
      </c>
      <c r="I60" s="225">
        <f ca="1">VLOOKUP($B60,RD[[#All],[Date]:[IS4Inv2]],I$2,0)/I$1</f>
        <v>4.749177115987461</v>
      </c>
      <c r="J60" s="225">
        <f ca="1">AVERAGEIFS(Inv_SY_B[[#This Row],[IS1Inv1]:[IS4Inv2]],Inv_SY_B[[#This Row],[IS1Inv1]:[IS4Inv2]],"&lt;&gt;0")</f>
        <v>4.8619980636287776</v>
      </c>
    </row>
    <row r="61" spans="2:10">
      <c r="B61" s="224">
        <f t="shared" ca="1" si="3"/>
        <v>45851</v>
      </c>
      <c r="C61" s="225">
        <f ca="1">VLOOKUP($B61,RD[[#All],[Date]:[IS4Inv2]],C$2,0)/C$1</f>
        <v>3.8579400664494696</v>
      </c>
      <c r="D61" s="225">
        <f ca="1">VLOOKUP($B61,RD[[#All],[Date]:[IS4Inv2]],D$2,0)/D$1</f>
        <v>3.8822728272001457</v>
      </c>
      <c r="E61" s="225">
        <f ca="1">VLOOKUP($B61,RD[[#All],[Date]:[IS4Inv2]],E$2,0)/E$1</f>
        <v>3.8255192244620888</v>
      </c>
      <c r="F61" s="225">
        <f ca="1">VLOOKUP($B61,RD[[#All],[Date]:[IS4Inv2]],F$2,0)/F$1</f>
        <v>3.8471254222844449</v>
      </c>
      <c r="G61" s="225">
        <f ca="1">VLOOKUP($B61,RD[[#All],[Date]:[IS4Inv2]],G$2,0)/G$1</f>
        <v>3.8560276349027607</v>
      </c>
      <c r="H61" s="225">
        <f ca="1">VLOOKUP($B61,RD[[#All],[Date]:[IS4Inv2]],H$2,0)/H$1</f>
        <v>3.9040901075146484</v>
      </c>
      <c r="I61" s="225">
        <f ca="1">VLOOKUP($B61,RD[[#All],[Date]:[IS4Inv2]],I$2,0)/I$1</f>
        <v>3.8705916927899686</v>
      </c>
      <c r="J61" s="225">
        <f ca="1">AVERAGEIFS(Inv_SY_B[[#This Row],[IS1Inv1]:[IS4Inv2]],Inv_SY_B[[#This Row],[IS1Inv1]:[IS4Inv2]],"&lt;&gt;0")</f>
        <v>3.8633667108005043</v>
      </c>
    </row>
    <row r="62" spans="2:10">
      <c r="B62" s="224">
        <f t="shared" ca="1" si="3"/>
        <v>45852</v>
      </c>
      <c r="C62" s="225">
        <f ca="1">VLOOKUP($B62,RD[[#All],[Date]:[IS4Inv2]],C$2,0)/C$1</f>
        <v>4.364074277173855</v>
      </c>
      <c r="D62" s="225">
        <f ca="1">VLOOKUP($B62,RD[[#All],[Date]:[IS4Inv2]],D$2,0)/D$1</f>
        <v>4.4059646432420552</v>
      </c>
      <c r="E62" s="225">
        <f ca="1">VLOOKUP($B62,RD[[#All],[Date]:[IS4Inv2]],E$2,0)/E$1</f>
        <v>4.2459175190108995</v>
      </c>
      <c r="F62" s="225">
        <f ca="1">VLOOKUP($B62,RD[[#All],[Date]:[IS4Inv2]],F$2,0)/F$1</f>
        <v>4.2916425723590104</v>
      </c>
      <c r="G62" s="225">
        <f ca="1">VLOOKUP($B62,RD[[#All],[Date]:[IS4Inv2]],G$2,0)/G$1</f>
        <v>4.359801564354628</v>
      </c>
      <c r="H62" s="225">
        <f ca="1">VLOOKUP($B62,RD[[#All],[Date]:[IS4Inv2]],H$2,0)/H$1</f>
        <v>4.4919192374914427</v>
      </c>
      <c r="I62" s="225">
        <f ca="1">VLOOKUP($B62,RD[[#All],[Date]:[IS4Inv2]],I$2,0)/I$1</f>
        <v>4.4735305642633234</v>
      </c>
      <c r="J62" s="225">
        <f ca="1">AVERAGEIFS(Inv_SY_B[[#This Row],[IS1Inv1]:[IS4Inv2]],Inv_SY_B[[#This Row],[IS1Inv1]:[IS4Inv2]],"&lt;&gt;0")</f>
        <v>4.3761214825564592</v>
      </c>
    </row>
    <row r="63" spans="2:10">
      <c r="B63" s="224">
        <f t="shared" ca="1" si="3"/>
        <v>45853</v>
      </c>
      <c r="C63" s="225">
        <f ca="1">VLOOKUP($B63,RD[[#All],[Date]:[IS4Inv2]],C$2,0)/C$1</f>
        <v>3.7059234648344677</v>
      </c>
      <c r="D63" s="225">
        <f ca="1">VLOOKUP($B63,RD[[#All],[Date]:[IS4Inv2]],D$2,0)/D$1</f>
        <v>3.6769097957629797</v>
      </c>
      <c r="E63" s="225">
        <f ca="1">VLOOKUP($B63,RD[[#All],[Date]:[IS4Inv2]],E$2,0)/E$1</f>
        <v>3.6070750291741986</v>
      </c>
      <c r="F63" s="225">
        <f ca="1">VLOOKUP($B63,RD[[#All],[Date]:[IS4Inv2]],F$2,0)/F$1</f>
        <v>3.6308853516754422</v>
      </c>
      <c r="G63" s="225">
        <f ca="1">VLOOKUP($B63,RD[[#All],[Date]:[IS4Inv2]],G$2,0)/G$1</f>
        <v>3.65873329884043</v>
      </c>
      <c r="H63" s="225">
        <f ca="1">VLOOKUP($B63,RD[[#All],[Date]:[IS4Inv2]],H$2,0)/H$1</f>
        <v>3.7899845230692577</v>
      </c>
      <c r="I63" s="225">
        <f ca="1">VLOOKUP($B63,RD[[#All],[Date]:[IS4Inv2]],I$2,0)/I$1</f>
        <v>3.7466692789968654</v>
      </c>
      <c r="J63" s="225">
        <f ca="1">AVERAGEIFS(Inv_SY_B[[#This Row],[IS1Inv1]:[IS4Inv2]],Inv_SY_B[[#This Row],[IS1Inv1]:[IS4Inv2]],"&lt;&gt;0")</f>
        <v>3.6880258203362346</v>
      </c>
    </row>
    <row r="64" spans="2:10">
      <c r="B64" s="224">
        <f t="shared" ca="1" si="3"/>
        <v>45854</v>
      </c>
      <c r="C64" s="225">
        <f ca="1">VLOOKUP($B64,RD[[#All],[Date]:[IS4Inv2]],C$2,0)/C$1</f>
        <v>0</v>
      </c>
      <c r="D64" s="225">
        <f ca="1">VLOOKUP($B64,RD[[#All],[Date]:[IS4Inv2]],D$2,0)/D$1</f>
        <v>0</v>
      </c>
      <c r="E64" s="225">
        <f ca="1">VLOOKUP($B64,RD[[#All],[Date]:[IS4Inv2]],E$2,0)/E$1</f>
        <v>0</v>
      </c>
      <c r="F64" s="225">
        <f ca="1">VLOOKUP($B64,RD[[#All],[Date]:[IS4Inv2]],F$2,0)/F$1</f>
        <v>0</v>
      </c>
      <c r="G64" s="225">
        <f ca="1">VLOOKUP($B64,RD[[#All],[Date]:[IS4Inv2]],G$2,0)/G$1</f>
        <v>0</v>
      </c>
      <c r="H64" s="225">
        <f ca="1">VLOOKUP($B64,RD[[#All],[Date]:[IS4Inv2]],H$2,0)/H$1</f>
        <v>0</v>
      </c>
      <c r="I64" s="225">
        <f ca="1">VLOOKUP($B64,RD[[#All],[Date]:[IS4Inv2]],I$2,0)/I$1</f>
        <v>0</v>
      </c>
      <c r="J64" s="225" t="e">
        <f ca="1">AVERAGEIFS(Inv_SY_B[[#This Row],[IS1Inv1]:[IS4Inv2]],Inv_SY_B[[#This Row],[IS1Inv1]:[IS4Inv2]],"&lt;&gt;0")</f>
        <v>#DIV/0!</v>
      </c>
    </row>
  </sheetData>
  <phoneticPr fontId="6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topRight" activeCell="L73" sqref="L73"/>
      <selection pane="bottomLeft" activeCell="L73" sqref="L73"/>
      <selection pane="bottomRight" activeCell="H69" sqref="H69"/>
    </sheetView>
  </sheetViews>
  <sheetFormatPr defaultColWidth="8.81640625" defaultRowHeight="14.5"/>
  <cols>
    <col min="1" max="1" width="1.1796875" customWidth="1"/>
    <col min="2" max="2" width="12.453125" bestFit="1" customWidth="1"/>
    <col min="3" max="3" width="13.81640625" bestFit="1" customWidth="1"/>
    <col min="4" max="5" width="12.453125" bestFit="1" customWidth="1"/>
    <col min="6" max="6" width="14.453125" bestFit="1" customWidth="1"/>
    <col min="7" max="9" width="12.453125" bestFit="1" customWidth="1"/>
  </cols>
  <sheetData>
    <row r="1" spans="2:9" hidden="1"/>
    <row r="2" spans="2:9">
      <c r="B2" s="223" t="s">
        <v>110</v>
      </c>
      <c r="C2" s="198" t="s">
        <v>160</v>
      </c>
      <c r="D2" s="198" t="s">
        <v>161</v>
      </c>
      <c r="E2" s="198" t="s">
        <v>162</v>
      </c>
      <c r="F2" s="198" t="s">
        <v>163</v>
      </c>
      <c r="G2" s="198" t="s">
        <v>164</v>
      </c>
      <c r="H2" s="198" t="s">
        <v>165</v>
      </c>
      <c r="I2" s="198" t="s">
        <v>166</v>
      </c>
    </row>
    <row r="3" spans="2:9">
      <c r="B3" s="224">
        <f t="shared" ref="B3" ca="1" si="0">TODAY()-60</f>
        <v>45794</v>
      </c>
      <c r="C3" s="226">
        <f ca="1">IFERROR((Inv_SY_B!C4/Inv_SY_B!$J4)-1,"")</f>
        <v>1.0810394282455782E-2</v>
      </c>
      <c r="D3" s="226">
        <f ca="1">IFERROR((Inv_SY_B!D4/Inv_SY_B!$J4)-1,"")</f>
        <v>6.5324204657857265E-3</v>
      </c>
      <c r="E3" s="226">
        <f ca="1">IFERROR((Inv_SY_B!E4/Inv_SY_B!$J4)-1,"")</f>
        <v>-2.3914837581900272E-2</v>
      </c>
      <c r="F3" s="226">
        <f ca="1">IFERROR((Inv_SY_B!F4/Inv_SY_B!$J4)-1,"")</f>
        <v>-1.6484802997638659E-2</v>
      </c>
      <c r="G3" s="226">
        <f ca="1">IFERROR((Inv_SY_B!G4/Inv_SY_B!$J4)-1,"")</f>
        <v>-1.2510578719794552E-2</v>
      </c>
      <c r="H3" s="226">
        <f ca="1">IFERROR((Inv_SY_B!H4/Inv_SY_B!$J4)-1,"")</f>
        <v>2.4758851139827343E-2</v>
      </c>
      <c r="I3" s="226">
        <f ca="1">IFERROR((Inv_SY_B!I4/Inv_SY_B!$J4)-1,"")</f>
        <v>1.0808553411264521E-2</v>
      </c>
    </row>
    <row r="4" spans="2:9">
      <c r="B4" s="224">
        <f ca="1">B3+1</f>
        <v>45795</v>
      </c>
      <c r="C4" s="226">
        <f ca="1">IFERROR((Inv_SY_B!C5/Inv_SY_B!$J5)-1,"")</f>
        <v>1.3355137521275928E-3</v>
      </c>
      <c r="D4" s="226">
        <f ca="1">IFERROR((Inv_SY_B!D5/Inv_SY_B!$J5)-1,"")</f>
        <v>1.1002103061128699E-2</v>
      </c>
      <c r="E4" s="226">
        <f ca="1">IFERROR((Inv_SY_B!E5/Inv_SY_B!$J5)-1,"")</f>
        <v>-1.8151254597272515E-2</v>
      </c>
      <c r="F4" s="226">
        <f ca="1">IFERROR((Inv_SY_B!F5/Inv_SY_B!$J5)-1,"")</f>
        <v>3.1741995565541803E-3</v>
      </c>
      <c r="G4" s="226">
        <f ca="1">IFERROR((Inv_SY_B!G5/Inv_SY_B!$J5)-1,"")</f>
        <v>1.9433714743789743E-2</v>
      </c>
      <c r="H4" s="226">
        <f ca="1">IFERROR((Inv_SY_B!H5/Inv_SY_B!$J5)-1,"")</f>
        <v>-3.7609881483784635E-2</v>
      </c>
      <c r="I4" s="226">
        <f ca="1">IFERROR((Inv_SY_B!I5/Inv_SY_B!$J5)-1,"")</f>
        <v>2.0815604967456158E-2</v>
      </c>
    </row>
    <row r="5" spans="2:9">
      <c r="B5" s="224">
        <f t="shared" ref="B5:B63" ca="1" si="1">B4+1</f>
        <v>45796</v>
      </c>
      <c r="C5" s="226">
        <f ca="1">IFERROR((Inv_SY_B!C6/Inv_SY_B!$J6)-1,"")</f>
        <v>-1.8079953911794844E-3</v>
      </c>
      <c r="D5" s="226">
        <f ca="1">IFERROR((Inv_SY_B!D6/Inv_SY_B!$J6)-1,"")</f>
        <v>7.3915396988144533E-3</v>
      </c>
      <c r="E5" s="226">
        <f ca="1">IFERROR((Inv_SY_B!E6/Inv_SY_B!$J6)-1,"")</f>
        <v>-3.0271902524240391E-2</v>
      </c>
      <c r="F5" s="226">
        <f ca="1">IFERROR((Inv_SY_B!F6/Inv_SY_B!$J6)-1,"")</f>
        <v>-8.4754487938997203E-3</v>
      </c>
      <c r="G5" s="226">
        <f ca="1">IFERROR((Inv_SY_B!G6/Inv_SY_B!$J6)-1,"")</f>
        <v>1.7153776610032478E-2</v>
      </c>
      <c r="H5" s="226">
        <f ca="1">IFERROR((Inv_SY_B!H6/Inv_SY_B!$J6)-1,"")</f>
        <v>-1.0174114666264611E-2</v>
      </c>
      <c r="I5" s="226">
        <f ca="1">IFERROR((Inv_SY_B!I6/Inv_SY_B!$J6)-1,"")</f>
        <v>2.6184145066737941E-2</v>
      </c>
    </row>
    <row r="6" spans="2:9">
      <c r="B6" s="224">
        <f t="shared" ca="1" si="1"/>
        <v>45797</v>
      </c>
      <c r="C6" s="226">
        <f ca="1">IFERROR((Inv_SY_B!C7/Inv_SY_B!$J7)-1,"")</f>
        <v>-4.8792770405682306E-3</v>
      </c>
      <c r="D6" s="226">
        <f ca="1">IFERROR((Inv_SY_B!D7/Inv_SY_B!$J7)-1,"")</f>
        <v>2.3485905670228568E-4</v>
      </c>
      <c r="E6" s="226">
        <f ca="1">IFERROR((Inv_SY_B!E7/Inv_SY_B!$J7)-1,"")</f>
        <v>-1.9391455093598409E-2</v>
      </c>
      <c r="F6" s="226">
        <f ca="1">IFERROR((Inv_SY_B!F7/Inv_SY_B!$J7)-1,"")</f>
        <v>-9.6515338993019562E-5</v>
      </c>
      <c r="G6" s="226">
        <f ca="1">IFERROR((Inv_SY_B!G7/Inv_SY_B!$J7)-1,"")</f>
        <v>6.8601045476148759E-3</v>
      </c>
      <c r="H6" s="226">
        <f ca="1">IFERROR((Inv_SY_B!H7/Inv_SY_B!$J7)-1,"")</f>
        <v>9.5513066778043498E-3</v>
      </c>
      <c r="I6" s="226">
        <f ca="1">IFERROR((Inv_SY_B!I7/Inv_SY_B!$J7)-1,"")</f>
        <v>7.7209771910382585E-3</v>
      </c>
    </row>
    <row r="7" spans="2:9">
      <c r="B7" s="224">
        <f t="shared" ca="1" si="1"/>
        <v>45798</v>
      </c>
      <c r="C7" s="226">
        <f ca="1">IFERROR((Inv_SY_B!C8/Inv_SY_B!$J8)-1,"")</f>
        <v>-1.0266287026973742E-2</v>
      </c>
      <c r="D7" s="226">
        <f ca="1">IFERROR((Inv_SY_B!D8/Inv_SY_B!$J8)-1,"")</f>
        <v>1.4757569557217742E-3</v>
      </c>
      <c r="E7" s="226">
        <f ca="1">IFERROR((Inv_SY_B!E8/Inv_SY_B!$J8)-1,"")</f>
        <v>-9.5591143415643121E-3</v>
      </c>
      <c r="F7" s="226">
        <f ca="1">IFERROR((Inv_SY_B!F8/Inv_SY_B!$J8)-1,"")</f>
        <v>5.6482175106382648E-3</v>
      </c>
      <c r="G7" s="226">
        <f ca="1">IFERROR((Inv_SY_B!G8/Inv_SY_B!$J8)-1,"")</f>
        <v>8.9893711640585128E-3</v>
      </c>
      <c r="H7" s="226">
        <f ca="1">IFERROR((Inv_SY_B!H8/Inv_SY_B!$J8)-1,"")</f>
        <v>4.8601682575699634E-3</v>
      </c>
      <c r="I7" s="226">
        <f ca="1">IFERROR((Inv_SY_B!I8/Inv_SY_B!$J8)-1,"")</f>
        <v>-1.1481125194506836E-3</v>
      </c>
    </row>
    <row r="8" spans="2:9">
      <c r="B8" s="224">
        <f t="shared" ca="1" si="1"/>
        <v>45799</v>
      </c>
      <c r="C8" s="226">
        <f ca="1">IFERROR((Inv_SY_B!C9/Inv_SY_B!$J9)-1,"")</f>
        <v>-0.11603881059739085</v>
      </c>
      <c r="D8" s="226">
        <f ca="1">IFERROR((Inv_SY_B!D9/Inv_SY_B!$J9)-1,"")</f>
        <v>-8.6165920755262304E-3</v>
      </c>
      <c r="E8" s="226">
        <f ca="1">IFERROR((Inv_SY_B!E9/Inv_SY_B!$J9)-1,"")</f>
        <v>-8.4403876169870662E-3</v>
      </c>
      <c r="F8" s="226">
        <f ca="1">IFERROR((Inv_SY_B!F9/Inv_SY_B!$J9)-1,"")</f>
        <v>1.8076606164878717E-2</v>
      </c>
      <c r="G8" s="226">
        <f ca="1">IFERROR((Inv_SY_B!G9/Inv_SY_B!$J9)-1,"")</f>
        <v>4.1138789460215097E-2</v>
      </c>
      <c r="H8" s="226">
        <f ca="1">IFERROR((Inv_SY_B!H9/Inv_SY_B!$J9)-1,"")</f>
        <v>3.7666115323516047E-2</v>
      </c>
      <c r="I8" s="226">
        <f ca="1">IFERROR((Inv_SY_B!I9/Inv_SY_B!$J9)-1,"")</f>
        <v>3.6214279341294953E-2</v>
      </c>
    </row>
    <row r="9" spans="2:9">
      <c r="B9" s="224">
        <f t="shared" ca="1" si="1"/>
        <v>45800</v>
      </c>
      <c r="C9" s="226">
        <f ca="1">IFERROR((Inv_SY_B!C10/Inv_SY_B!$J10)-1,"")</f>
        <v>-1.9299133947121239E-2</v>
      </c>
      <c r="D9" s="226">
        <f ca="1">IFERROR((Inv_SY_B!D10/Inv_SY_B!$J10)-1,"")</f>
        <v>-3.1110218244365662E-3</v>
      </c>
      <c r="E9" s="226">
        <f ca="1">IFERROR((Inv_SY_B!E10/Inv_SY_B!$J10)-1,"")</f>
        <v>-1.8748000798199049E-2</v>
      </c>
      <c r="F9" s="226">
        <f ca="1">IFERROR((Inv_SY_B!F10/Inv_SY_B!$J10)-1,"")</f>
        <v>3.9953087014052979E-3</v>
      </c>
      <c r="G9" s="226">
        <f ca="1">IFERROR((Inv_SY_B!G10/Inv_SY_B!$J10)-1,"")</f>
        <v>1.9282311697599752E-2</v>
      </c>
      <c r="H9" s="226">
        <f ca="1">IFERROR((Inv_SY_B!H10/Inv_SY_B!$J10)-1,"")</f>
        <v>9.1951558878535788E-3</v>
      </c>
      <c r="I9" s="226">
        <f ca="1">IFERROR((Inv_SY_B!I10/Inv_SY_B!$J10)-1,"")</f>
        <v>8.6853802828981141E-3</v>
      </c>
    </row>
    <row r="10" spans="2:9">
      <c r="B10" s="224">
        <f t="shared" ca="1" si="1"/>
        <v>45801</v>
      </c>
      <c r="C10" s="226">
        <f ca="1">IFERROR((Inv_SY_B!C11/Inv_SY_B!$J11)-1,"")</f>
        <v>-8.2901585929624377E-2</v>
      </c>
      <c r="D10" s="226">
        <f ca="1">IFERROR((Inv_SY_B!D11/Inv_SY_B!$J11)-1,"")</f>
        <v>-1.2057505227909826E-2</v>
      </c>
      <c r="E10" s="226">
        <f ca="1">IFERROR((Inv_SY_B!E11/Inv_SY_B!$J11)-1,"")</f>
        <v>-1.8072480690975889E-2</v>
      </c>
      <c r="F10" s="226">
        <f ca="1">IFERROR((Inv_SY_B!F11/Inv_SY_B!$J11)-1,"")</f>
        <v>-1.4137777668972173E-3</v>
      </c>
      <c r="G10" s="226">
        <f ca="1">IFERROR((Inv_SY_B!G11/Inv_SY_B!$J11)-1,"")</f>
        <v>1.181305240699082E-2</v>
      </c>
      <c r="H10" s="226">
        <f ca="1">IFERROR((Inv_SY_B!H11/Inv_SY_B!$J11)-1,"")</f>
        <v>5.0802013387658773E-2</v>
      </c>
      <c r="I10" s="226">
        <f ca="1">IFERROR((Inv_SY_B!I11/Inv_SY_B!$J11)-1,"")</f>
        <v>5.1830283820758938E-2</v>
      </c>
    </row>
    <row r="11" spans="2:9">
      <c r="B11" s="224">
        <f t="shared" ca="1" si="1"/>
        <v>45802</v>
      </c>
      <c r="C11" s="226">
        <f ca="1">IFERROR((Inv_SY_B!C12/Inv_SY_B!$J12)-1,"")</f>
        <v>3.3767350133621754E-2</v>
      </c>
      <c r="D11" s="226">
        <f ca="1">IFERROR((Inv_SY_B!D12/Inv_SY_B!$J12)-1,"")</f>
        <v>2.8191968294654313E-2</v>
      </c>
      <c r="E11" s="226">
        <f ca="1">IFERROR((Inv_SY_B!E12/Inv_SY_B!$J12)-1,"")</f>
        <v>4.8599889472675795E-3</v>
      </c>
      <c r="F11" s="226">
        <f ca="1">IFERROR((Inv_SY_B!F12/Inv_SY_B!$J12)-1,"")</f>
        <v>5.768772379489473E-3</v>
      </c>
      <c r="G11" s="226">
        <f ca="1">IFERROR((Inv_SY_B!G12/Inv_SY_B!$J12)-1,"")</f>
        <v>2.224891850590871E-2</v>
      </c>
      <c r="H11" s="226">
        <f ca="1">IFERROR((Inv_SY_B!H12/Inv_SY_B!$J12)-1,"")</f>
        <v>-4.0923958013305062E-2</v>
      </c>
      <c r="I11" s="226">
        <f ca="1">IFERROR((Inv_SY_B!I12/Inv_SY_B!$J12)-1,"")</f>
        <v>-5.3913040247636879E-2</v>
      </c>
    </row>
    <row r="12" spans="2:9">
      <c r="B12" s="224">
        <f t="shared" ca="1" si="1"/>
        <v>45803</v>
      </c>
      <c r="C12" s="226">
        <f ca="1">IFERROR((Inv_SY_B!C13/Inv_SY_B!$J13)-1,"")</f>
        <v>-3.5287109559760665E-3</v>
      </c>
      <c r="D12" s="226">
        <f ca="1">IFERROR((Inv_SY_B!D13/Inv_SY_B!$J13)-1,"")</f>
        <v>-2.8271803481511038E-3</v>
      </c>
      <c r="E12" s="226">
        <f ca="1">IFERROR((Inv_SY_B!E13/Inv_SY_B!$J13)-1,"")</f>
        <v>-3.5225996408694948E-2</v>
      </c>
      <c r="F12" s="226">
        <f ca="1">IFERROR((Inv_SY_B!F13/Inv_SY_B!$J13)-1,"")</f>
        <v>-2.0244253335806817E-2</v>
      </c>
      <c r="G12" s="226">
        <f ca="1">IFERROR((Inv_SY_B!G13/Inv_SY_B!$J13)-1,"")</f>
        <v>-9.0548647246554426E-3</v>
      </c>
      <c r="H12" s="226">
        <f ca="1">IFERROR((Inv_SY_B!H13/Inv_SY_B!$J13)-1,"")</f>
        <v>3.539904485601042E-2</v>
      </c>
      <c r="I12" s="226">
        <f ca="1">IFERROR((Inv_SY_B!I13/Inv_SY_B!$J13)-1,"")</f>
        <v>3.5481960917274957E-2</v>
      </c>
    </row>
    <row r="13" spans="2:9">
      <c r="B13" s="224">
        <f t="shared" ca="1" si="1"/>
        <v>45804</v>
      </c>
      <c r="C13" s="226">
        <f ca="1">IFERROR((Inv_SY_B!C14/Inv_SY_B!$J14)-1,"")</f>
        <v>1.1185389545401048E-2</v>
      </c>
      <c r="D13" s="226">
        <f ca="1">IFERROR((Inv_SY_B!D14/Inv_SY_B!$J14)-1,"")</f>
        <v>5.1625941111248519E-3</v>
      </c>
      <c r="E13" s="226">
        <f ca="1">IFERROR((Inv_SY_B!E14/Inv_SY_B!$J14)-1,"")</f>
        <v>-2.3773708403969196E-2</v>
      </c>
      <c r="F13" s="226">
        <f ca="1">IFERROR((Inv_SY_B!F14/Inv_SY_B!$J14)-1,"")</f>
        <v>-1.9933241086191433E-2</v>
      </c>
      <c r="G13" s="226">
        <f ca="1">IFERROR((Inv_SY_B!G14/Inv_SY_B!$J14)-1,"")</f>
        <v>-1.1753494930080266E-2</v>
      </c>
      <c r="H13" s="226">
        <f ca="1">IFERROR((Inv_SY_B!H14/Inv_SY_B!$J14)-1,"")</f>
        <v>2.2112749213849092E-2</v>
      </c>
      <c r="I13" s="226">
        <f ca="1">IFERROR((Inv_SY_B!I14/Inv_SY_B!$J14)-1,"")</f>
        <v>1.6999711549866792E-2</v>
      </c>
    </row>
    <row r="14" spans="2:9">
      <c r="B14" s="224">
        <f t="shared" ca="1" si="1"/>
        <v>45805</v>
      </c>
      <c r="C14" s="226">
        <f ca="1">IFERROR((Inv_SY_B!C15/Inv_SY_B!$J15)-1,"")</f>
        <v>-8.3148174679633646E-3</v>
      </c>
      <c r="D14" s="226">
        <f ca="1">IFERROR((Inv_SY_B!D15/Inv_SY_B!$J15)-1,"")</f>
        <v>3.3769622261776711E-3</v>
      </c>
      <c r="E14" s="226">
        <f ca="1">IFERROR((Inv_SY_B!E15/Inv_SY_B!$J15)-1,"")</f>
        <v>-2.0069807559645825E-2</v>
      </c>
      <c r="F14" s="226">
        <f ca="1">IFERROR((Inv_SY_B!F15/Inv_SY_B!$J15)-1,"")</f>
        <v>-2.1553299852256069E-3</v>
      </c>
      <c r="G14" s="226">
        <f ca="1">IFERROR((Inv_SY_B!G15/Inv_SY_B!$J15)-1,"")</f>
        <v>5.6098593740989688E-3</v>
      </c>
      <c r="H14" s="226">
        <f ca="1">IFERROR((Inv_SY_B!H15/Inv_SY_B!$J15)-1,"")</f>
        <v>7.7300701169400465E-3</v>
      </c>
      <c r="I14" s="226">
        <f ca="1">IFERROR((Inv_SY_B!I15/Inv_SY_B!$J15)-1,"")</f>
        <v>1.3823063295617333E-2</v>
      </c>
    </row>
    <row r="15" spans="2:9">
      <c r="B15" s="224">
        <f t="shared" ca="1" si="1"/>
        <v>45806</v>
      </c>
      <c r="C15" s="226">
        <f ca="1">IFERROR((Inv_SY_B!C16/Inv_SY_B!$J16)-1,"")</f>
        <v>-6.8880522394866306E-3</v>
      </c>
      <c r="D15" s="226">
        <f ca="1">IFERROR((Inv_SY_B!D16/Inv_SY_B!$J16)-1,"")</f>
        <v>1.8932136274196765E-3</v>
      </c>
      <c r="E15" s="226">
        <f ca="1">IFERROR((Inv_SY_B!E16/Inv_SY_B!$J16)-1,"")</f>
        <v>-1.9969056395619189E-2</v>
      </c>
      <c r="F15" s="226">
        <f ca="1">IFERROR((Inv_SY_B!F16/Inv_SY_B!$J16)-1,"")</f>
        <v>-6.3683153614522148E-3</v>
      </c>
      <c r="G15" s="226">
        <f ca="1">IFERROR((Inv_SY_B!G16/Inv_SY_B!$J16)-1,"")</f>
        <v>9.5142963618151111E-3</v>
      </c>
      <c r="H15" s="226">
        <f ca="1">IFERROR((Inv_SY_B!H16/Inv_SY_B!$J16)-1,"")</f>
        <v>9.3082765169045789E-3</v>
      </c>
      <c r="I15" s="226">
        <f ca="1">IFERROR((Inv_SY_B!I16/Inv_SY_B!$J16)-1,"")</f>
        <v>1.2509637490417891E-2</v>
      </c>
    </row>
    <row r="16" spans="2:9">
      <c r="B16" s="224">
        <f t="shared" ca="1" si="1"/>
        <v>45807</v>
      </c>
      <c r="C16" s="226">
        <f ca="1">IFERROR((Inv_SY_B!C17/Inv_SY_B!$J17)-1,"")</f>
        <v>-5.3831383329915328E-3</v>
      </c>
      <c r="D16" s="226">
        <f ca="1">IFERROR((Inv_SY_B!D17/Inv_SY_B!$J17)-1,"")</f>
        <v>-9.4440282653240892E-4</v>
      </c>
      <c r="E16" s="226">
        <f ca="1">IFERROR((Inv_SY_B!E17/Inv_SY_B!$J17)-1,"")</f>
        <v>-1.0136172080849937E-2</v>
      </c>
      <c r="F16" s="226">
        <f ca="1">IFERROR((Inv_SY_B!F17/Inv_SY_B!$J17)-1,"")</f>
        <v>3.5968199134728263E-3</v>
      </c>
      <c r="G16" s="226">
        <f ca="1">IFERROR((Inv_SY_B!G17/Inv_SY_B!$J17)-1,"")</f>
        <v>1.1443937104724133E-2</v>
      </c>
      <c r="H16" s="226">
        <f ca="1">IFERROR((Inv_SY_B!H17/Inv_SY_B!$J17)-1,"")</f>
        <v>-2.5180237986415221E-3</v>
      </c>
      <c r="I16" s="226">
        <f ca="1">IFERROR((Inv_SY_B!I17/Inv_SY_B!$J17)-1,"")</f>
        <v>3.9409800208176637E-3</v>
      </c>
    </row>
    <row r="17" spans="2:9">
      <c r="B17" s="224">
        <f t="shared" ca="1" si="1"/>
        <v>45808</v>
      </c>
      <c r="C17" s="226">
        <f ca="1">IFERROR((Inv_SY_B!C18/Inv_SY_B!$J18)-1,"")</f>
        <v>-2.6729791211911325E-3</v>
      </c>
      <c r="D17" s="226">
        <f ca="1">IFERROR((Inv_SY_B!D18/Inv_SY_B!$J18)-1,"")</f>
        <v>-3.1701159484159858E-3</v>
      </c>
      <c r="E17" s="226">
        <f ca="1">IFERROR((Inv_SY_B!E18/Inv_SY_B!$J18)-1,"")</f>
        <v>-3.4759884398443908E-2</v>
      </c>
      <c r="F17" s="226">
        <f ca="1">IFERROR((Inv_SY_B!F18/Inv_SY_B!$J18)-1,"")</f>
        <v>-2.8976010785603967E-2</v>
      </c>
      <c r="G17" s="226">
        <f ca="1">IFERROR((Inv_SY_B!G18/Inv_SY_B!$J18)-1,"")</f>
        <v>-1.9486274885574861E-2</v>
      </c>
      <c r="H17" s="226">
        <f ca="1">IFERROR((Inv_SY_B!H18/Inv_SY_B!$J18)-1,"")</f>
        <v>4.7239191308562134E-2</v>
      </c>
      <c r="I17" s="226">
        <f ca="1">IFERROR((Inv_SY_B!I18/Inv_SY_B!$J18)-1,"")</f>
        <v>4.1826073830667942E-2</v>
      </c>
    </row>
    <row r="18" spans="2:9">
      <c r="B18" s="224">
        <f t="shared" ca="1" si="1"/>
        <v>45809</v>
      </c>
      <c r="C18" s="226">
        <f ca="1">IFERROR((Inv_SY_B!C19/Inv_SY_B!$J19)-1,"")</f>
        <v>3.9541308917256934E-3</v>
      </c>
      <c r="D18" s="226">
        <f ca="1">IFERROR((Inv_SY_B!D19/Inv_SY_B!$J19)-1,"")</f>
        <v>4.3614224927350786E-3</v>
      </c>
      <c r="E18" s="226">
        <f ca="1">IFERROR((Inv_SY_B!E19/Inv_SY_B!$J19)-1,"")</f>
        <v>-1.7146984959498957E-2</v>
      </c>
      <c r="F18" s="226">
        <f ca="1">IFERROR((Inv_SY_B!F19/Inv_SY_B!$J19)-1,"")</f>
        <v>-1.2994762960145678E-3</v>
      </c>
      <c r="G18" s="226">
        <f ca="1">IFERROR((Inv_SY_B!G19/Inv_SY_B!$J19)-1,"")</f>
        <v>1.1031164363416446E-2</v>
      </c>
      <c r="H18" s="226">
        <f ca="1">IFERROR((Inv_SY_B!H19/Inv_SY_B!$J19)-1,"")</f>
        <v>8.5286015069307997E-3</v>
      </c>
      <c r="I18" s="226">
        <f ca="1">IFERROR((Inv_SY_B!I19/Inv_SY_B!$J19)-1,"")</f>
        <v>-9.4288579992943822E-3</v>
      </c>
    </row>
    <row r="19" spans="2:9">
      <c r="B19" s="224">
        <f t="shared" ca="1" si="1"/>
        <v>45810</v>
      </c>
      <c r="C19" s="226">
        <f ca="1">IFERROR((Inv_SY_B!C20/Inv_SY_B!$J20)-1,"")</f>
        <v>-4.0179118830330207E-3</v>
      </c>
      <c r="D19" s="226">
        <f ca="1">IFERROR((Inv_SY_B!D20/Inv_SY_B!$J20)-1,"")</f>
        <v>-4.8930204983191894E-3</v>
      </c>
      <c r="E19" s="226">
        <f ca="1">IFERROR((Inv_SY_B!E20/Inv_SY_B!$J20)-1,"")</f>
        <v>-2.8685935742243429E-2</v>
      </c>
      <c r="F19" s="226">
        <f ca="1">IFERROR((Inv_SY_B!F20/Inv_SY_B!$J20)-1,"")</f>
        <v>-2.1361924964382384E-2</v>
      </c>
      <c r="G19" s="226">
        <f ca="1">IFERROR((Inv_SY_B!G20/Inv_SY_B!$J20)-1,"")</f>
        <v>2.3154041764827937E-3</v>
      </c>
      <c r="H19" s="226">
        <f ca="1">IFERROR((Inv_SY_B!H20/Inv_SY_B!$J20)-1,"")</f>
        <v>2.9817652784654536E-2</v>
      </c>
      <c r="I19" s="226">
        <f ca="1">IFERROR((Inv_SY_B!I20/Inv_SY_B!$J20)-1,"")</f>
        <v>2.6825736126840249E-2</v>
      </c>
    </row>
    <row r="20" spans="2:9">
      <c r="B20" s="224">
        <f t="shared" ca="1" si="1"/>
        <v>45811</v>
      </c>
      <c r="C20" s="226">
        <f ca="1">IFERROR((Inv_SY_B!C21/Inv_SY_B!$J21)-1,"")</f>
        <v>-3.067747604369675E-3</v>
      </c>
      <c r="D20" s="226">
        <f ca="1">IFERROR((Inv_SY_B!D21/Inv_SY_B!$J21)-1,"")</f>
        <v>-2.6758313768256992E-3</v>
      </c>
      <c r="E20" s="226">
        <f ca="1">IFERROR((Inv_SY_B!E21/Inv_SY_B!$J21)-1,"")</f>
        <v>-3.0887126499997364E-2</v>
      </c>
      <c r="F20" s="226">
        <f ca="1">IFERROR((Inv_SY_B!F21/Inv_SY_B!$J21)-1,"")</f>
        <v>-2.2013756836027465E-2</v>
      </c>
      <c r="G20" s="226">
        <f ca="1">IFERROR((Inv_SY_B!G21/Inv_SY_B!$J21)-1,"")</f>
        <v>-1.3052380681217057E-2</v>
      </c>
      <c r="H20" s="226">
        <f ca="1">IFERROR((Inv_SY_B!H21/Inv_SY_B!$J21)-1,"")</f>
        <v>3.8470942515736573E-2</v>
      </c>
      <c r="I20" s="226">
        <f ca="1">IFERROR((Inv_SY_B!I21/Inv_SY_B!$J21)-1,"")</f>
        <v>3.3225900482701132E-2</v>
      </c>
    </row>
    <row r="21" spans="2:9">
      <c r="B21" s="224">
        <f t="shared" ca="1" si="1"/>
        <v>45812</v>
      </c>
      <c r="C21" s="226">
        <f ca="1">IFERROR((Inv_SY_B!C22/Inv_SY_B!$J22)-1,"")</f>
        <v>-5.9035269816554159E-4</v>
      </c>
      <c r="D21" s="226">
        <f ca="1">IFERROR((Inv_SY_B!D22/Inv_SY_B!$J22)-1,"")</f>
        <v>-2.3955427478863367E-3</v>
      </c>
      <c r="E21" s="226">
        <f ca="1">IFERROR((Inv_SY_B!E22/Inv_SY_B!$J22)-1,"")</f>
        <v>-2.4046686374936455E-2</v>
      </c>
      <c r="F21" s="226">
        <f ca="1">IFERROR((Inv_SY_B!F22/Inv_SY_B!$J22)-1,"")</f>
        <v>-1.6730046756757155E-2</v>
      </c>
      <c r="G21" s="226">
        <f ca="1">IFERROR((Inv_SY_B!G22/Inv_SY_B!$J22)-1,"")</f>
        <v>-1.2021837841202254E-2</v>
      </c>
      <c r="H21" s="226">
        <f ca="1">IFERROR((Inv_SY_B!H22/Inv_SY_B!$J22)-1,"")</f>
        <v>2.8287323991466495E-2</v>
      </c>
      <c r="I21" s="226">
        <f ca="1">IFERROR((Inv_SY_B!I22/Inv_SY_B!$J22)-1,"")</f>
        <v>2.7497142427481469E-2</v>
      </c>
    </row>
    <row r="22" spans="2:9">
      <c r="B22" s="224">
        <f t="shared" ca="1" si="1"/>
        <v>45813</v>
      </c>
      <c r="C22" s="226">
        <f ca="1">IFERROR((Inv_SY_B!C23/Inv_SY_B!$J23)-1,"")</f>
        <v>9.9461943263858821E-3</v>
      </c>
      <c r="D22" s="226">
        <f ca="1">IFERROR((Inv_SY_B!D23/Inv_SY_B!$J23)-1,"")</f>
        <v>6.267014523182457E-4</v>
      </c>
      <c r="E22" s="226">
        <f ca="1">IFERROR((Inv_SY_B!E23/Inv_SY_B!$J23)-1,"")</f>
        <v>-2.5582414416967958E-2</v>
      </c>
      <c r="F22" s="226">
        <f ca="1">IFERROR((Inv_SY_B!F23/Inv_SY_B!$J23)-1,"")</f>
        <v>-2.0660750028885233E-2</v>
      </c>
      <c r="G22" s="226">
        <f ca="1">IFERROR((Inv_SY_B!G23/Inv_SY_B!$J23)-1,"")</f>
        <v>-2.3965864519737368E-2</v>
      </c>
      <c r="H22" s="226">
        <f ca="1">IFERROR((Inv_SY_B!H23/Inv_SY_B!$J23)-1,"")</f>
        <v>3.7638972021835526E-2</v>
      </c>
      <c r="I22" s="226">
        <f ca="1">IFERROR((Inv_SY_B!I23/Inv_SY_B!$J23)-1,"")</f>
        <v>2.1997161165051349E-2</v>
      </c>
    </row>
    <row r="23" spans="2:9">
      <c r="B23" s="224">
        <f t="shared" ca="1" si="1"/>
        <v>45814</v>
      </c>
      <c r="C23" s="226">
        <f ca="1">IFERROR((Inv_SY_B!C24/Inv_SY_B!$J24)-1,"")</f>
        <v>1.74839020660984E-2</v>
      </c>
      <c r="D23" s="226">
        <f ca="1">IFERROR((Inv_SY_B!D24/Inv_SY_B!$J24)-1,"")</f>
        <v>8.6154043909587585E-3</v>
      </c>
      <c r="E23" s="226">
        <f ca="1">IFERROR((Inv_SY_B!E24/Inv_SY_B!$J24)-1,"")</f>
        <v>-1.5590398952355145E-2</v>
      </c>
      <c r="F23" s="226">
        <f ca="1">IFERROR((Inv_SY_B!F24/Inv_SY_B!$J24)-1,"")</f>
        <v>-1.0981341500747477E-2</v>
      </c>
      <c r="G23" s="226">
        <f ca="1">IFERROR((Inv_SY_B!G24/Inv_SY_B!$J24)-1,"")</f>
        <v>-1.9365157217896556E-2</v>
      </c>
      <c r="H23" s="226">
        <f ca="1">IFERROR((Inv_SY_B!H24/Inv_SY_B!$J24)-1,"")</f>
        <v>1.3313705189668346E-2</v>
      </c>
      <c r="I23" s="226">
        <f ca="1">IFERROR((Inv_SY_B!I24/Inv_SY_B!$J24)-1,"")</f>
        <v>6.5238860242746721E-3</v>
      </c>
    </row>
    <row r="24" spans="2:9">
      <c r="B24" s="224">
        <f t="shared" ca="1" si="1"/>
        <v>45815</v>
      </c>
      <c r="C24" s="226">
        <f ca="1">IFERROR((Inv_SY_B!C25/Inv_SY_B!$J25)-1,"")</f>
        <v>3.0907219566056465E-3</v>
      </c>
      <c r="D24" s="226">
        <f ca="1">IFERROR((Inv_SY_B!D25/Inv_SY_B!$J25)-1,"")</f>
        <v>-9.387483560771015E-4</v>
      </c>
      <c r="E24" s="226">
        <f ca="1">IFERROR((Inv_SY_B!E25/Inv_SY_B!$J25)-1,"")</f>
        <v>-2.2526849736953736E-2</v>
      </c>
      <c r="F24" s="226">
        <f ca="1">IFERROR((Inv_SY_B!F25/Inv_SY_B!$J25)-1,"")</f>
        <v>-1.5271881115411001E-2</v>
      </c>
      <c r="G24" s="226">
        <f ca="1">IFERROR((Inv_SY_B!G25/Inv_SY_B!$J25)-1,"")</f>
        <v>-1.2035086977291276E-2</v>
      </c>
      <c r="H24" s="226">
        <f ca="1">IFERROR((Inv_SY_B!H25/Inv_SY_B!$J25)-1,"")</f>
        <v>2.7689639090904272E-2</v>
      </c>
      <c r="I24" s="226">
        <f ca="1">IFERROR((Inv_SY_B!I25/Inv_SY_B!$J25)-1,"")</f>
        <v>1.9992205138223751E-2</v>
      </c>
    </row>
    <row r="25" spans="2:9">
      <c r="B25" s="224">
        <f t="shared" ca="1" si="1"/>
        <v>45816</v>
      </c>
      <c r="C25" s="226">
        <f ca="1">IFERROR((Inv_SY_B!C26/Inv_SY_B!$J26)-1,"")</f>
        <v>-6.4343880948477539E-3</v>
      </c>
      <c r="D25" s="226">
        <f ca="1">IFERROR((Inv_SY_B!D26/Inv_SY_B!$J26)-1,"")</f>
        <v>9.0682906339312197E-4</v>
      </c>
      <c r="E25" s="226">
        <f ca="1">IFERROR((Inv_SY_B!E26/Inv_SY_B!$J26)-1,"")</f>
        <v>-2.0426269015577647E-2</v>
      </c>
      <c r="F25" s="226">
        <f ca="1">IFERROR((Inv_SY_B!F26/Inv_SY_B!$J26)-1,"")</f>
        <v>-5.5615938182778102E-3</v>
      </c>
      <c r="G25" s="226">
        <f ca="1">IFERROR((Inv_SY_B!G26/Inv_SY_B!$J26)-1,"")</f>
        <v>4.1047232526296717E-3</v>
      </c>
      <c r="H25" s="226">
        <f ca="1">IFERROR((Inv_SY_B!H26/Inv_SY_B!$J26)-1,"")</f>
        <v>1.447173135782398E-2</v>
      </c>
      <c r="I25" s="226">
        <f ca="1">IFERROR((Inv_SY_B!I26/Inv_SY_B!$J26)-1,"")</f>
        <v>1.2938967254856326E-2</v>
      </c>
    </row>
    <row r="26" spans="2:9">
      <c r="B26" s="224">
        <f t="shared" ca="1" si="1"/>
        <v>45817</v>
      </c>
      <c r="C26" s="226">
        <f ca="1">IFERROR((Inv_SY_B!C27/Inv_SY_B!$J27)-1,"")</f>
        <v>1.2010295511153402E-3</v>
      </c>
      <c r="D26" s="226">
        <f ca="1">IFERROR((Inv_SY_B!D27/Inv_SY_B!$J27)-1,"")</f>
        <v>5.3243939325511302E-3</v>
      </c>
      <c r="E26" s="226">
        <f ca="1">IFERROR((Inv_SY_B!E27/Inv_SY_B!$J27)-1,"")</f>
        <v>-2.0316878446501763E-2</v>
      </c>
      <c r="F26" s="226">
        <f ca="1">IFERROR((Inv_SY_B!F27/Inv_SY_B!$J27)-1,"")</f>
        <v>-1.4720049185483419E-2</v>
      </c>
      <c r="G26" s="226">
        <f ca="1">IFERROR((Inv_SY_B!G27/Inv_SY_B!$J27)-1,"")</f>
        <v>-1.2908275985902717E-2</v>
      </c>
      <c r="H26" s="226">
        <f ca="1">IFERROR((Inv_SY_B!H27/Inv_SY_B!$J27)-1,"")</f>
        <v>2.6538136662891176E-2</v>
      </c>
      <c r="I26" s="226">
        <f ca="1">IFERROR((Inv_SY_B!I27/Inv_SY_B!$J27)-1,"")</f>
        <v>1.4881643471329253E-2</v>
      </c>
    </row>
    <row r="27" spans="2:9">
      <c r="B27" s="224">
        <f t="shared" ca="1" si="1"/>
        <v>45818</v>
      </c>
      <c r="C27" s="226">
        <f ca="1">IFERROR((Inv_SY_B!C28/Inv_SY_B!$J28)-1,"")</f>
        <v>5.4357990362043918E-3</v>
      </c>
      <c r="D27" s="226">
        <f ca="1">IFERROR((Inv_SY_B!D28/Inv_SY_B!$J28)-1,"")</f>
        <v>1.1568012653935256E-3</v>
      </c>
      <c r="E27" s="226">
        <f ca="1">IFERROR((Inv_SY_B!E28/Inv_SY_B!$J28)-1,"")</f>
        <v>-1.4894109513491127E-2</v>
      </c>
      <c r="F27" s="226">
        <f ca="1">IFERROR((Inv_SY_B!F28/Inv_SY_B!$J28)-1,"")</f>
        <v>-9.7398214896786683E-3</v>
      </c>
      <c r="G27" s="226">
        <f ca="1">IFERROR((Inv_SY_B!G28/Inv_SY_B!$J28)-1,"")</f>
        <v>-7.2042172045644337E-3</v>
      </c>
      <c r="H27" s="226">
        <f ca="1">IFERROR((Inv_SY_B!H28/Inv_SY_B!$J28)-1,"")</f>
        <v>1.6943468812684159E-2</v>
      </c>
      <c r="I27" s="226">
        <f ca="1">IFERROR((Inv_SY_B!I28/Inv_SY_B!$J28)-1,"")</f>
        <v>8.3020790934524857E-3</v>
      </c>
    </row>
    <row r="28" spans="2:9">
      <c r="B28" s="224">
        <f t="shared" ca="1" si="1"/>
        <v>45819</v>
      </c>
      <c r="C28" s="226">
        <f ca="1">IFERROR((Inv_SY_B!C29/Inv_SY_B!$J29)-1,"")</f>
        <v>2.0686864528975946E-3</v>
      </c>
      <c r="D28" s="226">
        <f ca="1">IFERROR((Inv_SY_B!D29/Inv_SY_B!$J29)-1,"")</f>
        <v>6.095121467202258E-4</v>
      </c>
      <c r="E28" s="226">
        <f ca="1">IFERROR((Inv_SY_B!E29/Inv_SY_B!$J29)-1,"")</f>
        <v>-1.143687991422293E-2</v>
      </c>
      <c r="F28" s="226">
        <f ca="1">IFERROR((Inv_SY_B!F29/Inv_SY_B!$J29)-1,"")</f>
        <v>-3.1336331666721451E-3</v>
      </c>
      <c r="G28" s="226">
        <f ca="1">IFERROR((Inv_SY_B!G29/Inv_SY_B!$J29)-1,"")</f>
        <v>5.1373172518884846E-3</v>
      </c>
      <c r="H28" s="226">
        <f ca="1">IFERROR((Inv_SY_B!H29/Inv_SY_B!$J29)-1,"")</f>
        <v>7.2987309637322362E-3</v>
      </c>
      <c r="I28" s="226">
        <f ca="1">IFERROR((Inv_SY_B!I29/Inv_SY_B!$J29)-1,"")</f>
        <v>-5.4373373434346561E-4</v>
      </c>
    </row>
    <row r="29" spans="2:9">
      <c r="B29" s="224">
        <f t="shared" ca="1" si="1"/>
        <v>45820</v>
      </c>
      <c r="C29" s="226">
        <f ca="1">IFERROR((Inv_SY_B!C30/Inv_SY_B!$J30)-1,"")</f>
        <v>-8.0196104054456319E-3</v>
      </c>
      <c r="D29" s="226">
        <f ca="1">IFERROR((Inv_SY_B!D30/Inv_SY_B!$J30)-1,"")</f>
        <v>-3.249665564878601E-3</v>
      </c>
      <c r="E29" s="226">
        <f ca="1">IFERROR((Inv_SY_B!E30/Inv_SY_B!$J30)-1,"")</f>
        <v>-3.403624896605828E-2</v>
      </c>
      <c r="F29" s="226">
        <f ca="1">IFERROR((Inv_SY_B!F30/Inv_SY_B!$J30)-1,"")</f>
        <v>-2.0591108233863453E-2</v>
      </c>
      <c r="G29" s="226">
        <f ca="1">IFERROR((Inv_SY_B!G30/Inv_SY_B!$J30)-1,"")</f>
        <v>2.285405305936461E-3</v>
      </c>
      <c r="H29" s="226">
        <f ca="1">IFERROR((Inv_SY_B!H30/Inv_SY_B!$J30)-1,"")</f>
        <v>3.2680179039472623E-2</v>
      </c>
      <c r="I29" s="226">
        <f ca="1">IFERROR((Inv_SY_B!I30/Inv_SY_B!$J30)-1,"")</f>
        <v>3.0931048824836882E-2</v>
      </c>
    </row>
    <row r="30" spans="2:9">
      <c r="B30" s="224">
        <f t="shared" ca="1" si="1"/>
        <v>45821</v>
      </c>
      <c r="C30" s="226">
        <f ca="1">IFERROR((Inv_SY_B!C31/Inv_SY_B!$J31)-1,"")</f>
        <v>-1.7204275540241287E-3</v>
      </c>
      <c r="D30" s="226">
        <f ca="1">IFERROR((Inv_SY_B!D31/Inv_SY_B!$J31)-1,"")</f>
        <v>-8.2313777405862432E-3</v>
      </c>
      <c r="E30" s="226">
        <f ca="1">IFERROR((Inv_SY_B!E31/Inv_SY_B!$J31)-1,"")</f>
        <v>-6.0715877579157196E-3</v>
      </c>
      <c r="F30" s="226">
        <f ca="1">IFERROR((Inv_SY_B!F31/Inv_SY_B!$J31)-1,"")</f>
        <v>-7.5191145326281017E-5</v>
      </c>
      <c r="G30" s="226">
        <f ca="1">IFERROR((Inv_SY_B!G31/Inv_SY_B!$J31)-1,"")</f>
        <v>9.4214196724544674E-3</v>
      </c>
      <c r="H30" s="226">
        <f ca="1">IFERROR((Inv_SY_B!H31/Inv_SY_B!$J31)-1,"")</f>
        <v>-2.1987012144245588E-3</v>
      </c>
      <c r="I30" s="226">
        <f ca="1">IFERROR((Inv_SY_B!I31/Inv_SY_B!$J31)-1,"")</f>
        <v>8.8758657398222418E-3</v>
      </c>
    </row>
    <row r="31" spans="2:9">
      <c r="B31" s="224">
        <f t="shared" ca="1" si="1"/>
        <v>45822</v>
      </c>
      <c r="C31" s="226">
        <f ca="1">IFERROR((Inv_SY_B!C32/Inv_SY_B!$J32)-1,"")</f>
        <v>1.4263044731910757E-2</v>
      </c>
      <c r="D31" s="226">
        <f ca="1">IFERROR((Inv_SY_B!D32/Inv_SY_B!$J32)-1,"")</f>
        <v>-2.062049572564284E-4</v>
      </c>
      <c r="E31" s="226">
        <f ca="1">IFERROR((Inv_SY_B!E32/Inv_SY_B!$J32)-1,"")</f>
        <v>-1.920962292841788E-2</v>
      </c>
      <c r="F31" s="226">
        <f ca="1">IFERROR((Inv_SY_B!F32/Inv_SY_B!$J32)-1,"")</f>
        <v>-1.9734944331313287E-2</v>
      </c>
      <c r="G31" s="226">
        <f ca="1">IFERROR((Inv_SY_B!G32/Inv_SY_B!$J32)-1,"")</f>
        <v>-2.513034071602438E-2</v>
      </c>
      <c r="H31" s="226">
        <f ca="1">IFERROR((Inv_SY_B!H32/Inv_SY_B!$J32)-1,"")</f>
        <v>3.3629518342782605E-2</v>
      </c>
      <c r="I31" s="226">
        <f ca="1">IFERROR((Inv_SY_B!I32/Inv_SY_B!$J32)-1,"")</f>
        <v>1.6388549858316948E-2</v>
      </c>
    </row>
    <row r="32" spans="2:9">
      <c r="B32" s="224">
        <f t="shared" ca="1" si="1"/>
        <v>45823</v>
      </c>
      <c r="C32" s="226">
        <f ca="1">IFERROR((Inv_SY_B!C33/Inv_SY_B!$J33)-1,"")</f>
        <v>-2.6007478920158533E-2</v>
      </c>
      <c r="D32" s="226">
        <f ca="1">IFERROR((Inv_SY_B!D33/Inv_SY_B!$J33)-1,"")</f>
        <v>-1.0194156409874311E-2</v>
      </c>
      <c r="E32" s="226">
        <f ca="1">IFERROR((Inv_SY_B!E33/Inv_SY_B!$J33)-1,"")</f>
        <v>-4.316224759344045E-2</v>
      </c>
      <c r="F32" s="226">
        <f ca="1">IFERROR((Inv_SY_B!F33/Inv_SY_B!$J33)-1,"")</f>
        <v>-2.2628229268323308E-2</v>
      </c>
      <c r="G32" s="226">
        <f ca="1">IFERROR((Inv_SY_B!G33/Inv_SY_B!$J33)-1,"")</f>
        <v>2.7478879396965139E-2</v>
      </c>
      <c r="H32" s="226">
        <f ca="1">IFERROR((Inv_SY_B!H33/Inv_SY_B!$J33)-1,"")</f>
        <v>3.9418019117751113E-2</v>
      </c>
      <c r="I32" s="226">
        <f ca="1">IFERROR((Inv_SY_B!I33/Inv_SY_B!$J33)-1,"")</f>
        <v>3.5095213677081016E-2</v>
      </c>
    </row>
    <row r="33" spans="2:9">
      <c r="B33" s="224">
        <f t="shared" ca="1" si="1"/>
        <v>45824</v>
      </c>
      <c r="C33" s="226">
        <f ca="1">IFERROR((Inv_SY_B!C34/Inv_SY_B!$J34)-1,"")</f>
        <v>-4.2856189290727542E-3</v>
      </c>
      <c r="D33" s="226">
        <f ca="1">IFERROR((Inv_SY_B!D34/Inv_SY_B!$J34)-1,"")</f>
        <v>3.1251188198349045E-3</v>
      </c>
      <c r="E33" s="226">
        <f ca="1">IFERROR((Inv_SY_B!E34/Inv_SY_B!$J34)-1,"")</f>
        <v>-1.6256583135312974E-2</v>
      </c>
      <c r="F33" s="226">
        <f ca="1">IFERROR((Inv_SY_B!F34/Inv_SY_B!$J34)-1,"")</f>
        <v>-5.1251039710497048E-3</v>
      </c>
      <c r="G33" s="226">
        <f ca="1">IFERROR((Inv_SY_B!G34/Inv_SY_B!$J34)-1,"")</f>
        <v>-2.3663771252085963E-3</v>
      </c>
      <c r="H33" s="226">
        <f ca="1">IFERROR((Inv_SY_B!H34/Inv_SY_B!$J34)-1,"")</f>
        <v>1.8888929416854161E-2</v>
      </c>
      <c r="I33" s="226">
        <f ca="1">IFERROR((Inv_SY_B!I34/Inv_SY_B!$J34)-1,"")</f>
        <v>6.0196349239562963E-3</v>
      </c>
    </row>
    <row r="34" spans="2:9">
      <c r="B34" s="224">
        <f t="shared" ca="1" si="1"/>
        <v>45825</v>
      </c>
      <c r="C34" s="226">
        <f ca="1">IFERROR((Inv_SY_B!C35/Inv_SY_B!$J35)-1,"")</f>
        <v>-4.4126940977169404E-3</v>
      </c>
      <c r="D34" s="226">
        <f ca="1">IFERROR((Inv_SY_B!D35/Inv_SY_B!$J35)-1,"")</f>
        <v>2.2011717815286769E-3</v>
      </c>
      <c r="E34" s="226">
        <f ca="1">IFERROR((Inv_SY_B!E35/Inv_SY_B!$J35)-1,"")</f>
        <v>-3.4730247453148788E-2</v>
      </c>
      <c r="F34" s="226">
        <f ca="1">IFERROR((Inv_SY_B!F35/Inv_SY_B!$J35)-1,"")</f>
        <v>-2.7497735211478025E-2</v>
      </c>
      <c r="G34" s="226">
        <f ca="1">IFERROR((Inv_SY_B!G35/Inv_SY_B!$J35)-1,"")</f>
        <v>-1.033290244342211E-2</v>
      </c>
      <c r="H34" s="226">
        <f ca="1">IFERROR((Inv_SY_B!H35/Inv_SY_B!$J35)-1,"")</f>
        <v>4.3249222411815058E-2</v>
      </c>
      <c r="I34" s="226">
        <f ca="1">IFERROR((Inv_SY_B!I35/Inv_SY_B!$J35)-1,"")</f>
        <v>3.1523185012422683E-2</v>
      </c>
    </row>
    <row r="35" spans="2:9">
      <c r="B35" s="224">
        <f t="shared" ca="1" si="1"/>
        <v>45826</v>
      </c>
      <c r="C35" s="226">
        <f ca="1">IFERROR((Inv_SY_B!C36/Inv_SY_B!$J36)-1,"")</f>
        <v>-4.5586358146604278E-3</v>
      </c>
      <c r="D35" s="226">
        <f ca="1">IFERROR((Inv_SY_B!D36/Inv_SY_B!$J36)-1,"")</f>
        <v>-5.4943146040313806E-3</v>
      </c>
      <c r="E35" s="226">
        <f ca="1">IFERROR((Inv_SY_B!E36/Inv_SY_B!$J36)-1,"")</f>
        <v>-1.2153595200203204E-2</v>
      </c>
      <c r="F35" s="226">
        <f ca="1">IFERROR((Inv_SY_B!F36/Inv_SY_B!$J36)-1,"")</f>
        <v>-3.5660184405807982E-3</v>
      </c>
      <c r="G35" s="226">
        <f ca="1">IFERROR((Inv_SY_B!G36/Inv_SY_B!$J36)-1,"")</f>
        <v>9.9123235987943481E-3</v>
      </c>
      <c r="H35" s="226">
        <f ca="1">IFERROR((Inv_SY_B!H36/Inv_SY_B!$J36)-1,"")</f>
        <v>8.8327368489951041E-3</v>
      </c>
      <c r="I35" s="226">
        <f ca="1">IFERROR((Inv_SY_B!I36/Inv_SY_B!$J36)-1,"")</f>
        <v>7.0275036116858036E-3</v>
      </c>
    </row>
    <row r="36" spans="2:9">
      <c r="B36" s="224">
        <f t="shared" ca="1" si="1"/>
        <v>45827</v>
      </c>
      <c r="C36" s="226">
        <f ca="1">IFERROR((Inv_SY_B!C37/Inv_SY_B!$J37)-1,"")</f>
        <v>-9.2649529145560905E-4</v>
      </c>
      <c r="D36" s="226">
        <f ca="1">IFERROR((Inv_SY_B!D37/Inv_SY_B!$J37)-1,"")</f>
        <v>1.05752042394891E-3</v>
      </c>
      <c r="E36" s="226">
        <f ca="1">IFERROR((Inv_SY_B!E37/Inv_SY_B!$J37)-1,"")</f>
        <v>-2.6589576454045138E-2</v>
      </c>
      <c r="F36" s="226">
        <f ca="1">IFERROR((Inv_SY_B!F37/Inv_SY_B!$J37)-1,"")</f>
        <v>-2.1050131474691036E-2</v>
      </c>
      <c r="G36" s="226">
        <f ca="1">IFERROR((Inv_SY_B!G37/Inv_SY_B!$J37)-1,"")</f>
        <v>-5.29622177097544E-3</v>
      </c>
      <c r="H36" s="226">
        <f ca="1">IFERROR((Inv_SY_B!H37/Inv_SY_B!$J37)-1,"")</f>
        <v>2.953219718637734E-2</v>
      </c>
      <c r="I36" s="226">
        <f ca="1">IFERROR((Inv_SY_B!I37/Inv_SY_B!$J37)-1,"")</f>
        <v>2.3272707380840973E-2</v>
      </c>
    </row>
    <row r="37" spans="2:9">
      <c r="B37" s="224">
        <f t="shared" ca="1" si="1"/>
        <v>45828</v>
      </c>
      <c r="C37" s="226">
        <f ca="1">IFERROR((Inv_SY_B!C38/Inv_SY_B!$J38)-1,"")</f>
        <v>-7.9819579493816128E-3</v>
      </c>
      <c r="D37" s="226">
        <f ca="1">IFERROR((Inv_SY_B!D38/Inv_SY_B!$J38)-1,"")</f>
        <v>-5.1557702768798563E-3</v>
      </c>
      <c r="E37" s="226">
        <f ca="1">IFERROR((Inv_SY_B!E38/Inv_SY_B!$J38)-1,"")</f>
        <v>-2.658619990340727E-2</v>
      </c>
      <c r="F37" s="226">
        <f ca="1">IFERROR((Inv_SY_B!F38/Inv_SY_B!$J38)-1,"")</f>
        <v>-2.4359882871324179E-2</v>
      </c>
      <c r="G37" s="226">
        <f ca="1">IFERROR((Inv_SY_B!G38/Inv_SY_B!$J38)-1,"")</f>
        <v>-4.5135348847635814E-3</v>
      </c>
      <c r="H37" s="226">
        <f ca="1">IFERROR((Inv_SY_B!H38/Inv_SY_B!$J38)-1,"")</f>
        <v>3.6658209142540032E-2</v>
      </c>
      <c r="I37" s="226">
        <f ca="1">IFERROR((Inv_SY_B!I38/Inv_SY_B!$J38)-1,"")</f>
        <v>3.1939136743217356E-2</v>
      </c>
    </row>
    <row r="38" spans="2:9">
      <c r="B38" s="224">
        <f t="shared" ca="1" si="1"/>
        <v>45829</v>
      </c>
      <c r="C38" s="226">
        <f ca="1">IFERROR((Inv_SY_B!C39/Inv_SY_B!$J39)-1,"")</f>
        <v>-4.9638293997410488E-3</v>
      </c>
      <c r="D38" s="226">
        <f ca="1">IFERROR((Inv_SY_B!D39/Inv_SY_B!$J39)-1,"")</f>
        <v>-1.2229484639217914E-3</v>
      </c>
      <c r="E38" s="226">
        <f ca="1">IFERROR((Inv_SY_B!E39/Inv_SY_B!$J39)-1,"")</f>
        <v>-3.1599539873793381E-2</v>
      </c>
      <c r="F38" s="226">
        <f ca="1">IFERROR((Inv_SY_B!F39/Inv_SY_B!$J39)-1,"")</f>
        <v>-2.5019411515448731E-2</v>
      </c>
      <c r="G38" s="226">
        <f ca="1">IFERROR((Inv_SY_B!G39/Inv_SY_B!$J39)-1,"")</f>
        <v>-8.1504722371341654E-3</v>
      </c>
      <c r="H38" s="226">
        <f ca="1">IFERROR((Inv_SY_B!H39/Inv_SY_B!$J39)-1,"")</f>
        <v>3.829780624429735E-2</v>
      </c>
      <c r="I38" s="226">
        <f ca="1">IFERROR((Inv_SY_B!I39/Inv_SY_B!$J39)-1,"")</f>
        <v>3.2658395245742655E-2</v>
      </c>
    </row>
    <row r="39" spans="2:9">
      <c r="B39" s="224">
        <f t="shared" ca="1" si="1"/>
        <v>45830</v>
      </c>
      <c r="C39" s="226">
        <f ca="1">IFERROR((Inv_SY_B!C40/Inv_SY_B!$J40)-1,"")</f>
        <v>5.9169428079548503E-3</v>
      </c>
      <c r="D39" s="226">
        <f ca="1">IFERROR((Inv_SY_B!D40/Inv_SY_B!$J40)-1,"")</f>
        <v>1.5836783977178914E-3</v>
      </c>
      <c r="E39" s="226">
        <f ca="1">IFERROR((Inv_SY_B!E40/Inv_SY_B!$J40)-1,"")</f>
        <v>-2.3373422132977106E-2</v>
      </c>
      <c r="F39" s="226">
        <f ca="1">IFERROR((Inv_SY_B!F40/Inv_SY_B!$J40)-1,"")</f>
        <v>-1.8155962944847226E-2</v>
      </c>
      <c r="G39" s="226">
        <f ca="1">IFERROR((Inv_SY_B!G40/Inv_SY_B!$J40)-1,"")</f>
        <v>-1.3905143106982099E-2</v>
      </c>
      <c r="H39" s="226">
        <f ca="1">IFERROR((Inv_SY_B!H40/Inv_SY_B!$J40)-1,"")</f>
        <v>2.8071202726192901E-2</v>
      </c>
      <c r="I39" s="226">
        <f ca="1">IFERROR((Inv_SY_B!I40/Inv_SY_B!$J40)-1,"")</f>
        <v>1.9862704252940899E-2</v>
      </c>
    </row>
    <row r="40" spans="2:9">
      <c r="B40" s="224">
        <f t="shared" ca="1" si="1"/>
        <v>45831</v>
      </c>
      <c r="C40" s="226">
        <f ca="1">IFERROR((Inv_SY_B!C41/Inv_SY_B!$J41)-1,"")</f>
        <v>-3.4998831541228625E-3</v>
      </c>
      <c r="D40" s="226">
        <f ca="1">IFERROR((Inv_SY_B!D41/Inv_SY_B!$J41)-1,"")</f>
        <v>3.8019949181460344E-3</v>
      </c>
      <c r="E40" s="226">
        <f ca="1">IFERROR((Inv_SY_B!E41/Inv_SY_B!$J41)-1,"")</f>
        <v>-1.5401312375438847E-2</v>
      </c>
      <c r="F40" s="226">
        <f ca="1">IFERROR((Inv_SY_B!F41/Inv_SY_B!$J41)-1,"")</f>
        <v>-3.8063502145806449E-3</v>
      </c>
      <c r="G40" s="226">
        <f ca="1">IFERROR((Inv_SY_B!G41/Inv_SY_B!$J41)-1,"")</f>
        <v>-2.8197302204362451E-3</v>
      </c>
      <c r="H40" s="226">
        <f ca="1">IFERROR((Inv_SY_B!H41/Inv_SY_B!$J41)-1,"")</f>
        <v>1.2404566196478894E-2</v>
      </c>
      <c r="I40" s="226">
        <f ca="1">IFERROR((Inv_SY_B!I41/Inv_SY_B!$J41)-1,"")</f>
        <v>9.3207148499538928E-3</v>
      </c>
    </row>
    <row r="41" spans="2:9">
      <c r="B41" s="224">
        <f t="shared" ca="1" si="1"/>
        <v>45832</v>
      </c>
      <c r="C41" s="226">
        <f ca="1">IFERROR((Inv_SY_B!C42/Inv_SY_B!$J42)-1,"")</f>
        <v>2.6668729252765644E-3</v>
      </c>
      <c r="D41" s="226">
        <f ca="1">IFERROR((Inv_SY_B!D42/Inv_SY_B!$J42)-1,"")</f>
        <v>5.5598906501954648E-3</v>
      </c>
      <c r="E41" s="226">
        <f ca="1">IFERROR((Inv_SY_B!E42/Inv_SY_B!$J42)-1,"")</f>
        <v>-2.2406279950769825E-2</v>
      </c>
      <c r="F41" s="226">
        <f ca="1">IFERROR((Inv_SY_B!F42/Inv_SY_B!$J42)-1,"")</f>
        <v>-1.5693394574254449E-2</v>
      </c>
      <c r="G41" s="226">
        <f ca="1">IFERROR((Inv_SY_B!G42/Inv_SY_B!$J42)-1,"")</f>
        <v>-1.1345305487148405E-2</v>
      </c>
      <c r="H41" s="226">
        <f ca="1">IFERROR((Inv_SY_B!H42/Inv_SY_B!$J42)-1,"")</f>
        <v>2.5917187267591846E-2</v>
      </c>
      <c r="I41" s="226">
        <f ca="1">IFERROR((Inv_SY_B!I42/Inv_SY_B!$J42)-1,"")</f>
        <v>1.5301029169107583E-2</v>
      </c>
    </row>
    <row r="42" spans="2:9">
      <c r="B42" s="224">
        <f t="shared" ca="1" si="1"/>
        <v>45833</v>
      </c>
      <c r="C42" s="226">
        <f ca="1">IFERROR((Inv_SY_B!C43/Inv_SY_B!$J43)-1,"")</f>
        <v>-5.8463509886320653E-3</v>
      </c>
      <c r="D42" s="226">
        <f ca="1">IFERROR((Inv_SY_B!D43/Inv_SY_B!$J43)-1,"")</f>
        <v>1.6064372309743113E-3</v>
      </c>
      <c r="E42" s="226">
        <f ca="1">IFERROR((Inv_SY_B!E43/Inv_SY_B!$J43)-1,"")</f>
        <v>-1.2002454754518999E-2</v>
      </c>
      <c r="F42" s="226">
        <f ca="1">IFERROR((Inv_SY_B!F43/Inv_SY_B!$J43)-1,"")</f>
        <v>5.1802551478719039E-4</v>
      </c>
      <c r="G42" s="226">
        <f ca="1">IFERROR((Inv_SY_B!G43/Inv_SY_B!$J43)-1,"")</f>
        <v>1.2042556962836848E-3</v>
      </c>
      <c r="H42" s="226">
        <f ca="1">IFERROR((Inv_SY_B!H43/Inv_SY_B!$J43)-1,"")</f>
        <v>9.7120770693712721E-3</v>
      </c>
      <c r="I42" s="226">
        <f ca="1">IFERROR((Inv_SY_B!I43/Inv_SY_B!$J43)-1,"")</f>
        <v>4.8080102317342721E-3</v>
      </c>
    </row>
    <row r="43" spans="2:9">
      <c r="B43" s="224">
        <f t="shared" ca="1" si="1"/>
        <v>45834</v>
      </c>
      <c r="C43" s="226">
        <f ca="1">IFERROR((Inv_SY_B!C44/Inv_SY_B!$J44)-1,"")</f>
        <v>0.17923014436997597</v>
      </c>
      <c r="D43" s="226">
        <f ca="1">IFERROR((Inv_SY_B!D44/Inv_SY_B!$J44)-1,"")</f>
        <v>0.19792668078141729</v>
      </c>
      <c r="E43" s="226">
        <f ca="1">IFERROR((Inv_SY_B!E44/Inv_SY_B!$J44)-1,"")</f>
        <v>0.16694762739767754</v>
      </c>
      <c r="F43" s="226">
        <f ca="1">IFERROR((Inv_SY_B!F44/Inv_SY_B!$J44)-1,"")</f>
        <v>0.19028558137276752</v>
      </c>
      <c r="G43" s="226">
        <f ca="1">IFERROR((Inv_SY_B!G44/Inv_SY_B!$J44)-1,"")</f>
        <v>-0.63608275998328789</v>
      </c>
      <c r="H43" s="226">
        <f ca="1">IFERROR((Inv_SY_B!H44/Inv_SY_B!$J44)-1,"")</f>
        <v>-0.31286374547124729</v>
      </c>
      <c r="I43" s="226">
        <f ca="1">IFERROR((Inv_SY_B!I44/Inv_SY_B!$J44)-1,"")</f>
        <v>0.21455647153269708</v>
      </c>
    </row>
    <row r="44" spans="2:9">
      <c r="B44" s="224">
        <f t="shared" ca="1" si="1"/>
        <v>45835</v>
      </c>
      <c r="C44" s="226">
        <f ca="1">IFERROR((Inv_SY_B!C45/Inv_SY_B!$J45)-1,"")</f>
        <v>5.8773730862229367E-3</v>
      </c>
      <c r="D44" s="226">
        <f ca="1">IFERROR((Inv_SY_B!D45/Inv_SY_B!$J45)-1,"")</f>
        <v>1.1172720593363605E-2</v>
      </c>
      <c r="E44" s="226">
        <f ca="1">IFERROR((Inv_SY_B!E45/Inv_SY_B!$J45)-1,"")</f>
        <v>-2.1471689861324861E-2</v>
      </c>
      <c r="F44" s="226">
        <f ca="1">IFERROR((Inv_SY_B!F45/Inv_SY_B!$J45)-1,"")</f>
        <v>2.4308546786395713E-3</v>
      </c>
      <c r="G44" s="226">
        <f ca="1">IFERROR((Inv_SY_B!G45/Inv_SY_B!$J45)-1,"")</f>
        <v>-2.1353795883985005E-2</v>
      </c>
      <c r="H44" s="226">
        <f ca="1">IFERROR((Inv_SY_B!H45/Inv_SY_B!$J45)-1,"")</f>
        <v>1.3097392029354227E-2</v>
      </c>
      <c r="I44" s="226">
        <f ca="1">IFERROR((Inv_SY_B!I45/Inv_SY_B!$J45)-1,"")</f>
        <v>1.0247145357729082E-2</v>
      </c>
    </row>
    <row r="45" spans="2:9">
      <c r="B45" s="224">
        <f t="shared" ca="1" si="1"/>
        <v>45836</v>
      </c>
      <c r="C45" s="226">
        <f ca="1">IFERROR((Inv_SY_B!C46/Inv_SY_B!$J46)-1,"")</f>
        <v>-2.156127887315229E-3</v>
      </c>
      <c r="D45" s="226">
        <f ca="1">IFERROR((Inv_SY_B!D46/Inv_SY_B!$J46)-1,"")</f>
        <v>4.8396706845443838E-4</v>
      </c>
      <c r="E45" s="226">
        <f ca="1">IFERROR((Inv_SY_B!E46/Inv_SY_B!$J46)-1,"")</f>
        <v>-2.7906097281749531E-2</v>
      </c>
      <c r="F45" s="226">
        <f ca="1">IFERROR((Inv_SY_B!F46/Inv_SY_B!$J46)-1,"")</f>
        <v>-1.7111898975373574E-2</v>
      </c>
      <c r="G45" s="226">
        <f ca="1">IFERROR((Inv_SY_B!G46/Inv_SY_B!$J46)-1,"")</f>
        <v>-8.2446377273649452E-3</v>
      </c>
      <c r="H45" s="226">
        <f ca="1">IFERROR((Inv_SY_B!H46/Inv_SY_B!$J46)-1,"")</f>
        <v>3.0483451711260212E-2</v>
      </c>
      <c r="I45" s="226">
        <f ca="1">IFERROR((Inv_SY_B!I46/Inv_SY_B!$J46)-1,"")</f>
        <v>2.4451343092090072E-2</v>
      </c>
    </row>
    <row r="46" spans="2:9">
      <c r="B46" s="224">
        <f t="shared" ca="1" si="1"/>
        <v>45837</v>
      </c>
      <c r="C46" s="226">
        <f ca="1">IFERROR((Inv_SY_B!C47/Inv_SY_B!$J47)-1,"")</f>
        <v>1.4046058891645563E-2</v>
      </c>
      <c r="D46" s="226">
        <f ca="1">IFERROR((Inv_SY_B!D47/Inv_SY_B!$J47)-1,"")</f>
        <v>1.7201200075847467E-2</v>
      </c>
      <c r="E46" s="226">
        <f ca="1">IFERROR((Inv_SY_B!E47/Inv_SY_B!$J47)-1,"")</f>
        <v>-5.2059574023899158E-2</v>
      </c>
      <c r="F46" s="226">
        <f ca="1">IFERROR((Inv_SY_B!F47/Inv_SY_B!$J47)-1,"")</f>
        <v>-4.5783649396287096E-2</v>
      </c>
      <c r="G46" s="226">
        <f ca="1">IFERROR((Inv_SY_B!G47/Inv_SY_B!$J47)-1,"")</f>
        <v>-2.9770897708051192E-2</v>
      </c>
      <c r="H46" s="226">
        <f ca="1">IFERROR((Inv_SY_B!H47/Inv_SY_B!$J47)-1,"")</f>
        <v>6.5219590946149486E-2</v>
      </c>
      <c r="I46" s="226">
        <f ca="1">IFERROR((Inv_SY_B!I47/Inv_SY_B!$J47)-1,"")</f>
        <v>3.1147271214594818E-2</v>
      </c>
    </row>
    <row r="47" spans="2:9">
      <c r="B47" s="224">
        <f t="shared" ca="1" si="1"/>
        <v>45838</v>
      </c>
      <c r="C47" s="226">
        <f ca="1">IFERROR((Inv_SY_B!C48/Inv_SY_B!$J48)-1,"")</f>
        <v>-1.909362071969567E-3</v>
      </c>
      <c r="D47" s="226">
        <f ca="1">IFERROR((Inv_SY_B!D48/Inv_SY_B!$J48)-1,"")</f>
        <v>2.8432790723020851E-3</v>
      </c>
      <c r="E47" s="226">
        <f ca="1">IFERROR((Inv_SY_B!E48/Inv_SY_B!$J48)-1,"")</f>
        <v>-9.3885852987093399E-3</v>
      </c>
      <c r="F47" s="226">
        <f ca="1">IFERROR((Inv_SY_B!F48/Inv_SY_B!$J48)-1,"")</f>
        <v>9.7145471573578668E-4</v>
      </c>
      <c r="G47" s="226">
        <f ca="1">IFERROR((Inv_SY_B!G48/Inv_SY_B!$J48)-1,"")</f>
        <v>1.0513193934991172E-4</v>
      </c>
      <c r="H47" s="226">
        <f ca="1">IFERROR((Inv_SY_B!H48/Inv_SY_B!$J48)-1,"")</f>
        <v>1.0527420240232122E-2</v>
      </c>
      <c r="I47" s="226">
        <f ca="1">IFERROR((Inv_SY_B!I48/Inv_SY_B!$J48)-1,"")</f>
        <v>-3.1493385969405541E-3</v>
      </c>
    </row>
    <row r="48" spans="2:9">
      <c r="B48" s="224">
        <f t="shared" ca="1" si="1"/>
        <v>45839</v>
      </c>
      <c r="C48" s="226">
        <f ca="1">IFERROR((Inv_SY_B!C49/Inv_SY_B!$J49)-1,"")</f>
        <v>-2.0930300214720976E-3</v>
      </c>
      <c r="D48" s="226">
        <f ca="1">IFERROR((Inv_SY_B!D49/Inv_SY_B!$J49)-1,"")</f>
        <v>8.6726142111648308E-3</v>
      </c>
      <c r="E48" s="226">
        <f ca="1">IFERROR((Inv_SY_B!E49/Inv_SY_B!$J49)-1,"")</f>
        <v>-1.576897670495736E-2</v>
      </c>
      <c r="F48" s="226">
        <f ca="1">IFERROR((Inv_SY_B!F49/Inv_SY_B!$J49)-1,"")</f>
        <v>-2.2337152231864943E-3</v>
      </c>
      <c r="G48" s="226">
        <f ca="1">IFERROR((Inv_SY_B!G49/Inv_SY_B!$J49)-1,"")</f>
        <v>1.7031191837794335E-2</v>
      </c>
      <c r="H48" s="226">
        <f ca="1">IFERROR((Inv_SY_B!H49/Inv_SY_B!$J49)-1,"")</f>
        <v>4.428623168779966E-2</v>
      </c>
      <c r="I48" s="226">
        <f ca="1">IFERROR((Inv_SY_B!I49/Inv_SY_B!$J49)-1,"")</f>
        <v>-4.9894315787143095E-2</v>
      </c>
    </row>
    <row r="49" spans="2:9">
      <c r="B49" s="224">
        <f t="shared" ca="1" si="1"/>
        <v>45840</v>
      </c>
      <c r="C49" s="226">
        <f ca="1">IFERROR((Inv_SY_B!C50/Inv_SY_B!$J50)-1,"")</f>
        <v>1.1767401927265775E-2</v>
      </c>
      <c r="D49" s="226">
        <f ca="1">IFERROR((Inv_SY_B!D50/Inv_SY_B!$J50)-1,"")</f>
        <v>1.4581649705879274E-2</v>
      </c>
      <c r="E49" s="226">
        <f ca="1">IFERROR((Inv_SY_B!E50/Inv_SY_B!$J50)-1,"")</f>
        <v>-3.7493166215526119E-2</v>
      </c>
      <c r="F49" s="226">
        <f ca="1">IFERROR((Inv_SY_B!F50/Inv_SY_B!$J50)-1,"")</f>
        <v>-2.809870505718115E-2</v>
      </c>
      <c r="G49" s="226">
        <f ca="1">IFERROR((Inv_SY_B!G50/Inv_SY_B!$J50)-1,"")</f>
        <v>5.8862691998089467E-3</v>
      </c>
      <c r="H49" s="226">
        <f ca="1">IFERROR((Inv_SY_B!H50/Inv_SY_B!$J50)-1,"")</f>
        <v>2.3975762587119531E-2</v>
      </c>
      <c r="I49" s="226">
        <f ca="1">IFERROR((Inv_SY_B!I50/Inv_SY_B!$J50)-1,"")</f>
        <v>9.3807878526335209E-3</v>
      </c>
    </row>
    <row r="50" spans="2:9">
      <c r="B50" s="224">
        <f t="shared" ca="1" si="1"/>
        <v>45841</v>
      </c>
      <c r="C50" s="226">
        <f ca="1">IFERROR((Inv_SY_B!C51/Inv_SY_B!$J51)-1,"")</f>
        <v>6.4092610467545441E-3</v>
      </c>
      <c r="D50" s="226">
        <f ca="1">IFERROR((Inv_SY_B!D51/Inv_SY_B!$J51)-1,"")</f>
        <v>6.5585470890074937E-3</v>
      </c>
      <c r="E50" s="226">
        <f ca="1">IFERROR((Inv_SY_B!E51/Inv_SY_B!$J51)-1,"")</f>
        <v>-1.4015149122226789E-2</v>
      </c>
      <c r="F50" s="226">
        <f ca="1">IFERROR((Inv_SY_B!F51/Inv_SY_B!$J51)-1,"")</f>
        <v>-7.6841962730740399E-3</v>
      </c>
      <c r="G50" s="226">
        <f ca="1">IFERROR((Inv_SY_B!G51/Inv_SY_B!$J51)-1,"")</f>
        <v>-5.7321485283985396E-3</v>
      </c>
      <c r="H50" s="226">
        <f ca="1">IFERROR((Inv_SY_B!H51/Inv_SY_B!$J51)-1,"")</f>
        <v>1.6762913833296977E-2</v>
      </c>
      <c r="I50" s="226">
        <f ca="1">IFERROR((Inv_SY_B!I51/Inv_SY_B!$J51)-1,"")</f>
        <v>-2.2992280453594249E-3</v>
      </c>
    </row>
    <row r="51" spans="2:9">
      <c r="B51" s="224">
        <f t="shared" ca="1" si="1"/>
        <v>45842</v>
      </c>
      <c r="C51" s="226">
        <f ca="1">IFERROR((Inv_SY_B!C52/Inv_SY_B!$J52)-1,"")</f>
        <v>-3.4299261436967488E-3</v>
      </c>
      <c r="D51" s="226">
        <f ca="1">IFERROR((Inv_SY_B!D52/Inv_SY_B!$J52)-1,"")</f>
        <v>3.8851271940461007E-3</v>
      </c>
      <c r="E51" s="226">
        <f ca="1">IFERROR((Inv_SY_B!E52/Inv_SY_B!$J52)-1,"")</f>
        <v>-1.1621145682777723E-2</v>
      </c>
      <c r="F51" s="226">
        <f ca="1">IFERROR((Inv_SY_B!F52/Inv_SY_B!$J52)-1,"")</f>
        <v>2.2938026520979982E-4</v>
      </c>
      <c r="G51" s="226">
        <f ca="1">IFERROR((Inv_SY_B!G52/Inv_SY_B!$J52)-1,"")</f>
        <v>8.3608905571743719E-3</v>
      </c>
      <c r="H51" s="226">
        <f ca="1">IFERROR((Inv_SY_B!H52/Inv_SY_B!$J52)-1,"")</f>
        <v>7.6144994984592707E-3</v>
      </c>
      <c r="I51" s="226">
        <f ca="1">IFERROR((Inv_SY_B!I52/Inv_SY_B!$J52)-1,"")</f>
        <v>-5.0388256884159599E-3</v>
      </c>
    </row>
    <row r="52" spans="2:9">
      <c r="B52" s="224">
        <f t="shared" ca="1" si="1"/>
        <v>45843</v>
      </c>
      <c r="C52" s="226">
        <f ca="1">IFERROR((Inv_SY_B!C53/Inv_SY_B!$J53)-1,"")</f>
        <v>2.8625952378376063E-3</v>
      </c>
      <c r="D52" s="226">
        <f ca="1">IFERROR((Inv_SY_B!D53/Inv_SY_B!$J53)-1,"")</f>
        <v>6.888021307415837E-3</v>
      </c>
      <c r="E52" s="226">
        <f ca="1">IFERROR((Inv_SY_B!E53/Inv_SY_B!$J53)-1,"")</f>
        <v>-5.5022390523123965E-3</v>
      </c>
      <c r="F52" s="226">
        <f ca="1">IFERROR((Inv_SY_B!F53/Inv_SY_B!$J53)-1,"")</f>
        <v>1.2870901849879601E-3</v>
      </c>
      <c r="G52" s="226">
        <f ca="1">IFERROR((Inv_SY_B!G53/Inv_SY_B!$J53)-1,"")</f>
        <v>-1.4158195031719334E-3</v>
      </c>
      <c r="H52" s="226">
        <f ca="1">IFERROR((Inv_SY_B!H53/Inv_SY_B!$J53)-1,"")</f>
        <v>7.411976659032371E-3</v>
      </c>
      <c r="I52" s="226">
        <f ca="1">IFERROR((Inv_SY_B!I53/Inv_SY_B!$J53)-1,"")</f>
        <v>-1.1531624833790222E-2</v>
      </c>
    </row>
    <row r="53" spans="2:9">
      <c r="B53" s="224">
        <f t="shared" ca="1" si="1"/>
        <v>45844</v>
      </c>
      <c r="C53" s="226">
        <f ca="1">IFERROR((Inv_SY_B!C54/Inv_SY_B!$J54)-1,"")</f>
        <v>1.4936374733286462E-2</v>
      </c>
      <c r="D53" s="226">
        <f ca="1">IFERROR((Inv_SY_B!D54/Inv_SY_B!$J54)-1,"")</f>
        <v>1.9758404626116555E-2</v>
      </c>
      <c r="E53" s="226">
        <f ca="1">IFERROR((Inv_SY_B!E54/Inv_SY_B!$J54)-1,"")</f>
        <v>9.1818421355769342E-3</v>
      </c>
      <c r="F53" s="226">
        <f ca="1">IFERROR((Inv_SY_B!F54/Inv_SY_B!$J54)-1,"")</f>
        <v>-2.5905794273823668E-2</v>
      </c>
      <c r="G53" s="226">
        <f ca="1">IFERROR((Inv_SY_B!G54/Inv_SY_B!$J54)-1,"")</f>
        <v>-1.8983496127902066E-2</v>
      </c>
      <c r="H53" s="226">
        <f ca="1">IFERROR((Inv_SY_B!H54/Inv_SY_B!$J54)-1,"")</f>
        <v>1.7597439944659898E-2</v>
      </c>
      <c r="I53" s="226">
        <f ca="1">IFERROR((Inv_SY_B!I54/Inv_SY_B!$J54)-1,"")</f>
        <v>-1.6584771037913781E-2</v>
      </c>
    </row>
    <row r="54" spans="2:9">
      <c r="B54" s="224">
        <f t="shared" ca="1" si="1"/>
        <v>45845</v>
      </c>
      <c r="C54" s="226">
        <f ca="1">IFERROR((Inv_SY_B!C55/Inv_SY_B!$J55)-1,"")</f>
        <v>-1.3103455899723393E-3</v>
      </c>
      <c r="D54" s="226">
        <f ca="1">IFERROR((Inv_SY_B!D55/Inv_SY_B!$J55)-1,"")</f>
        <v>8.5043562494153679E-3</v>
      </c>
      <c r="E54" s="226">
        <f ca="1">IFERROR((Inv_SY_B!E55/Inv_SY_B!$J55)-1,"")</f>
        <v>-1.5076749754872165E-2</v>
      </c>
      <c r="F54" s="226">
        <f ca="1">IFERROR((Inv_SY_B!F55/Inv_SY_B!$J55)-1,"")</f>
        <v>-3.8296430300942541E-3</v>
      </c>
      <c r="G54" s="226">
        <f ca="1">IFERROR((Inv_SY_B!G55/Inv_SY_B!$J55)-1,"")</f>
        <v>-5.4862903763308601E-4</v>
      </c>
      <c r="H54" s="226">
        <f ca="1">IFERROR((Inv_SY_B!H55/Inv_SY_B!$J55)-1,"")</f>
        <v>1.2558191884035397E-2</v>
      </c>
      <c r="I54" s="226">
        <f ca="1">IFERROR((Inv_SY_B!I55/Inv_SY_B!$J55)-1,"")</f>
        <v>-2.9718072087858705E-4</v>
      </c>
    </row>
    <row r="55" spans="2:9">
      <c r="B55" s="224">
        <f t="shared" ca="1" si="1"/>
        <v>45846</v>
      </c>
      <c r="C55" s="226">
        <f ca="1">IFERROR((Inv_SY_B!C56/Inv_SY_B!$J56)-1,"")</f>
        <v>-9.5355182834083729E-3</v>
      </c>
      <c r="D55" s="226">
        <f ca="1">IFERROR((Inv_SY_B!D56/Inv_SY_B!$J56)-1,"")</f>
        <v>1.2446780511308209E-3</v>
      </c>
      <c r="E55" s="226">
        <f ca="1">IFERROR((Inv_SY_B!E56/Inv_SY_B!$J56)-1,"")</f>
        <v>-1.0613498573788793E-2</v>
      </c>
      <c r="F55" s="226">
        <f ca="1">IFERROR((Inv_SY_B!F56/Inv_SY_B!$J56)-1,"")</f>
        <v>2.2563565348039383E-3</v>
      </c>
      <c r="G55" s="226">
        <f ca="1">IFERROR((Inv_SY_B!G56/Inv_SY_B!$J56)-1,"")</f>
        <v>7.1039532341241607E-3</v>
      </c>
      <c r="H55" s="226">
        <f ca="1">IFERROR((Inv_SY_B!H56/Inv_SY_B!$J56)-1,"")</f>
        <v>1.1089640794873068E-2</v>
      </c>
      <c r="I55" s="226">
        <f ca="1">IFERROR((Inv_SY_B!I56/Inv_SY_B!$J56)-1,"")</f>
        <v>-1.5456117577358208E-3</v>
      </c>
    </row>
    <row r="56" spans="2:9">
      <c r="B56" s="224">
        <f t="shared" ca="1" si="1"/>
        <v>45847</v>
      </c>
      <c r="C56" s="226">
        <f ca="1">IFERROR((Inv_SY_B!C57/Inv_SY_B!$J57)-1,"")</f>
        <v>-3.4974434151203715E-3</v>
      </c>
      <c r="D56" s="226">
        <f ca="1">IFERROR((Inv_SY_B!D57/Inv_SY_B!$J57)-1,"")</f>
        <v>4.7289973846460498E-3</v>
      </c>
      <c r="E56" s="226">
        <f ca="1">IFERROR((Inv_SY_B!E57/Inv_SY_B!$J57)-1,"")</f>
        <v>-1.1361807237544097E-2</v>
      </c>
      <c r="F56" s="226">
        <f ca="1">IFERROR((Inv_SY_B!F57/Inv_SY_B!$J57)-1,"")</f>
        <v>-1.1201876767835683E-3</v>
      </c>
      <c r="G56" s="226">
        <f ca="1">IFERROR((Inv_SY_B!G57/Inv_SY_B!$J57)-1,"")</f>
        <v>-6.6378738000427706E-4</v>
      </c>
      <c r="H56" s="226">
        <f ca="1">IFERROR((Inv_SY_B!H57/Inv_SY_B!$J57)-1,"")</f>
        <v>8.8274401264230029E-3</v>
      </c>
      <c r="I56" s="226">
        <f ca="1">IFERROR((Inv_SY_B!I57/Inv_SY_B!$J57)-1,"")</f>
        <v>3.0867881983833723E-3</v>
      </c>
    </row>
    <row r="57" spans="2:9">
      <c r="B57" s="224">
        <f t="shared" ca="1" si="1"/>
        <v>45848</v>
      </c>
      <c r="C57" s="226">
        <f ca="1">IFERROR((Inv_SY_B!C58/Inv_SY_B!$J58)-1,"")</f>
        <v>-8.0293700499324272E-3</v>
      </c>
      <c r="D57" s="226">
        <f ca="1">IFERROR((Inv_SY_B!D58/Inv_SY_B!$J58)-1,"")</f>
        <v>-6.8182492430135522E-4</v>
      </c>
      <c r="E57" s="226">
        <f ca="1">IFERROR((Inv_SY_B!E58/Inv_SY_B!$J58)-1,"")</f>
        <v>-1.0181222640636811E-2</v>
      </c>
      <c r="F57" s="226">
        <f ca="1">IFERROR((Inv_SY_B!F58/Inv_SY_B!$J58)-1,"")</f>
        <v>-1.4737840504944755E-3</v>
      </c>
      <c r="G57" s="226">
        <f ca="1">IFERROR((Inv_SY_B!G58/Inv_SY_B!$J58)-1,"")</f>
        <v>-6.8895545048930362E-4</v>
      </c>
      <c r="H57" s="226">
        <f ca="1">IFERROR((Inv_SY_B!H58/Inv_SY_B!$J58)-1,"")</f>
        <v>1.4695816627886771E-2</v>
      </c>
      <c r="I57" s="226">
        <f ca="1">IFERROR((Inv_SY_B!I58/Inv_SY_B!$J58)-1,"")</f>
        <v>6.3593404879667137E-3</v>
      </c>
    </row>
    <row r="58" spans="2:9">
      <c r="B58" s="224">
        <f t="shared" ca="1" si="1"/>
        <v>45849</v>
      </c>
      <c r="C58" s="226">
        <f ca="1">IFERROR((Inv_SY_B!C59/Inv_SY_B!$J59)-1,"")</f>
        <v>-3.1565714354298002E-3</v>
      </c>
      <c r="D58" s="226">
        <f ca="1">IFERROR((Inv_SY_B!D59/Inv_SY_B!$J59)-1,"")</f>
        <v>1.5885905319723559E-3</v>
      </c>
      <c r="E58" s="226">
        <f ca="1">IFERROR((Inv_SY_B!E59/Inv_SY_B!$J59)-1,"")</f>
        <v>-2.1516033330426843E-2</v>
      </c>
      <c r="F58" s="226">
        <f ca="1">IFERROR((Inv_SY_B!F59/Inv_SY_B!$J59)-1,"")</f>
        <v>-1.5038445685489954E-2</v>
      </c>
      <c r="G58" s="226">
        <f ca="1">IFERROR((Inv_SY_B!G59/Inv_SY_B!$J59)-1,"")</f>
        <v>-1.5932907785791706E-3</v>
      </c>
      <c r="H58" s="226">
        <f ca="1">IFERROR((Inv_SY_B!H59/Inv_SY_B!$J59)-1,"")</f>
        <v>2.3059861876350896E-2</v>
      </c>
      <c r="I58" s="226">
        <f ca="1">IFERROR((Inv_SY_B!I59/Inv_SY_B!$J59)-1,"")</f>
        <v>1.6655888821602183E-2</v>
      </c>
    </row>
    <row r="59" spans="2:9">
      <c r="B59" s="224">
        <f t="shared" ca="1" si="1"/>
        <v>45850</v>
      </c>
      <c r="C59" s="226">
        <f ca="1">IFERROR((Inv_SY_B!C60/Inv_SY_B!$J60)-1,"")</f>
        <v>1.6067910049494927E-2</v>
      </c>
      <c r="D59" s="226">
        <f ca="1">IFERROR((Inv_SY_B!D60/Inv_SY_B!$J60)-1,"")</f>
        <v>1.8146216719659769E-2</v>
      </c>
      <c r="E59" s="226">
        <f ca="1">IFERROR((Inv_SY_B!E60/Inv_SY_B!$J60)-1,"")</f>
        <v>-9.4245635950702678E-3</v>
      </c>
      <c r="F59" s="226">
        <f ca="1">IFERROR((Inv_SY_B!F60/Inv_SY_B!$J60)-1,"")</f>
        <v>-4.3672453768477393E-3</v>
      </c>
      <c r="G59" s="226">
        <f ca="1">IFERROR((Inv_SY_B!G60/Inv_SY_B!$J60)-1,"")</f>
        <v>1.4806383082915708E-2</v>
      </c>
      <c r="H59" s="226">
        <f ca="1">IFERROR((Inv_SY_B!H60/Inv_SY_B!$J60)-1,"")</f>
        <v>-1.2024054114597948E-2</v>
      </c>
      <c r="I59" s="226">
        <f ca="1">IFERROR((Inv_SY_B!I60/Inv_SY_B!$J60)-1,"")</f>
        <v>-2.3204646765554671E-2</v>
      </c>
    </row>
    <row r="60" spans="2:9">
      <c r="B60" s="224">
        <f t="shared" ca="1" si="1"/>
        <v>45851</v>
      </c>
      <c r="C60" s="226">
        <f ca="1">IFERROR((Inv_SY_B!C61/Inv_SY_B!$J61)-1,"")</f>
        <v>-1.4046412772217298E-3</v>
      </c>
      <c r="D60" s="226">
        <f ca="1">IFERROR((Inv_SY_B!D61/Inv_SY_B!$J61)-1,"")</f>
        <v>4.8936893168300966E-3</v>
      </c>
      <c r="E60" s="226">
        <f ca="1">IFERROR((Inv_SY_B!E61/Inv_SY_B!$J61)-1,"")</f>
        <v>-9.7965037159450929E-3</v>
      </c>
      <c r="F60" s="226">
        <f ca="1">IFERROR((Inv_SY_B!F61/Inv_SY_B!$J61)-1,"")</f>
        <v>-4.203921018073431E-3</v>
      </c>
      <c r="G60" s="226">
        <f ca="1">IFERROR((Inv_SY_B!G61/Inv_SY_B!$J61)-1,"")</f>
        <v>-1.8996581083609021E-3</v>
      </c>
      <c r="H60" s="226">
        <f ca="1">IFERROR((Inv_SY_B!H61/Inv_SY_B!$J61)-1,"")</f>
        <v>1.0540908943563965E-2</v>
      </c>
      <c r="I60" s="226">
        <f ca="1">IFERROR((Inv_SY_B!I61/Inv_SY_B!$J61)-1,"")</f>
        <v>1.8701258592062064E-3</v>
      </c>
    </row>
    <row r="61" spans="2:9">
      <c r="B61" s="224">
        <f t="shared" ca="1" si="1"/>
        <v>45852</v>
      </c>
      <c r="C61" s="226">
        <f ca="1">IFERROR((Inv_SY_B!C62/Inv_SY_B!$J62)-1,"")</f>
        <v>-2.7529412587437019E-3</v>
      </c>
      <c r="D61" s="226">
        <f ca="1">IFERROR((Inv_SY_B!D62/Inv_SY_B!$J62)-1,"")</f>
        <v>6.8195457563400286E-3</v>
      </c>
      <c r="E61" s="226">
        <f ca="1">IFERROR((Inv_SY_B!E62/Inv_SY_B!$J62)-1,"")</f>
        <v>-2.9753279031343616E-2</v>
      </c>
      <c r="F61" s="226">
        <f ca="1">IFERROR((Inv_SY_B!F62/Inv_SY_B!$J62)-1,"")</f>
        <v>-1.9304516689993112E-2</v>
      </c>
      <c r="G61" s="226">
        <f ca="1">IFERROR((Inv_SY_B!G62/Inv_SY_B!$J62)-1,"")</f>
        <v>-3.7293110501807059E-3</v>
      </c>
      <c r="H61" s="226">
        <f ca="1">IFERROR((Inv_SY_B!H62/Inv_SY_B!$J62)-1,"")</f>
        <v>2.646127521746422E-2</v>
      </c>
      <c r="I61" s="226">
        <f ca="1">IFERROR((Inv_SY_B!I62/Inv_SY_B!$J62)-1,"")</f>
        <v>2.225922705645722E-2</v>
      </c>
    </row>
    <row r="62" spans="2:9">
      <c r="B62" s="224">
        <f t="shared" ca="1" si="1"/>
        <v>45853</v>
      </c>
      <c r="C62" s="226">
        <f ca="1">IFERROR((Inv_SY_B!C63/Inv_SY_B!$J63)-1,"")</f>
        <v>4.8529065061158061E-3</v>
      </c>
      <c r="D62" s="226">
        <f ca="1">IFERROR((Inv_SY_B!D63/Inv_SY_B!$J63)-1,"")</f>
        <v>-3.0140853439690751E-3</v>
      </c>
      <c r="E62" s="226">
        <f ca="1">IFERROR((Inv_SY_B!E63/Inv_SY_B!$J63)-1,"")</f>
        <v>-2.1949627010652506E-2</v>
      </c>
      <c r="F62" s="226">
        <f ca="1">IFERROR((Inv_SY_B!F63/Inv_SY_B!$J63)-1,"")</f>
        <v>-1.5493511012236616E-2</v>
      </c>
      <c r="G62" s="226">
        <f ca="1">IFERROR((Inv_SY_B!G63/Inv_SY_B!$J63)-1,"")</f>
        <v>-7.9426020648450946E-3</v>
      </c>
      <c r="H62" s="226">
        <f ca="1">IFERROR((Inv_SY_B!H63/Inv_SY_B!$J63)-1,"")</f>
        <v>2.7645875517142482E-2</v>
      </c>
      <c r="I62" s="226">
        <f ca="1">IFERROR((Inv_SY_B!I63/Inv_SY_B!$J63)-1,"")</f>
        <v>1.590104340844456E-2</v>
      </c>
    </row>
    <row r="63" spans="2:9">
      <c r="B63" s="224">
        <f t="shared" ca="1" si="1"/>
        <v>45854</v>
      </c>
      <c r="C63" s="226" t="str">
        <f ca="1">IFERROR((Inv_SY_B!C64/Inv_SY_B!$J64)-1,"")</f>
        <v/>
      </c>
      <c r="D63" s="226" t="str">
        <f ca="1">IFERROR((Inv_SY_B!D64/Inv_SY_B!$J64)-1,"")</f>
        <v/>
      </c>
      <c r="E63" s="226" t="str">
        <f ca="1">IFERROR((Inv_SY_B!E64/Inv_SY_B!$J64)-1,"")</f>
        <v/>
      </c>
      <c r="F63" s="226" t="str">
        <f ca="1">IFERROR((Inv_SY_B!F64/Inv_SY_B!$J64)-1,"")</f>
        <v/>
      </c>
      <c r="G63" s="226" t="str">
        <f ca="1">IFERROR((Inv_SY_B!G64/Inv_SY_B!$J64)-1,"")</f>
        <v/>
      </c>
      <c r="H63" s="226" t="str">
        <f ca="1">IFERROR((Inv_SY_B!H64/Inv_SY_B!$J64)-1,"")</f>
        <v/>
      </c>
      <c r="I63" s="226" t="str">
        <f ca="1">IFERROR((Inv_SY_B!I64/Inv_SY_B!$J64)-1,"")</f>
        <v/>
      </c>
    </row>
  </sheetData>
  <phoneticPr fontId="62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M64" sqref="M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</cols>
  <sheetData>
    <row r="1" spans="2:9">
      <c r="B1" t="s">
        <v>397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</row>
    <row r="4" spans="2:9">
      <c r="B4" s="224">
        <f t="shared" ref="B4" ca="1" si="1">TODAY()-60</f>
        <v>45794</v>
      </c>
      <c r="C4" s="333">
        <f ca="1">IFERROR(VLOOKUP($B4,RD[[#All],[Date]:[IS4Inv2]],C$2,0)/C$1/_xlfn.XLOOKUP(Inv_SY_B12[[#This Row],[Date]],Daily_KPI[Date],Daily_KPI[POA-UP(KWh/m2)]),"")</f>
        <v>0.8320394845827912</v>
      </c>
      <c r="D4" s="333">
        <f ca="1">IFERROR(VLOOKUP($B4,RD[[#All],[Date]:[IS4Inv2]],D$2,0)/D$1/_xlfn.XLOOKUP(Inv_SY_B12[[#This Row],[Date]],Daily_KPI[Date],Daily_KPI[POA-UP(KWh/m2)]),"")</f>
        <v>0.83071405650416374</v>
      </c>
      <c r="E4" s="333">
        <f ca="1">IFERROR(VLOOKUP($B4,RD[[#All],[Date]:[IS4Inv2]],E$2,0)/E$1/_xlfn.XLOOKUP(Inv_SY_B12[[#This Row],[Date]],Daily_KPI[Date],Daily_KPI[POA-UP(KWh/m2)]),"")</f>
        <v>0.81100269098379463</v>
      </c>
      <c r="F4" s="333">
        <f ca="1">IFERROR(VLOOKUP($B4,RD[[#All],[Date]:[IS4Inv2]],F$2,0)/F$1/_xlfn.XLOOKUP(Inv_SY_B12[[#This Row],[Date]],Daily_KPI[Date],Daily_KPI[POA-UP(KWh/m2)]),"")</f>
        <v>0.82115746890705943</v>
      </c>
      <c r="G4" s="333">
        <f ca="1">IFERROR(VLOOKUP($B4,RD[[#All],[Date]:[IS4Inv2]],G$2,0)/G$1/_xlfn.XLOOKUP(Inv_SY_B12[[#This Row],[Date]],Daily_KPI[Date],Daily_KPI[POA-UP(KWh/m2)]),"")</f>
        <v>0.82048301404961521</v>
      </c>
      <c r="H4" s="333">
        <f ca="1">IFERROR(VLOOKUP($B4,RD[[#All],[Date]:[IS4Inv2]],H$2,0)/H$1/_xlfn.XLOOKUP(Inv_SY_B12[[#This Row],[Date]],Daily_KPI[Date],Daily_KPI[POA-UP(KWh/m2)]),"")</f>
        <v>0.84474760193958187</v>
      </c>
      <c r="I4" s="333">
        <f ca="1">IFERROR(VLOOKUP($B4,RD[[#All],[Date]:[IS4Inv2]],I$2,0)/I$1/_xlfn.XLOOKUP(Inv_SY_B12[[#This Row],[Date]],Daily_KPI[Date],Daily_KPI[POA-UP(KWh/m2)]),"")</f>
        <v>0.83424324609911582</v>
      </c>
    </row>
    <row r="5" spans="2:9">
      <c r="B5" s="224">
        <f ca="1">B4+1</f>
        <v>45795</v>
      </c>
      <c r="C5" s="333">
        <f ca="1">IFERROR(VLOOKUP($B5,RD[[#All],[Date]:[IS4Inv2]],C$2,0)/C$1/_xlfn.XLOOKUP(Inv_SY_B12[[#This Row],[Date]],Daily_KPI[Date],Daily_KPI[POA-UP(KWh/m2)]),"")</f>
        <v>0.81327099235987155</v>
      </c>
      <c r="D5" s="333">
        <f ca="1">IFERROR(VLOOKUP($B5,RD[[#All],[Date]:[IS4Inv2]],D$2,0)/D$1/_xlfn.XLOOKUP(Inv_SY_B12[[#This Row],[Date]],Daily_KPI[Date],Daily_KPI[POA-UP(KWh/m2)]),"")</f>
        <v>0.82329840855397185</v>
      </c>
      <c r="E5" s="333">
        <f ca="1">IFERROR(VLOOKUP($B5,RD[[#All],[Date]:[IS4Inv2]],E$2,0)/E$1/_xlfn.XLOOKUP(Inv_SY_B12[[#This Row],[Date]],Daily_KPI[Date],Daily_KPI[POA-UP(KWh/m2)]),"")</f>
        <v>0.80493460670545691</v>
      </c>
      <c r="F5" s="333">
        <f ca="1">IFERROR(VLOOKUP($B5,RD[[#All],[Date]:[IS4Inv2]],F$2,0)/F$1/_xlfn.XLOOKUP(Inv_SY_B12[[#This Row],[Date]],Daily_KPI[Date],Daily_KPI[POA-UP(KWh/m2)]),"")</f>
        <v>0.82642444040597185</v>
      </c>
      <c r="G5" s="333">
        <f ca="1">IFERROR(VLOOKUP($B5,RD[[#All],[Date]:[IS4Inv2]],G$2,0)/G$1/_xlfn.XLOOKUP(Inv_SY_B12[[#This Row],[Date]],Daily_KPI[Date],Daily_KPI[POA-UP(KWh/m2)]),"")</f>
        <v>0.83575226257232849</v>
      </c>
      <c r="H5" s="333">
        <f ca="1">IFERROR(VLOOKUP($B5,RD[[#All],[Date]:[IS4Inv2]],H$2,0)/H$1/_xlfn.XLOOKUP(Inv_SY_B12[[#This Row],[Date]],Daily_KPI[Date],Daily_KPI[POA-UP(KWh/m2)]),"")</f>
        <v>0.78277666461989237</v>
      </c>
      <c r="I5" s="333">
        <f ca="1">IFERROR(VLOOKUP($B5,RD[[#All],[Date]:[IS4Inv2]],I$2,0)/I$1/_xlfn.XLOOKUP(Inv_SY_B12[[#This Row],[Date]],Daily_KPI[Date],Daily_KPI[POA-UP(KWh/m2)]),"")</f>
        <v>0.83128992556205494</v>
      </c>
    </row>
    <row r="6" spans="2:9">
      <c r="B6" s="224">
        <f t="shared" ref="B6:B64" ca="1" si="2">B5+1</f>
        <v>45796</v>
      </c>
      <c r="C6" s="333">
        <f ca="1">IFERROR(VLOOKUP($B6,RD[[#All],[Date]:[IS4Inv2]],C$2,0)/C$1/_xlfn.XLOOKUP(Inv_SY_B12[[#This Row],[Date]],Daily_KPI[Date],Daily_KPI[POA-UP(KWh/m2)]),"")</f>
        <v>0.84681792823818569</v>
      </c>
      <c r="D6" s="333">
        <f ca="1">IFERROR(VLOOKUP($B6,RD[[#All],[Date]:[IS4Inv2]],D$2,0)/D$1/_xlfn.XLOOKUP(Inv_SY_B12[[#This Row],[Date]],Daily_KPI[Date],Daily_KPI[POA-UP(KWh/m2)]),"")</f>
        <v>0.85688750556404214</v>
      </c>
      <c r="E6" s="333">
        <f ca="1">IFERROR(VLOOKUP($B6,RD[[#All],[Date]:[IS4Inv2]],E$2,0)/E$1/_xlfn.XLOOKUP(Inv_SY_B12[[#This Row],[Date]],Daily_KPI[Date],Daily_KPI[POA-UP(KWh/m2)]),"")</f>
        <v>0.83039797888733546</v>
      </c>
      <c r="F6" s="333">
        <f ca="1">IFERROR(VLOOKUP($B6,RD[[#All],[Date]:[IS4Inv2]],F$2,0)/F$1/_xlfn.XLOOKUP(Inv_SY_B12[[#This Row],[Date]],Daily_KPI[Date],Daily_KPI[POA-UP(KWh/m2)]),"")</f>
        <v>0.85319944595525155</v>
      </c>
      <c r="G6" s="333">
        <f ca="1">IFERROR(VLOOKUP($B6,RD[[#All],[Date]:[IS4Inv2]],G$2,0)/G$1/_xlfn.XLOOKUP(Inv_SY_B12[[#This Row],[Date]],Daily_KPI[Date],Daily_KPI[POA-UP(KWh/m2)]),"")</f>
        <v>0.87101468805610271</v>
      </c>
      <c r="H6" s="333">
        <f ca="1">IFERROR(VLOOKUP($B6,RD[[#All],[Date]:[IS4Inv2]],H$2,0)/H$1/_xlfn.XLOOKUP(Inv_SY_B12[[#This Row],[Date]],Daily_KPI[Date],Daily_KPI[POA-UP(KWh/m2)]),"")</f>
        <v>0.84094156054997671</v>
      </c>
      <c r="I6" s="333">
        <f ca="1">IFERROR(VLOOKUP($B6,RD[[#All],[Date]:[IS4Inv2]],I$2,0)/I$1/_xlfn.XLOOKUP(Inv_SY_B12[[#This Row],[Date]],Daily_KPI[Date],Daily_KPI[POA-UP(KWh/m2)]),"")</f>
        <v>0.87287250057559818</v>
      </c>
    </row>
    <row r="7" spans="2:9">
      <c r="B7" s="224">
        <f t="shared" ca="1" si="2"/>
        <v>45797</v>
      </c>
      <c r="C7" s="333">
        <f ca="1">IFERROR(VLOOKUP($B7,RD[[#All],[Date]:[IS4Inv2]],C$2,0)/C$1/_xlfn.XLOOKUP(Inv_SY_B12[[#This Row],[Date]],Daily_KPI[Date],Daily_KPI[POA-UP(KWh/m2)]),"")</f>
        <v>0.84808064089366975</v>
      </c>
      <c r="D7" s="333">
        <f ca="1">IFERROR(VLOOKUP($B7,RD[[#All],[Date]:[IS4Inv2]],D$2,0)/D$1/_xlfn.XLOOKUP(Inv_SY_B12[[#This Row],[Date]],Daily_KPI[Date],Daily_KPI[POA-UP(KWh/m2)]),"")</f>
        <v>0.85469845592724658</v>
      </c>
      <c r="E7" s="333">
        <f ca="1">IFERROR(VLOOKUP($B7,RD[[#All],[Date]:[IS4Inv2]],E$2,0)/E$1/_xlfn.XLOOKUP(Inv_SY_B12[[#This Row],[Date]],Daily_KPI[Date],Daily_KPI[POA-UP(KWh/m2)]),"")</f>
        <v>0.84356276126523289</v>
      </c>
      <c r="F7" s="333">
        <f ca="1">IFERROR(VLOOKUP($B7,RD[[#All],[Date]:[IS4Inv2]],F$2,0)/F$1/_xlfn.XLOOKUP(Inv_SY_B12[[#This Row],[Date]],Daily_KPI[Date],Daily_KPI[POA-UP(KWh/m2)]),"")</f>
        <v>0.86435191122919452</v>
      </c>
      <c r="G7" s="333">
        <f ca="1">IFERROR(VLOOKUP($B7,RD[[#All],[Date]:[IS4Inv2]],G$2,0)/G$1/_xlfn.XLOOKUP(Inv_SY_B12[[#This Row],[Date]],Daily_KPI[Date],Daily_KPI[POA-UP(KWh/m2)]),"")</f>
        <v>0.86615061448417285</v>
      </c>
      <c r="H7" s="333">
        <f ca="1">IFERROR(VLOOKUP($B7,RD[[#All],[Date]:[IS4Inv2]],H$2,0)/H$1/_xlfn.XLOOKUP(Inv_SY_B12[[#This Row],[Date]],Daily_KPI[Date],Daily_KPI[POA-UP(KWh/m2)]),"")</f>
        <v>0.86163003019874984</v>
      </c>
      <c r="I7" s="333">
        <f ca="1">IFERROR(VLOOKUP($B7,RD[[#All],[Date]:[IS4Inv2]],I$2,0)/I$1/_xlfn.XLOOKUP(Inv_SY_B12[[#This Row],[Date]],Daily_KPI[Date],Daily_KPI[POA-UP(KWh/m2)]),"")</f>
        <v>0.86109532717440573</v>
      </c>
    </row>
    <row r="8" spans="2:9">
      <c r="B8" s="224">
        <f t="shared" ca="1" si="2"/>
        <v>45798</v>
      </c>
      <c r="C8" s="333">
        <f ca="1">IFERROR(VLOOKUP($B8,RD[[#All],[Date]:[IS4Inv2]],C$2,0)/C$1/_xlfn.XLOOKUP(Inv_SY_B12[[#This Row],[Date]],Daily_KPI[Date],Daily_KPI[POA-UP(KWh/m2)]),"")</f>
        <v>0.88267684343537067</v>
      </c>
      <c r="D8" s="333">
        <f ca="1">IFERROR(VLOOKUP($B8,RD[[#All],[Date]:[IS4Inv2]],D$2,0)/D$1/_xlfn.XLOOKUP(Inv_SY_B12[[#This Row],[Date]],Daily_KPI[Date],Daily_KPI[POA-UP(KWh/m2)]),"")</f>
        <v>0.89551602977333522</v>
      </c>
      <c r="E8" s="333">
        <f ca="1">IFERROR(VLOOKUP($B8,RD[[#All],[Date]:[IS4Inv2]],E$2,0)/E$1/_xlfn.XLOOKUP(Inv_SY_B12[[#This Row],[Date]],Daily_KPI[Date],Daily_KPI[POA-UP(KWh/m2)]),"")</f>
        <v>0.89160455061741462</v>
      </c>
      <c r="F8" s="333">
        <f ca="1">IFERROR(VLOOKUP($B8,RD[[#All],[Date]:[IS4Inv2]],F$2,0)/F$1/_xlfn.XLOOKUP(Inv_SY_B12[[#This Row],[Date]],Daily_KPI[Date],Daily_KPI[POA-UP(KWh/m2)]),"")</f>
        <v>0.90970502368133277</v>
      </c>
      <c r="G8" s="333">
        <f ca="1">IFERROR(VLOOKUP($B8,RD[[#All],[Date]:[IS4Inv2]],G$2,0)/G$1/_xlfn.XLOOKUP(Inv_SY_B12[[#This Row],[Date]],Daily_KPI[Date],Daily_KPI[POA-UP(KWh/m2)]),"")</f>
        <v>0.90830742932033193</v>
      </c>
      <c r="H8" s="333">
        <f ca="1">IFERROR(VLOOKUP($B8,RD[[#All],[Date]:[IS4Inv2]],H$2,0)/H$1/_xlfn.XLOOKUP(Inv_SY_B12[[#This Row],[Date]],Daily_KPI[Date],Daily_KPI[POA-UP(KWh/m2)]),"")</f>
        <v>0.89747023381553592</v>
      </c>
      <c r="I8" s="333">
        <f ca="1">IFERROR(VLOOKUP($B8,RD[[#All],[Date]:[IS4Inv2]],I$2,0)/I$1/_xlfn.XLOOKUP(Inv_SY_B12[[#This Row],[Date]],Daily_KPI[Date],Daily_KPI[POA-UP(KWh/m2)]),"")</f>
        <v>0.89316977509993944</v>
      </c>
    </row>
    <row r="9" spans="2:9">
      <c r="B9" s="224">
        <f t="shared" ca="1" si="2"/>
        <v>45799</v>
      </c>
      <c r="C9" s="333">
        <f ca="1">IFERROR(VLOOKUP($B9,RD[[#All],[Date]:[IS4Inv2]],C$2,0)/C$1/_xlfn.XLOOKUP(Inv_SY_B12[[#This Row],[Date]],Daily_KPI[Date],Daily_KPI[POA-UP(KWh/m2)]),"")</f>
        <v>0.77903450756575654</v>
      </c>
      <c r="D9" s="333">
        <f ca="1">IFERROR(VLOOKUP($B9,RD[[#All],[Date]:[IS4Inv2]],D$2,0)/D$1/_xlfn.XLOOKUP(Inv_SY_B12[[#This Row],[Date]],Daily_KPI[Date],Daily_KPI[POA-UP(KWh/m2)]),"")</f>
        <v>0.8760213643705056</v>
      </c>
      <c r="E9" s="333">
        <f ca="1">IFERROR(VLOOKUP($B9,RD[[#All],[Date]:[IS4Inv2]],E$2,0)/E$1/_xlfn.XLOOKUP(Inv_SY_B12[[#This Row],[Date]],Daily_KPI[Date],Daily_KPI[POA-UP(KWh/m2)]),"")</f>
        <v>0.88206923269320525</v>
      </c>
      <c r="F9" s="333">
        <f ca="1">IFERROR(VLOOKUP($B9,RD[[#All],[Date]:[IS4Inv2]],F$2,0)/F$1/_xlfn.XLOOKUP(Inv_SY_B12[[#This Row],[Date]],Daily_KPI[Date],Daily_KPI[POA-UP(KWh/m2)]),"")</f>
        <v>0.91007061379725263</v>
      </c>
      <c r="G9" s="333">
        <f ca="1">IFERROR(VLOOKUP($B9,RD[[#All],[Date]:[IS4Inv2]],G$2,0)/G$1/_xlfn.XLOOKUP(Inv_SY_B12[[#This Row],[Date]],Daily_KPI[Date],Daily_KPI[POA-UP(KWh/m2)]),"")</f>
        <v>0.92617921499978262</v>
      </c>
      <c r="H9" s="333">
        <f ca="1">IFERROR(VLOOKUP($B9,RD[[#All],[Date]:[IS4Inv2]],H$2,0)/H$1/_xlfn.XLOOKUP(Inv_SY_B12[[#This Row],[Date]],Daily_KPI[Date],Daily_KPI[POA-UP(KWh/m2)]),"")</f>
        <v>0.91582434754692754</v>
      </c>
      <c r="I9" s="333">
        <f ca="1">IFERROR(VLOOKUP($B9,RD[[#All],[Date]:[IS4Inv2]],I$2,0)/I$1/_xlfn.XLOOKUP(Inv_SY_B12[[#This Row],[Date]],Daily_KPI[Date],Daily_KPI[POA-UP(KWh/m2)]),"")</f>
        <v>0.91563550440004537</v>
      </c>
    </row>
    <row r="10" spans="2:9">
      <c r="B10" s="224">
        <f t="shared" ca="1" si="2"/>
        <v>45800</v>
      </c>
      <c r="C10" s="333">
        <f ca="1">IFERROR(VLOOKUP($B10,RD[[#All],[Date]:[IS4Inv2]],C$2,0)/C$1/_xlfn.XLOOKUP(Inv_SY_B12[[#This Row],[Date]],Daily_KPI[Date],Daily_KPI[POA-UP(KWh/m2)]),"")</f>
        <v>0.87231330239361204</v>
      </c>
      <c r="D10" s="333">
        <f ca="1">IFERROR(VLOOKUP($B10,RD[[#All],[Date]:[IS4Inv2]],D$2,0)/D$1/_xlfn.XLOOKUP(Inv_SY_B12[[#This Row],[Date]],Daily_KPI[Date],Daily_KPI[POA-UP(KWh/m2)]),"")</f>
        <v>0.88906248454510262</v>
      </c>
      <c r="E10" s="333">
        <f ca="1">IFERROR(VLOOKUP($B10,RD[[#All],[Date]:[IS4Inv2]],E$2,0)/E$1/_xlfn.XLOOKUP(Inv_SY_B12[[#This Row],[Date]],Daily_KPI[Date],Daily_KPI[POA-UP(KWh/m2)]),"")</f>
        <v>0.88100188602359686</v>
      </c>
      <c r="F10" s="333">
        <f ca="1">IFERROR(VLOOKUP($B10,RD[[#All],[Date]:[IS4Inv2]],F$2,0)/F$1/_xlfn.XLOOKUP(Inv_SY_B12[[#This Row],[Date]],Daily_KPI[Date],Daily_KPI[POA-UP(KWh/m2)]),"")</f>
        <v>0.90581342987915903</v>
      </c>
      <c r="G10" s="333">
        <f ca="1">IFERROR(VLOOKUP($B10,RD[[#All],[Date]:[IS4Inv2]],G$2,0)/G$1/_xlfn.XLOOKUP(Inv_SY_B12[[#This Row],[Date]],Daily_KPI[Date],Daily_KPI[POA-UP(KWh/m2)]),"")</f>
        <v>0.91515220352796012</v>
      </c>
      <c r="H10" s="333">
        <f ca="1">IFERROR(VLOOKUP($B10,RD[[#All],[Date]:[IS4Inv2]],H$2,0)/H$1/_xlfn.XLOOKUP(Inv_SY_B12[[#This Row],[Date]],Daily_KPI[Date],Daily_KPI[POA-UP(KWh/m2)]),"")</f>
        <v>0.8989636807803677</v>
      </c>
      <c r="I10" s="333">
        <f ca="1">IFERROR(VLOOKUP($B10,RD[[#All],[Date]:[IS4Inv2]],I$2,0)/I$1/_xlfn.XLOOKUP(Inv_SY_B12[[#This Row],[Date]],Daily_KPI[Date],Daily_KPI[POA-UP(KWh/m2)]),"")</f>
        <v>0.89958295251680587</v>
      </c>
    </row>
    <row r="11" spans="2:9">
      <c r="B11" s="224">
        <f t="shared" ca="1" si="2"/>
        <v>45801</v>
      </c>
      <c r="C11" s="333">
        <f ca="1">IFERROR(VLOOKUP($B11,RD[[#All],[Date]:[IS4Inv2]],C$2,0)/C$1/_xlfn.XLOOKUP(Inv_SY_B12[[#This Row],[Date]],Daily_KPI[Date],Daily_KPI[POA-UP(KWh/m2)]),"")</f>
        <v>0.68859791646508994</v>
      </c>
      <c r="D11" s="333">
        <f ca="1">IFERROR(VLOOKUP($B11,RD[[#All],[Date]:[IS4Inv2]],D$2,0)/D$1/_xlfn.XLOOKUP(Inv_SY_B12[[#This Row],[Date]],Daily_KPI[Date],Daily_KPI[POA-UP(KWh/m2)]),"")</f>
        <v>0.74375685612206988</v>
      </c>
      <c r="E11" s="333">
        <f ca="1">IFERROR(VLOOKUP($B11,RD[[#All],[Date]:[IS4Inv2]],E$2,0)/E$1/_xlfn.XLOOKUP(Inv_SY_B12[[#This Row],[Date]],Daily_KPI[Date],Daily_KPI[POA-UP(KWh/m2)]),"")</f>
        <v>0.7441997856116529</v>
      </c>
      <c r="F11" s="333">
        <f ca="1">IFERROR(VLOOKUP($B11,RD[[#All],[Date]:[IS4Inv2]],F$2,0)/F$1/_xlfn.XLOOKUP(Inv_SY_B12[[#This Row],[Date]],Daily_KPI[Date],Daily_KPI[POA-UP(KWh/m2)]),"")</f>
        <v>0.7605126931220263</v>
      </c>
      <c r="G11" s="333">
        <f ca="1">IFERROR(VLOOKUP($B11,RD[[#All],[Date]:[IS4Inv2]],G$2,0)/G$1/_xlfn.XLOOKUP(Inv_SY_B12[[#This Row],[Date]],Daily_KPI[Date],Daily_KPI[POA-UP(KWh/m2)]),"")</f>
        <v>0.76685445507798455</v>
      </c>
      <c r="H11" s="333">
        <f ca="1">IFERROR(VLOOKUP($B11,RD[[#All],[Date]:[IS4Inv2]],H$2,0)/H$1/_xlfn.XLOOKUP(Inv_SY_B12[[#This Row],[Date]],Daily_KPI[Date],Daily_KPI[POA-UP(KWh/m2)]),"")</f>
        <v>0.79013574703229883</v>
      </c>
      <c r="I11" s="333">
        <f ca="1">IFERROR(VLOOKUP($B11,RD[[#All],[Date]:[IS4Inv2]],I$2,0)/I$1/_xlfn.XLOOKUP(Inv_SY_B12[[#This Row],[Date]],Daily_KPI[Date],Daily_KPI[POA-UP(KWh/m2)]),"")</f>
        <v>0.7918537659916971</v>
      </c>
    </row>
    <row r="12" spans="2:9">
      <c r="B12" s="224">
        <f t="shared" ca="1" si="2"/>
        <v>45802</v>
      </c>
      <c r="C12" s="333">
        <f ca="1">IFERROR(VLOOKUP($B12,RD[[#All],[Date]:[IS4Inv2]],C$2,0)/C$1/_xlfn.XLOOKUP(Inv_SY_B12[[#This Row],[Date]],Daily_KPI[Date],Daily_KPI[POA-UP(KWh/m2)]),"")</f>
        <v>0.8271065552874034</v>
      </c>
      <c r="D12" s="333">
        <f ca="1">IFERROR(VLOOKUP($B12,RD[[#All],[Date]:[IS4Inv2]],D$2,0)/D$1/_xlfn.XLOOKUP(Inv_SY_B12[[#This Row],[Date]],Daily_KPI[Date],Daily_KPI[POA-UP(KWh/m2)]),"")</f>
        <v>0.82482613317957598</v>
      </c>
      <c r="E12" s="333">
        <f ca="1">IFERROR(VLOOKUP($B12,RD[[#All],[Date]:[IS4Inv2]],E$2,0)/E$1/_xlfn.XLOOKUP(Inv_SY_B12[[#This Row],[Date]],Daily_KPI[Date],Daily_KPI[POA-UP(KWh/m2)]),"")</f>
        <v>0.81152995006258088</v>
      </c>
      <c r="F12" s="333">
        <f ca="1">IFERROR(VLOOKUP($B12,RD[[#All],[Date]:[IS4Inv2]],F$2,0)/F$1/_xlfn.XLOOKUP(Inv_SY_B12[[#This Row],[Date]],Daily_KPI[Date],Daily_KPI[POA-UP(KWh/m2)]),"")</f>
        <v>0.81622131897469696</v>
      </c>
      <c r="G12" s="333">
        <f ca="1">IFERROR(VLOOKUP($B12,RD[[#All],[Date]:[IS4Inv2]],G$2,0)/G$1/_xlfn.XLOOKUP(Inv_SY_B12[[#This Row],[Date]],Daily_KPI[Date],Daily_KPI[POA-UP(KWh/m2)]),"")</f>
        <v>0.82557820016256112</v>
      </c>
      <c r="H12" s="333">
        <f ca="1">IFERROR(VLOOKUP($B12,RD[[#All],[Date]:[IS4Inv2]],H$2,0)/H$1/_xlfn.XLOOKUP(Inv_SY_B12[[#This Row],[Date]],Daily_KPI[Date],Daily_KPI[POA-UP(KWh/m2)]),"")</f>
        <v>0.76846261786462144</v>
      </c>
      <c r="I12" s="333">
        <f ca="1">IFERROR(VLOOKUP($B12,RD[[#All],[Date]:[IS4Inv2]],I$2,0)/I$1/_xlfn.XLOOKUP(Inv_SY_B12[[#This Row],[Date]],Daily_KPI[Date],Daily_KPI[POA-UP(KWh/m2)]),"")</f>
        <v>0.75896065397053536</v>
      </c>
    </row>
    <row r="13" spans="2:9">
      <c r="B13" s="224">
        <f t="shared" ca="1" si="2"/>
        <v>45803</v>
      </c>
      <c r="C13" s="333">
        <f ca="1">IFERROR(VLOOKUP($B13,RD[[#All],[Date]:[IS4Inv2]],C$2,0)/C$1/_xlfn.XLOOKUP(Inv_SY_B12[[#This Row],[Date]],Daily_KPI[Date],Daily_KPI[POA-UP(KWh/m2)]),"")</f>
        <v>0.84172763396676897</v>
      </c>
      <c r="D13" s="333">
        <f ca="1">IFERROR(VLOOKUP($B13,RD[[#All],[Date]:[IS4Inv2]],D$2,0)/D$1/_xlfn.XLOOKUP(Inv_SY_B12[[#This Row],[Date]],Daily_KPI[Date],Daily_KPI[POA-UP(KWh/m2)]),"")</f>
        <v>0.84455275217346237</v>
      </c>
      <c r="E13" s="333">
        <f ca="1">IFERROR(VLOOKUP($B13,RD[[#All],[Date]:[IS4Inv2]],E$2,0)/E$1/_xlfn.XLOOKUP(Inv_SY_B12[[#This Row],[Date]],Daily_KPI[Date],Daily_KPI[POA-UP(KWh/m2)]),"")</f>
        <v>0.82260763286750127</v>
      </c>
      <c r="F13" s="333">
        <f ca="1">IFERROR(VLOOKUP($B13,RD[[#All],[Date]:[IS4Inv2]],F$2,0)/F$1/_xlfn.XLOOKUP(Inv_SY_B12[[#This Row],[Date]],Daily_KPI[Date],Daily_KPI[POA-UP(KWh/m2)]),"")</f>
        <v>0.83945177182177122</v>
      </c>
      <c r="G13" s="333">
        <f ca="1">IFERROR(VLOOKUP($B13,RD[[#All],[Date]:[IS4Inv2]],G$2,0)/G$1/_xlfn.XLOOKUP(Inv_SY_B12[[#This Row],[Date]],Daily_KPI[Date],Daily_KPI[POA-UP(KWh/m2)]),"")</f>
        <v>0.84492723820202709</v>
      </c>
      <c r="H13" s="333">
        <f ca="1">IFERROR(VLOOKUP($B13,RD[[#All],[Date]:[IS4Inv2]],H$2,0)/H$1/_xlfn.XLOOKUP(Inv_SY_B12[[#This Row],[Date]],Daily_KPI[Date],Daily_KPI[POA-UP(KWh/m2)]),"")</f>
        <v>0.87588201256165665</v>
      </c>
      <c r="I13" s="333">
        <f ca="1">IFERROR(VLOOKUP($B13,RD[[#All],[Date]:[IS4Inv2]],I$2,0)/I$1/_xlfn.XLOOKUP(Inv_SY_B12[[#This Row],[Date]],Daily_KPI[Date],Daily_KPI[POA-UP(KWh/m2)]),"")</f>
        <v>0.87699857304974094</v>
      </c>
    </row>
    <row r="14" spans="2:9">
      <c r="B14" s="224">
        <f t="shared" ca="1" si="2"/>
        <v>45804</v>
      </c>
      <c r="C14" s="333">
        <f ca="1">IFERROR(VLOOKUP($B14,RD[[#All],[Date]:[IS4Inv2]],C$2,0)/C$1/_xlfn.XLOOKUP(Inv_SY_B12[[#This Row],[Date]],Daily_KPI[Date],Daily_KPI[POA-UP(KWh/m2)]),"")</f>
        <v>0.89461757445813606</v>
      </c>
      <c r="D14" s="333">
        <f ca="1">IFERROR(VLOOKUP($B14,RD[[#All],[Date]:[IS4Inv2]],D$2,0)/D$1/_xlfn.XLOOKUP(Inv_SY_B12[[#This Row],[Date]],Daily_KPI[Date],Daily_KPI[POA-UP(KWh/m2)]),"")</f>
        <v>0.8916460952675016</v>
      </c>
      <c r="E14" s="333">
        <f ca="1">IFERROR(VLOOKUP($B14,RD[[#All],[Date]:[IS4Inv2]],E$2,0)/E$1/_xlfn.XLOOKUP(Inv_SY_B12[[#This Row],[Date]],Daily_KPI[Date],Daily_KPI[POA-UP(KWh/m2)]),"")</f>
        <v>0.87180124812473037</v>
      </c>
      <c r="F14" s="333">
        <f ca="1">IFERROR(VLOOKUP($B14,RD[[#All],[Date]:[IS4Inv2]],F$2,0)/F$1/_xlfn.XLOOKUP(Inv_SY_B12[[#This Row],[Date]],Daily_KPI[Date],Daily_KPI[POA-UP(KWh/m2)]),"")</f>
        <v>0.87949512054692169</v>
      </c>
      <c r="G14" s="333">
        <f ca="1">IFERROR(VLOOKUP($B14,RD[[#All],[Date]:[IS4Inv2]],G$2,0)/G$1/_xlfn.XLOOKUP(Inv_SY_B12[[#This Row],[Date]],Daily_KPI[Date],Daily_KPI[POA-UP(KWh/m2)]),"")</f>
        <v>0.88254088179425449</v>
      </c>
      <c r="H14" s="333">
        <f ca="1">IFERROR(VLOOKUP($B14,RD[[#All],[Date]:[IS4Inv2]],H$2,0)/H$1/_xlfn.XLOOKUP(Inv_SY_B12[[#This Row],[Date]],Daily_KPI[Date],Daily_KPI[POA-UP(KWh/m2)]),"")</f>
        <v>0.9056001740614622</v>
      </c>
      <c r="I14" s="333">
        <f ca="1">IFERROR(VLOOKUP($B14,RD[[#All],[Date]:[IS4Inv2]],I$2,0)/I$1/_xlfn.XLOOKUP(Inv_SY_B12[[#This Row],[Date]],Daily_KPI[Date],Daily_KPI[POA-UP(KWh/m2)]),"")</f>
        <v>0.90214640596878726</v>
      </c>
    </row>
    <row r="15" spans="2:9">
      <c r="B15" s="224">
        <f t="shared" ca="1" si="2"/>
        <v>45805</v>
      </c>
      <c r="C15" s="333">
        <f ca="1">IFERROR(VLOOKUP($B15,RD[[#All],[Date]:[IS4Inv2]],C$2,0)/C$1/_xlfn.XLOOKUP(Inv_SY_B12[[#This Row],[Date]],Daily_KPI[Date],Daily_KPI[POA-UP(KWh/m2)]),"")</f>
        <v>0.90730496964621887</v>
      </c>
      <c r="D15" s="333">
        <f ca="1">IFERROR(VLOOKUP($B15,RD[[#All],[Date]:[IS4Inv2]],D$2,0)/D$1/_xlfn.XLOOKUP(Inv_SY_B12[[#This Row],[Date]],Daily_KPI[Date],Daily_KPI[POA-UP(KWh/m2)]),"")</f>
        <v>0.92043504283542221</v>
      </c>
      <c r="E15" s="333">
        <f ca="1">IFERROR(VLOOKUP($B15,RD[[#All],[Date]:[IS4Inv2]],E$2,0)/E$1/_xlfn.XLOOKUP(Inv_SY_B12[[#This Row],[Date]],Daily_KPI[Date],Daily_KPI[POA-UP(KWh/m2)]),"")</f>
        <v>0.90497160225081541</v>
      </c>
      <c r="F15" s="333">
        <f ca="1">IFERROR(VLOOKUP($B15,RD[[#All],[Date]:[IS4Inv2]],F$2,0)/F$1/_xlfn.XLOOKUP(Inv_SY_B12[[#This Row],[Date]],Daily_KPI[Date],Daily_KPI[POA-UP(KWh/m2)]),"")</f>
        <v>0.92600545003182611</v>
      </c>
      <c r="G15" s="333">
        <f ca="1">IFERROR(VLOOKUP($B15,RD[[#All],[Date]:[IS4Inv2]],G$2,0)/G$1/_xlfn.XLOOKUP(Inv_SY_B12[[#This Row],[Date]],Daily_KPI[Date],Daily_KPI[POA-UP(KWh/m2)]),"")</f>
        <v>0.92869240485529714</v>
      </c>
      <c r="H15" s="333">
        <f ca="1">IFERROR(VLOOKUP($B15,RD[[#All],[Date]:[IS4Inv2]],H$2,0)/H$1/_xlfn.XLOOKUP(Inv_SY_B12[[#This Row],[Date]],Daily_KPI[Date],Daily_KPI[POA-UP(KWh/m2)]),"")</f>
        <v>0.92332529971573352</v>
      </c>
      <c r="I15" s="333">
        <f ca="1">IFERROR(VLOOKUP($B15,RD[[#All],[Date]:[IS4Inv2]],I$2,0)/I$1/_xlfn.XLOOKUP(Inv_SY_B12[[#This Row],[Date]],Daily_KPI[Date],Daily_KPI[POA-UP(KWh/m2)]),"")</f>
        <v>0.93001764025123312</v>
      </c>
    </row>
    <row r="16" spans="2:9">
      <c r="B16" s="224">
        <f t="shared" ca="1" si="2"/>
        <v>45806</v>
      </c>
      <c r="C16" s="333">
        <f ca="1">IFERROR(VLOOKUP($B16,RD[[#All],[Date]:[IS4Inv2]],C$2,0)/C$1/_xlfn.XLOOKUP(Inv_SY_B12[[#This Row],[Date]],Daily_KPI[Date],Daily_KPI[POA-UP(KWh/m2)]),"")</f>
        <v>0.86786396753754369</v>
      </c>
      <c r="D16" s="333">
        <f ca="1">IFERROR(VLOOKUP($B16,RD[[#All],[Date]:[IS4Inv2]],D$2,0)/D$1/_xlfn.XLOOKUP(Inv_SY_B12[[#This Row],[Date]],Daily_KPI[Date],Daily_KPI[POA-UP(KWh/m2)]),"")</f>
        <v>0.87785834027115683</v>
      </c>
      <c r="E16" s="333">
        <f ca="1">IFERROR(VLOOKUP($B16,RD[[#All],[Date]:[IS4Inv2]],E$2,0)/E$1/_xlfn.XLOOKUP(Inv_SY_B12[[#This Row],[Date]],Daily_KPI[Date],Daily_KPI[POA-UP(KWh/m2)]),"")</f>
        <v>0.86447728476822028</v>
      </c>
      <c r="F16" s="333">
        <f ca="1">IFERROR(VLOOKUP($B16,RD[[#All],[Date]:[IS4Inv2]],F$2,0)/F$1/_xlfn.XLOOKUP(Inv_SY_B12[[#This Row],[Date]],Daily_KPI[Date],Daily_KPI[POA-UP(KWh/m2)]),"")</f>
        <v>0.88074465810552527</v>
      </c>
      <c r="G16" s="333">
        <f ca="1">IFERROR(VLOOKUP($B16,RD[[#All],[Date]:[IS4Inv2]],G$2,0)/G$1/_xlfn.XLOOKUP(Inv_SY_B12[[#This Row],[Date]],Daily_KPI[Date],Daily_KPI[POA-UP(KWh/m2)]),"")</f>
        <v>0.89048955531810003</v>
      </c>
      <c r="H16" s="333">
        <f ca="1">IFERROR(VLOOKUP($B16,RD[[#All],[Date]:[IS4Inv2]],H$2,0)/H$1/_xlfn.XLOOKUP(Inv_SY_B12[[#This Row],[Date]],Daily_KPI[Date],Daily_KPI[POA-UP(KWh/m2)]),"")</f>
        <v>0.88330021792077928</v>
      </c>
      <c r="I16" s="333">
        <f ca="1">IFERROR(VLOOKUP($B16,RD[[#All],[Date]:[IS4Inv2]],I$2,0)/I$1/_xlfn.XLOOKUP(Inv_SY_B12[[#This Row],[Date]],Daily_KPI[Date],Daily_KPI[POA-UP(KWh/m2)]),"")</f>
        <v>0.88716044563051355</v>
      </c>
    </row>
    <row r="17" spans="2:9">
      <c r="B17" s="224">
        <f t="shared" ca="1" si="2"/>
        <v>45807</v>
      </c>
      <c r="C17" s="333">
        <f ca="1">IFERROR(VLOOKUP($B17,RD[[#All],[Date]:[IS4Inv2]],C$2,0)/C$1/_xlfn.XLOOKUP(Inv_SY_B12[[#This Row],[Date]],Daily_KPI[Date],Daily_KPI[POA-UP(KWh/m2)]),"")</f>
        <v>0.92415465627110593</v>
      </c>
      <c r="D17" s="333">
        <f ca="1">IFERROR(VLOOKUP($B17,RD[[#All],[Date]:[IS4Inv2]],D$2,0)/D$1/_xlfn.XLOOKUP(Inv_SY_B12[[#This Row],[Date]],Daily_KPI[Date],Daily_KPI[POA-UP(KWh/m2)]),"")</f>
        <v>0.93073929481374129</v>
      </c>
      <c r="E17" s="333">
        <f ca="1">IFERROR(VLOOKUP($B17,RD[[#All],[Date]:[IS4Inv2]],E$2,0)/E$1/_xlfn.XLOOKUP(Inv_SY_B12[[#This Row],[Date]],Daily_KPI[Date],Daily_KPI[POA-UP(KWh/m2)]),"")</f>
        <v>0.92837757152357059</v>
      </c>
      <c r="F17" s="333">
        <f ca="1">IFERROR(VLOOKUP($B17,RD[[#All],[Date]:[IS4Inv2]],F$2,0)/F$1/_xlfn.XLOOKUP(Inv_SY_B12[[#This Row],[Date]],Daily_KPI[Date],Daily_KPI[POA-UP(KWh/m2)]),"")</f>
        <v>0.9458434274964137</v>
      </c>
      <c r="G17" s="333">
        <f ca="1">IFERROR(VLOOKUP($B17,RD[[#All],[Date]:[IS4Inv2]],G$2,0)/G$1/_xlfn.XLOOKUP(Inv_SY_B12[[#This Row],[Date]],Daily_KPI[Date],Daily_KPI[POA-UP(KWh/m2)]),"")</f>
        <v>0.94862280192497728</v>
      </c>
      <c r="H17" s="333">
        <f ca="1">IFERROR(VLOOKUP($B17,RD[[#All],[Date]:[IS4Inv2]],H$2,0)/H$1/_xlfn.XLOOKUP(Inv_SY_B12[[#This Row],[Date]],Daily_KPI[Date],Daily_KPI[POA-UP(KWh/m2)]),"")</f>
        <v>0.92816448744964597</v>
      </c>
      <c r="I17" s="333">
        <f ca="1">IFERROR(VLOOKUP($B17,RD[[#All],[Date]:[IS4Inv2]],I$2,0)/I$1/_xlfn.XLOOKUP(Inv_SY_B12[[#This Row],[Date]],Daily_KPI[Date],Daily_KPI[POA-UP(KWh/m2)]),"")</f>
        <v>0.93529061087573251</v>
      </c>
    </row>
    <row r="18" spans="2:9">
      <c r="B18" s="224">
        <f t="shared" ca="1" si="2"/>
        <v>45808</v>
      </c>
      <c r="C18" s="333">
        <f ca="1">IFERROR(VLOOKUP($B18,RD[[#All],[Date]:[IS4Inv2]],C$2,0)/C$1/_xlfn.XLOOKUP(Inv_SY_B12[[#This Row],[Date]],Daily_KPI[Date],Daily_KPI[POA-UP(KWh/m2)]),"")</f>
        <v>0.83080798513808785</v>
      </c>
      <c r="D18" s="333">
        <f ca="1">IFERROR(VLOOKUP($B18,RD[[#All],[Date]:[IS4Inv2]],D$2,0)/D$1/_xlfn.XLOOKUP(Inv_SY_B12[[#This Row],[Date]],Daily_KPI[Date],Daily_KPI[POA-UP(KWh/m2)]),"")</f>
        <v>0.83259477208673438</v>
      </c>
      <c r="E18" s="333">
        <f ca="1">IFERROR(VLOOKUP($B18,RD[[#All],[Date]:[IS4Inv2]],E$2,0)/E$1/_xlfn.XLOOKUP(Inv_SY_B12[[#This Row],[Date]],Daily_KPI[Date],Daily_KPI[POA-UP(KWh/m2)]),"")</f>
        <v>0.81163129894427199</v>
      </c>
      <c r="F18" s="333">
        <f ca="1">IFERROR(VLOOKUP($B18,RD[[#All],[Date]:[IS4Inv2]],F$2,0)/F$1/_xlfn.XLOOKUP(Inv_SY_B12[[#This Row],[Date]],Daily_KPI[Date],Daily_KPI[POA-UP(KWh/m2)]),"")</f>
        <v>0.82047276781078726</v>
      </c>
      <c r="G18" s="333">
        <f ca="1">IFERROR(VLOOKUP($B18,RD[[#All],[Date]:[IS4Inv2]],G$2,0)/G$1/_xlfn.XLOOKUP(Inv_SY_B12[[#This Row],[Date]],Daily_KPI[Date],Daily_KPI[POA-UP(KWh/m2)]),"")</f>
        <v>0.8244791154452078</v>
      </c>
      <c r="H18" s="333">
        <f ca="1">IFERROR(VLOOKUP($B18,RD[[#All],[Date]:[IS4Inv2]],H$2,0)/H$1/_xlfn.XLOOKUP(Inv_SY_B12[[#This Row],[Date]],Daily_KPI[Date],Daily_KPI[POA-UP(KWh/m2)]),"")</f>
        <v>0.87365509766455351</v>
      </c>
      <c r="I18" s="333">
        <f ca="1">IFERROR(VLOOKUP($B18,RD[[#All],[Date]:[IS4Inv2]],I$2,0)/I$1/_xlfn.XLOOKUP(Inv_SY_B12[[#This Row],[Date]],Daily_KPI[Date],Daily_KPI[POA-UP(KWh/m2)]),"")</f>
        <v>0.87017750608505529</v>
      </c>
    </row>
    <row r="19" spans="2:9">
      <c r="B19" s="224">
        <f t="shared" ca="1" si="2"/>
        <v>45809</v>
      </c>
      <c r="C19" s="333">
        <f ca="1">IFERROR(VLOOKUP($B19,RD[[#All],[Date]:[IS4Inv2]],C$2,0)/C$1/_xlfn.XLOOKUP(Inv_SY_B12[[#This Row],[Date]],Daily_KPI[Date],Daily_KPI[POA-UP(KWh/m2)]),"")</f>
        <v>0.36996539548090501</v>
      </c>
      <c r="D19" s="333">
        <f ca="1">IFERROR(VLOOKUP($B19,RD[[#All],[Date]:[IS4Inv2]],D$2,0)/D$1/_xlfn.XLOOKUP(Inv_SY_B12[[#This Row],[Date]],Daily_KPI[Date],Daily_KPI[POA-UP(KWh/m2)]),"")</f>
        <v>0.37109645918226597</v>
      </c>
      <c r="E19" s="333">
        <f ca="1">IFERROR(VLOOKUP($B19,RD[[#All],[Date]:[IS4Inv2]],E$2,0)/E$1/_xlfn.XLOOKUP(Inv_SY_B12[[#This Row],[Date]],Daily_KPI[Date],Daily_KPI[POA-UP(KWh/m2)]),"")</f>
        <v>0.36559155464744197</v>
      </c>
      <c r="F19" s="333">
        <f ca="1">IFERROR(VLOOKUP($B19,RD[[#All],[Date]:[IS4Inv2]],F$2,0)/F$1/_xlfn.XLOOKUP(Inv_SY_B12[[#This Row],[Date]],Daily_KPI[Date],Daily_KPI[POA-UP(KWh/m2)]),"")</f>
        <v>0.37329626653502701</v>
      </c>
      <c r="G19" s="333">
        <f ca="1">IFERROR(VLOOKUP($B19,RD[[#All],[Date]:[IS4Inv2]],G$2,0)/G$1/_xlfn.XLOOKUP(Inv_SY_B12[[#This Row],[Date]],Daily_KPI[Date],Daily_KPI[POA-UP(KWh/m2)]),"")</f>
        <v>0.37607518832798514</v>
      </c>
      <c r="H19" s="333">
        <f ca="1">IFERROR(VLOOKUP($B19,RD[[#All],[Date]:[IS4Inv2]],H$2,0)/H$1/_xlfn.XLOOKUP(Inv_SY_B12[[#This Row],[Date]],Daily_KPI[Date],Daily_KPI[POA-UP(KWh/m2)]),"")</f>
        <v>0.37219154653123837</v>
      </c>
      <c r="I19" s="333">
        <f ca="1">IFERROR(VLOOKUP($B19,RD[[#All],[Date]:[IS4Inv2]],I$2,0)/I$1/_xlfn.XLOOKUP(Inv_SY_B12[[#This Row],[Date]],Daily_KPI[Date],Daily_KPI[POA-UP(KWh/m2)]),"")</f>
        <v>0.36600115768310926</v>
      </c>
    </row>
    <row r="20" spans="2:9">
      <c r="B20" s="224">
        <f t="shared" ca="1" si="2"/>
        <v>45810</v>
      </c>
      <c r="C20" s="333">
        <f ca="1">IFERROR(VLOOKUP($B20,RD[[#All],[Date]:[IS4Inv2]],C$2,0)/C$1/_xlfn.XLOOKUP(Inv_SY_B12[[#This Row],[Date]],Daily_KPI[Date],Daily_KPI[POA-UP(KWh/m2)]),"")</f>
        <v>0.83058327830000234</v>
      </c>
      <c r="D20" s="333">
        <f ca="1">IFERROR(VLOOKUP($B20,RD[[#All],[Date]:[IS4Inv2]],D$2,0)/D$1/_xlfn.XLOOKUP(Inv_SY_B12[[#This Row],[Date]],Daily_KPI[Date],Daily_KPI[POA-UP(KWh/m2)]),"")</f>
        <v>0.83205298248423787</v>
      </c>
      <c r="E20" s="333">
        <f ca="1">IFERROR(VLOOKUP($B20,RD[[#All],[Date]:[IS4Inv2]],E$2,0)/E$1/_xlfn.XLOOKUP(Inv_SY_B12[[#This Row],[Date]],Daily_KPI[Date],Daily_KPI[POA-UP(KWh/m2)]),"")</f>
        <v>0.81762032627171755</v>
      </c>
      <c r="F20" s="333">
        <f ca="1">IFERROR(VLOOKUP($B20,RD[[#All],[Date]:[IS4Inv2]],F$2,0)/F$1/_xlfn.XLOOKUP(Inv_SY_B12[[#This Row],[Date]],Daily_KPI[Date],Daily_KPI[POA-UP(KWh/m2)]),"")</f>
        <v>0.82779900337707168</v>
      </c>
      <c r="G20" s="333">
        <f ca="1">IFERROR(VLOOKUP($B20,RD[[#All],[Date]:[IS4Inv2]],G$2,0)/G$1/_xlfn.XLOOKUP(Inv_SY_B12[[#This Row],[Date]],Daily_KPI[Date],Daily_KPI[POA-UP(KWh/m2)]),"")</f>
        <v>0.84372120811642892</v>
      </c>
      <c r="H20" s="333">
        <f ca="1">IFERROR(VLOOKUP($B20,RD[[#All],[Date]:[IS4Inv2]],H$2,0)/H$1/_xlfn.XLOOKUP(Inv_SY_B12[[#This Row],[Date]],Daily_KPI[Date],Daily_KPI[POA-UP(KWh/m2)]),"")</f>
        <v>0.86004869212189727</v>
      </c>
      <c r="I20" s="333">
        <f ca="1">IFERROR(VLOOKUP($B20,RD[[#All],[Date]:[IS4Inv2]],I$2,0)/I$1/_xlfn.XLOOKUP(Inv_SY_B12[[#This Row],[Date]],Daily_KPI[Date],Daily_KPI[POA-UP(KWh/m2)]),"")</f>
        <v>0.85857443856313276</v>
      </c>
    </row>
    <row r="21" spans="2:9">
      <c r="B21" s="224">
        <f t="shared" ca="1" si="2"/>
        <v>45811</v>
      </c>
      <c r="C21" s="333">
        <f ca="1">IFERROR(VLOOKUP($B21,RD[[#All],[Date]:[IS4Inv2]],C$2,0)/C$1/_xlfn.XLOOKUP(Inv_SY_B12[[#This Row],[Date]],Daily_KPI[Date],Daily_KPI[POA-UP(KWh/m2)]),"")</f>
        <v>0.83421852692310183</v>
      </c>
      <c r="D21" s="333">
        <f ca="1">IFERROR(VLOOKUP($B21,RD[[#All],[Date]:[IS4Inv2]],D$2,0)/D$1/_xlfn.XLOOKUP(Inv_SY_B12[[#This Row],[Date]],Daily_KPI[Date],Daily_KPI[POA-UP(KWh/m2)]),"")</f>
        <v>0.83675840226037601</v>
      </c>
      <c r="E21" s="333">
        <f ca="1">IFERROR(VLOOKUP($B21,RD[[#All],[Date]:[IS4Inv2]],E$2,0)/E$1/_xlfn.XLOOKUP(Inv_SY_B12[[#This Row],[Date]],Daily_KPI[Date],Daily_KPI[POA-UP(KWh/m2)]),"")</f>
        <v>0.81855693842802146</v>
      </c>
      <c r="F21" s="333">
        <f ca="1">IFERROR(VLOOKUP($B21,RD[[#All],[Date]:[IS4Inv2]],F$2,0)/F$1/_xlfn.XLOOKUP(Inv_SY_B12[[#This Row],[Date]],Daily_KPI[Date],Daily_KPI[POA-UP(KWh/m2)]),"")</f>
        <v>0.83007639811120038</v>
      </c>
      <c r="G21" s="333">
        <f ca="1">IFERROR(VLOOKUP($B21,RD[[#All],[Date]:[IS4Inv2]],G$2,0)/G$1/_xlfn.XLOOKUP(Inv_SY_B12[[#This Row],[Date]],Daily_KPI[Date],Daily_KPI[POA-UP(KWh/m2)]),"")</f>
        <v>0.83362588934440462</v>
      </c>
      <c r="H21" s="333">
        <f ca="1">IFERROR(VLOOKUP($B21,RD[[#All],[Date]:[IS4Inv2]],H$2,0)/H$1/_xlfn.XLOOKUP(Inv_SY_B12[[#This Row],[Date]],Daily_KPI[Date],Daily_KPI[POA-UP(KWh/m2)]),"")</f>
        <v>0.87024109057911225</v>
      </c>
      <c r="I21" s="333">
        <f ca="1">IFERROR(VLOOKUP($B21,RD[[#All],[Date]:[IS4Inv2]],I$2,0)/I$1/_xlfn.XLOOKUP(Inv_SY_B12[[#This Row],[Date]],Daily_KPI[Date],Daily_KPI[POA-UP(KWh/m2)]),"")</f>
        <v>0.86688007857614247</v>
      </c>
    </row>
    <row r="22" spans="2:9">
      <c r="B22" s="224">
        <f t="shared" ca="1" si="2"/>
        <v>45812</v>
      </c>
      <c r="C22" s="333">
        <f ca="1">IFERROR(VLOOKUP($B22,RD[[#All],[Date]:[IS4Inv2]],C$2,0)/C$1/_xlfn.XLOOKUP(Inv_SY_B12[[#This Row],[Date]],Daily_KPI[Date],Daily_KPI[POA-UP(KWh/m2)]),"")</f>
        <v>0.82070891750123731</v>
      </c>
      <c r="D22" s="333">
        <f ca="1">IFERROR(VLOOKUP($B22,RD[[#All],[Date]:[IS4Inv2]],D$2,0)/D$1/_xlfn.XLOOKUP(Inv_SY_B12[[#This Row],[Date]],Daily_KPI[Date],Daily_KPI[POA-UP(KWh/m2)]),"")</f>
        <v>0.82139782742921674</v>
      </c>
      <c r="E22" s="333">
        <f ca="1">IFERROR(VLOOKUP($B22,RD[[#All],[Date]:[IS4Inv2]],E$2,0)/E$1/_xlfn.XLOOKUP(Inv_SY_B12[[#This Row],[Date]],Daily_KPI[Date],Daily_KPI[POA-UP(KWh/m2)]),"")</f>
        <v>0.808974821680151</v>
      </c>
      <c r="F22" s="333">
        <f ca="1">IFERROR(VLOOKUP($B22,RD[[#All],[Date]:[IS4Inv2]],F$2,0)/F$1/_xlfn.XLOOKUP(Inv_SY_B12[[#This Row],[Date]],Daily_KPI[Date],Daily_KPI[POA-UP(KWh/m2)]),"")</f>
        <v>0.81901059223657413</v>
      </c>
      <c r="G22" s="333">
        <f ca="1">IFERROR(VLOOKUP($B22,RD[[#All],[Date]:[IS4Inv2]],G$2,0)/G$1/_xlfn.XLOOKUP(Inv_SY_B12[[#This Row],[Date]],Daily_KPI[Date],Daily_KPI[POA-UP(KWh/m2)]),"")</f>
        <v>0.81894713095776317</v>
      </c>
      <c r="H22" s="333">
        <f ca="1">IFERROR(VLOOKUP($B22,RD[[#All],[Date]:[IS4Inv2]],H$2,0)/H$1/_xlfn.XLOOKUP(Inv_SY_B12[[#This Row],[Date]],Daily_KPI[Date],Daily_KPI[POA-UP(KWh/m2)]),"")</f>
        <v>0.84565096623149871</v>
      </c>
      <c r="I22" s="333">
        <f ca="1">IFERROR(VLOOKUP($B22,RD[[#All],[Date]:[IS4Inv2]],I$2,0)/I$1/_xlfn.XLOOKUP(Inv_SY_B12[[#This Row],[Date]],Daily_KPI[Date],Daily_KPI[POA-UP(KWh/m2)]),"")</f>
        <v>0.84601057497718335</v>
      </c>
    </row>
    <row r="23" spans="2:9">
      <c r="B23" s="224">
        <f t="shared" ca="1" si="2"/>
        <v>45813</v>
      </c>
      <c r="C23" s="333">
        <f ca="1">IFERROR(VLOOKUP($B23,RD[[#All],[Date]:[IS4Inv2]],C$2,0)/C$1/_xlfn.XLOOKUP(Inv_SY_B12[[#This Row],[Date]],Daily_KPI[Date],Daily_KPI[POA-UP(KWh/m2)]),"")</f>
        <v>0.82860548977793569</v>
      </c>
      <c r="D23" s="333">
        <f ca="1">IFERROR(VLOOKUP($B23,RD[[#All],[Date]:[IS4Inv2]],D$2,0)/D$1/_xlfn.XLOOKUP(Inv_SY_B12[[#This Row],[Date]],Daily_KPI[Date],Daily_KPI[POA-UP(KWh/m2)]),"")</f>
        <v>0.8231352702261393</v>
      </c>
      <c r="E23" s="333">
        <f ca="1">IFERROR(VLOOKUP($B23,RD[[#All],[Date]:[IS4Inv2]],E$2,0)/E$1/_xlfn.XLOOKUP(Inv_SY_B12[[#This Row],[Date]],Daily_KPI[Date],Daily_KPI[POA-UP(KWh/m2)]),"")</f>
        <v>0.80696561464906247</v>
      </c>
      <c r="F23" s="333">
        <f ca="1">IFERROR(VLOOKUP($B23,RD[[#All],[Date]:[IS4Inv2]],F$2,0)/F$1/_xlfn.XLOOKUP(Inv_SY_B12[[#This Row],[Date]],Daily_KPI[Date],Daily_KPI[POA-UP(KWh/m2)]),"")</f>
        <v>0.8149929748241288</v>
      </c>
      <c r="G23" s="333">
        <f ca="1">IFERROR(VLOOKUP($B23,RD[[#All],[Date]:[IS4Inv2]],G$2,0)/G$1/_xlfn.XLOOKUP(Inv_SY_B12[[#This Row],[Date]],Daily_KPI[Date],Daily_KPI[POA-UP(KWh/m2)]),"")</f>
        <v>0.80830912518252096</v>
      </c>
      <c r="H23" s="333">
        <f ca="1">IFERROR(VLOOKUP($B23,RD[[#All],[Date]:[IS4Inv2]],H$2,0)/H$1/_xlfn.XLOOKUP(Inv_SY_B12[[#This Row],[Date]],Daily_KPI[Date],Daily_KPI[POA-UP(KWh/m2)]),"")</f>
        <v>0.85256381549484994</v>
      </c>
      <c r="I23" s="333">
        <f ca="1">IFERROR(VLOOKUP($B23,RD[[#All],[Date]:[IS4Inv2]],I$2,0)/I$1/_xlfn.XLOOKUP(Inv_SY_B12[[#This Row],[Date]],Daily_KPI[Date],Daily_KPI[POA-UP(KWh/m2)]),"")</f>
        <v>0.8407150320943424</v>
      </c>
    </row>
    <row r="24" spans="2:9">
      <c r="B24" s="224">
        <f t="shared" ca="1" si="2"/>
        <v>45814</v>
      </c>
      <c r="C24" s="333">
        <f ca="1">IFERROR(VLOOKUP($B24,RD[[#All],[Date]:[IS4Inv2]],C$2,0)/C$1/_xlfn.XLOOKUP(Inv_SY_B12[[#This Row],[Date]],Daily_KPI[Date],Daily_KPI[POA-UP(KWh/m2)]),"")</f>
        <v>0.83146322801355421</v>
      </c>
      <c r="D24" s="333">
        <f ca="1">IFERROR(VLOOKUP($B24,RD[[#All],[Date]:[IS4Inv2]],D$2,0)/D$1/_xlfn.XLOOKUP(Inv_SY_B12[[#This Row],[Date]],Daily_KPI[Date],Daily_KPI[POA-UP(KWh/m2)]),"")</f>
        <v>0.82640065161504306</v>
      </c>
      <c r="E24" s="333">
        <f ca="1">IFERROR(VLOOKUP($B24,RD[[#All],[Date]:[IS4Inv2]],E$2,0)/E$1/_xlfn.XLOOKUP(Inv_SY_B12[[#This Row],[Date]],Daily_KPI[Date],Daily_KPI[POA-UP(KWh/m2)]),"")</f>
        <v>0.81199188324785387</v>
      </c>
      <c r="F24" s="333">
        <f ca="1">IFERROR(VLOOKUP($B24,RD[[#All],[Date]:[IS4Inv2]],F$2,0)/F$1/_xlfn.XLOOKUP(Inv_SY_B12[[#This Row],[Date]],Daily_KPI[Date],Daily_KPI[POA-UP(KWh/m2)]),"")</f>
        <v>0.81976830021865321</v>
      </c>
      <c r="G24" s="333">
        <f ca="1">IFERROR(VLOOKUP($B24,RD[[#All],[Date]:[IS4Inv2]],G$2,0)/G$1/_xlfn.XLOOKUP(Inv_SY_B12[[#This Row],[Date]],Daily_KPI[Date],Daily_KPI[POA-UP(KWh/m2)]),"")</f>
        <v>0.80888303297739139</v>
      </c>
      <c r="H24" s="333">
        <f ca="1">IFERROR(VLOOKUP($B24,RD[[#All],[Date]:[IS4Inv2]],H$2,0)/H$1/_xlfn.XLOOKUP(Inv_SY_B12[[#This Row],[Date]],Daily_KPI[Date],Daily_KPI[POA-UP(KWh/m2)]),"")</f>
        <v>0.82925952593731334</v>
      </c>
      <c r="I24" s="333">
        <f ca="1">IFERROR(VLOOKUP($B24,RD[[#All],[Date]:[IS4Inv2]],I$2,0)/I$1/_xlfn.XLOOKUP(Inv_SY_B12[[#This Row],[Date]],Daily_KPI[Date],Daily_KPI[POA-UP(KWh/m2)]),"")</f>
        <v>0.82468698341845592</v>
      </c>
    </row>
    <row r="25" spans="2:9">
      <c r="B25" s="224">
        <f t="shared" ca="1" si="2"/>
        <v>45815</v>
      </c>
      <c r="C25" s="333">
        <f ca="1">IFERROR(VLOOKUP($B25,RD[[#All],[Date]:[IS4Inv2]],C$2,0)/C$1/_xlfn.XLOOKUP(Inv_SY_B12[[#This Row],[Date]],Daily_KPI[Date],Daily_KPI[POA-UP(KWh/m2)]),"")</f>
        <v>0.84266620922218605</v>
      </c>
      <c r="D25" s="333">
        <f ca="1">IFERROR(VLOOKUP($B25,RD[[#All],[Date]:[IS4Inv2]],D$2,0)/D$1/_xlfn.XLOOKUP(Inv_SY_B12[[#This Row],[Date]],Daily_KPI[Date],Daily_KPI[POA-UP(KWh/m2)]),"")</f>
        <v>0.84150564753206303</v>
      </c>
      <c r="E25" s="333">
        <f ca="1">IFERROR(VLOOKUP($B25,RD[[#All],[Date]:[IS4Inv2]],E$2,0)/E$1/_xlfn.XLOOKUP(Inv_SY_B12[[#This Row],[Date]],Daily_KPI[Date],Daily_KPI[POA-UP(KWh/m2)]),"")</f>
        <v>0.82885879390504003</v>
      </c>
      <c r="F25" s="333">
        <f ca="1">IFERROR(VLOOKUP($B25,RD[[#All],[Date]:[IS4Inv2]],F$2,0)/F$1/_xlfn.XLOOKUP(Inv_SY_B12[[#This Row],[Date]],Daily_KPI[Date],Daily_KPI[POA-UP(KWh/m2)]),"")</f>
        <v>0.83907897772486417</v>
      </c>
      <c r="G25" s="333">
        <f ca="1">IFERROR(VLOOKUP($B25,RD[[#All],[Date]:[IS4Inv2]],G$2,0)/G$1/_xlfn.XLOOKUP(Inv_SY_B12[[#This Row],[Date]],Daily_KPI[Date],Daily_KPI[POA-UP(KWh/m2)]),"")</f>
        <v>0.83776033158811702</v>
      </c>
      <c r="H25" s="333">
        <f ca="1">IFERROR(VLOOKUP($B25,RD[[#All],[Date]:[IS4Inv2]],H$2,0)/H$1/_xlfn.XLOOKUP(Inv_SY_B12[[#This Row],[Date]],Daily_KPI[Date],Daily_KPI[POA-UP(KWh/m2)]),"")</f>
        <v>0.86458639270665372</v>
      </c>
      <c r="I25" s="333">
        <f ca="1">IFERROR(VLOOKUP($B25,RD[[#All],[Date]:[IS4Inv2]],I$2,0)/I$1/_xlfn.XLOOKUP(Inv_SY_B12[[#This Row],[Date]],Daily_KPI[Date],Daily_KPI[POA-UP(KWh/m2)]),"")</f>
        <v>0.85913571330100624</v>
      </c>
    </row>
    <row r="26" spans="2:9">
      <c r="B26" s="224">
        <f t="shared" ca="1" si="2"/>
        <v>45816</v>
      </c>
      <c r="C26" s="333">
        <f ca="1">IFERROR(VLOOKUP($B26,RD[[#All],[Date]:[IS4Inv2]],C$2,0)/C$1/_xlfn.XLOOKUP(Inv_SY_B12[[#This Row],[Date]],Daily_KPI[Date],Daily_KPI[POA-UP(KWh/m2)]),"")</f>
        <v>0.85289882927555605</v>
      </c>
      <c r="D26" s="333">
        <f ca="1">IFERROR(VLOOKUP($B26,RD[[#All],[Date]:[IS4Inv2]],D$2,0)/D$1/_xlfn.XLOOKUP(Inv_SY_B12[[#This Row],[Date]],Daily_KPI[Date],Daily_KPI[POA-UP(KWh/m2)]),"")</f>
        <v>0.86147796374812702</v>
      </c>
      <c r="E26" s="333">
        <f ca="1">IFERROR(VLOOKUP($B26,RD[[#All],[Date]:[IS4Inv2]],E$2,0)/E$1/_xlfn.XLOOKUP(Inv_SY_B12[[#This Row],[Date]],Daily_KPI[Date],Daily_KPI[POA-UP(KWh/m2)]),"")</f>
        <v>0.84878646144877368</v>
      </c>
      <c r="F26" s="333">
        <f ca="1">IFERROR(VLOOKUP($B26,RD[[#All],[Date]:[IS4Inv2]],F$2,0)/F$1/_xlfn.XLOOKUP(Inv_SY_B12[[#This Row],[Date]],Daily_KPI[Date],Daily_KPI[POA-UP(KWh/m2)]),"")</f>
        <v>0.86586461265704484</v>
      </c>
      <c r="G26" s="333">
        <f ca="1">IFERROR(VLOOKUP($B26,RD[[#All],[Date]:[IS4Inv2]],G$2,0)/G$1/_xlfn.XLOOKUP(Inv_SY_B12[[#This Row],[Date]],Daily_KPI[Date],Daily_KPI[POA-UP(KWh/m2)]),"")</f>
        <v>0.87004733687932589</v>
      </c>
      <c r="H26" s="333">
        <f ca="1">IFERROR(VLOOKUP($B26,RD[[#All],[Date]:[IS4Inv2]],H$2,0)/H$1/_xlfn.XLOOKUP(Inv_SY_B12[[#This Row],[Date]],Daily_KPI[Date],Daily_KPI[POA-UP(KWh/m2)]),"")</f>
        <v>0.87211141010347593</v>
      </c>
      <c r="I26" s="333">
        <f ca="1">IFERROR(VLOOKUP($B26,RD[[#All],[Date]:[IS4Inv2]],I$2,0)/I$1/_xlfn.XLOOKUP(Inv_SY_B12[[#This Row],[Date]],Daily_KPI[Date],Daily_KPI[POA-UP(KWh/m2)]),"")</f>
        <v>0.87183399450717114</v>
      </c>
    </row>
    <row r="27" spans="2:9">
      <c r="B27" s="224">
        <f t="shared" ca="1" si="2"/>
        <v>45817</v>
      </c>
      <c r="C27" s="333">
        <f ca="1">IFERROR(VLOOKUP($B27,RD[[#All],[Date]:[IS4Inv2]],C$2,0)/C$1/_xlfn.XLOOKUP(Inv_SY_B12[[#This Row],[Date]],Daily_KPI[Date],Daily_KPI[POA-UP(KWh/m2)]),"")</f>
        <v>0.8441087771738105</v>
      </c>
      <c r="D27" s="333">
        <f ca="1">IFERROR(VLOOKUP($B27,RD[[#All],[Date]:[IS4Inv2]],D$2,0)/D$1/_xlfn.XLOOKUP(Inv_SY_B12[[#This Row],[Date]],Daily_KPI[Date],Daily_KPI[POA-UP(KWh/m2)]),"")</f>
        <v>0.84983165391336357</v>
      </c>
      <c r="E27" s="333">
        <f ca="1">IFERROR(VLOOKUP($B27,RD[[#All],[Date]:[IS4Inv2]],E$2,0)/E$1/_xlfn.XLOOKUP(Inv_SY_B12[[#This Row],[Date]],Daily_KPI[Date],Daily_KPI[POA-UP(KWh/m2)]),"")</f>
        <v>0.83372553205597855</v>
      </c>
      <c r="F27" s="333">
        <f ca="1">IFERROR(VLOOKUP($B27,RD[[#All],[Date]:[IS4Inv2]],F$2,0)/F$1/_xlfn.XLOOKUP(Inv_SY_B12[[#This Row],[Date]],Daily_KPI[Date],Daily_KPI[POA-UP(KWh/m2)]),"")</f>
        <v>0.8425737204687983</v>
      </c>
      <c r="G27" s="333">
        <f ca="1">IFERROR(VLOOKUP($B27,RD[[#All],[Date]:[IS4Inv2]],G$2,0)/G$1/_xlfn.XLOOKUP(Inv_SY_B12[[#This Row],[Date]],Daily_KPI[Date],Daily_KPI[POA-UP(KWh/m2)]),"")</f>
        <v>0.84003531649946372</v>
      </c>
      <c r="H27" s="333">
        <f ca="1">IFERROR(VLOOKUP($B27,RD[[#All],[Date]:[IS4Inv2]],H$2,0)/H$1/_xlfn.XLOOKUP(Inv_SY_B12[[#This Row],[Date]],Daily_KPI[Date],Daily_KPI[POA-UP(KWh/m2)]),"")</f>
        <v>0.86672888303323092</v>
      </c>
      <c r="I27" s="333">
        <f ca="1">IFERROR(VLOOKUP($B27,RD[[#All],[Date]:[IS4Inv2]],I$2,0)/I$1/_xlfn.XLOOKUP(Inv_SY_B12[[#This Row],[Date]],Daily_KPI[Date],Daily_KPI[POA-UP(KWh/m2)]),"")</f>
        <v>0.85791069111908691</v>
      </c>
    </row>
    <row r="28" spans="2:9">
      <c r="B28" s="224">
        <f t="shared" ca="1" si="2"/>
        <v>45818</v>
      </c>
      <c r="C28" s="333">
        <f ca="1">IFERROR(VLOOKUP($B28,RD[[#All],[Date]:[IS4Inv2]],C$2,0)/C$1/_xlfn.XLOOKUP(Inv_SY_B12[[#This Row],[Date]],Daily_KPI[Date],Daily_KPI[POA-UP(KWh/m2)]),"")</f>
        <v>0.88629127756604542</v>
      </c>
      <c r="D28" s="333">
        <f ca="1">IFERROR(VLOOKUP($B28,RD[[#All],[Date]:[IS4Inv2]],D$2,0)/D$1/_xlfn.XLOOKUP(Inv_SY_B12[[#This Row],[Date]],Daily_KPI[Date],Daily_KPI[POA-UP(KWh/m2)]),"")</f>
        <v>0.88485841792199216</v>
      </c>
      <c r="E28" s="333">
        <f ca="1">IFERROR(VLOOKUP($B28,RD[[#All],[Date]:[IS4Inv2]],E$2,0)/E$1/_xlfn.XLOOKUP(Inv_SY_B12[[#This Row],[Date]],Daily_KPI[Date],Daily_KPI[POA-UP(KWh/m2)]),"")</f>
        <v>0.87652719257816436</v>
      </c>
      <c r="F28" s="333">
        <f ca="1">IFERROR(VLOOKUP($B28,RD[[#All],[Date]:[IS4Inv2]],F$2,0)/F$1/_xlfn.XLOOKUP(Inv_SY_B12[[#This Row],[Date]],Daily_KPI[Date],Daily_KPI[POA-UP(KWh/m2)]),"")</f>
        <v>0.88540624571134907</v>
      </c>
      <c r="G28" s="333">
        <f ca="1">IFERROR(VLOOKUP($B28,RD[[#All],[Date]:[IS4Inv2]],G$2,0)/G$1/_xlfn.XLOOKUP(Inv_SY_B12[[#This Row],[Date]],Daily_KPI[Date],Daily_KPI[POA-UP(KWh/m2)]),"")</f>
        <v>0.88337470656550388</v>
      </c>
      <c r="H28" s="333">
        <f ca="1">IFERROR(VLOOKUP($B28,RD[[#All],[Date]:[IS4Inv2]],H$2,0)/H$1/_xlfn.XLOOKUP(Inv_SY_B12[[#This Row],[Date]],Daily_KPI[Date],Daily_KPI[POA-UP(KWh/m2)]),"")</f>
        <v>0.89773879771344267</v>
      </c>
      <c r="I28" s="333">
        <f ca="1">IFERROR(VLOOKUP($B28,RD[[#All],[Date]:[IS4Inv2]],I$2,0)/I$1/_xlfn.XLOOKUP(Inv_SY_B12[[#This Row],[Date]],Daily_KPI[Date],Daily_KPI[POA-UP(KWh/m2)]),"")</f>
        <v>0.89117367166302253</v>
      </c>
    </row>
    <row r="29" spans="2:9">
      <c r="B29" s="224">
        <f t="shared" ca="1" si="2"/>
        <v>45819</v>
      </c>
      <c r="C29" s="333">
        <f ca="1">IFERROR(VLOOKUP($B29,RD[[#All],[Date]:[IS4Inv2]],C$2,0)/C$1/_xlfn.XLOOKUP(Inv_SY_B12[[#This Row],[Date]],Daily_KPI[Date],Daily_KPI[POA-UP(KWh/m2)]),"")</f>
        <v>0.86703706322212515</v>
      </c>
      <c r="D29" s="333">
        <f ca="1">IFERROR(VLOOKUP($B29,RD[[#All],[Date]:[IS4Inv2]],D$2,0)/D$1/_xlfn.XLOOKUP(Inv_SY_B12[[#This Row],[Date]],Daily_KPI[Date],Daily_KPI[POA-UP(KWh/m2)]),"")</f>
        <v>0.86806921074697085</v>
      </c>
      <c r="E29" s="333">
        <f ca="1">IFERROR(VLOOKUP($B29,RD[[#All],[Date]:[IS4Inv2]],E$2,0)/E$1/_xlfn.XLOOKUP(Inv_SY_B12[[#This Row],[Date]],Daily_KPI[Date],Daily_KPI[POA-UP(KWh/m2)]),"")</f>
        <v>0.86338584250216355</v>
      </c>
      <c r="F29" s="333">
        <f ca="1">IFERROR(VLOOKUP($B29,RD[[#All],[Date]:[IS4Inv2]],F$2,0)/F$1/_xlfn.XLOOKUP(Inv_SY_B12[[#This Row],[Date]],Daily_KPI[Date],Daily_KPI[POA-UP(KWh/m2)]),"")</f>
        <v>0.87487952051366136</v>
      </c>
      <c r="G29" s="333">
        <f ca="1">IFERROR(VLOOKUP($B29,RD[[#All],[Date]:[IS4Inv2]],G$2,0)/G$1/_xlfn.XLOOKUP(Inv_SY_B12[[#This Row],[Date]],Daily_KPI[Date],Daily_KPI[POA-UP(KWh/m2)]),"")</f>
        <v>0.87786649573870779</v>
      </c>
      <c r="H29" s="333">
        <f ca="1">IFERROR(VLOOKUP($B29,RD[[#All],[Date]:[IS4Inv2]],H$2,0)/H$1/_xlfn.XLOOKUP(Inv_SY_B12[[#This Row],[Date]],Daily_KPI[Date],Daily_KPI[POA-UP(KWh/m2)]),"")</f>
        <v>0.87282968991121535</v>
      </c>
      <c r="I29" s="333">
        <f ca="1">IFERROR(VLOOKUP($B29,RD[[#All],[Date]:[IS4Inv2]],I$2,0)/I$1/_xlfn.XLOOKUP(Inv_SY_B12[[#This Row],[Date]],Daily_KPI[Date],Daily_KPI[POA-UP(KWh/m2)]),"")</f>
        <v>0.8670687233144414</v>
      </c>
    </row>
    <row r="30" spans="2:9">
      <c r="B30" s="224">
        <f t="shared" ca="1" si="2"/>
        <v>45820</v>
      </c>
      <c r="C30" s="333">
        <f ca="1">IFERROR(VLOOKUP($B30,RD[[#All],[Date]:[IS4Inv2]],C$2,0)/C$1/_xlfn.XLOOKUP(Inv_SY_B12[[#This Row],[Date]],Daily_KPI[Date],Daily_KPI[POA-UP(KWh/m2)]),"")</f>
        <v>0.85706166176302745</v>
      </c>
      <c r="D30" s="333">
        <f ca="1">IFERROR(VLOOKUP($B30,RD[[#All],[Date]:[IS4Inv2]],D$2,0)/D$1/_xlfn.XLOOKUP(Inv_SY_B12[[#This Row],[Date]],Daily_KPI[Date],Daily_KPI[POA-UP(KWh/m2)]),"")</f>
        <v>0.86346537285148206</v>
      </c>
      <c r="E30" s="333">
        <f ca="1">IFERROR(VLOOKUP($B30,RD[[#All],[Date]:[IS4Inv2]],E$2,0)/E$1/_xlfn.XLOOKUP(Inv_SY_B12[[#This Row],[Date]],Daily_KPI[Date],Daily_KPI[POA-UP(KWh/m2)]),"")</f>
        <v>0.84242288887494576</v>
      </c>
      <c r="F30" s="333">
        <f ca="1">IFERROR(VLOOKUP($B30,RD[[#All],[Date]:[IS4Inv2]],F$2,0)/F$1/_xlfn.XLOOKUP(Inv_SY_B12[[#This Row],[Date]],Daily_KPI[Date],Daily_KPI[POA-UP(KWh/m2)]),"")</f>
        <v>0.85830997503133044</v>
      </c>
      <c r="G30" s="333">
        <f ca="1">IFERROR(VLOOKUP($B30,RD[[#All],[Date]:[IS4Inv2]],G$2,0)/G$1/_xlfn.XLOOKUP(Inv_SY_B12[[#This Row],[Date]],Daily_KPI[Date],Daily_KPI[POA-UP(KWh/m2)]),"")</f>
        <v>0.87410437501935523</v>
      </c>
      <c r="H30" s="333">
        <f ca="1">IFERROR(VLOOKUP($B30,RD[[#All],[Date]:[IS4Inv2]],H$2,0)/H$1/_xlfn.XLOOKUP(Inv_SY_B12[[#This Row],[Date]],Daily_KPI[Date],Daily_KPI[POA-UP(KWh/m2)]),"")</f>
        <v>0.89352328705776973</v>
      </c>
      <c r="I30" s="333">
        <f ca="1">IFERROR(VLOOKUP($B30,RD[[#All],[Date]:[IS4Inv2]],I$2,0)/I$1/_xlfn.XLOOKUP(Inv_SY_B12[[#This Row],[Date]],Daily_KPI[Date],Daily_KPI[POA-UP(KWh/m2)]),"")</f>
        <v>0.89307545902373486</v>
      </c>
    </row>
    <row r="31" spans="2:9">
      <c r="B31" s="224">
        <f t="shared" ca="1" si="2"/>
        <v>45821</v>
      </c>
      <c r="C31" s="333">
        <f ca="1">IFERROR(VLOOKUP($B31,RD[[#All],[Date]:[IS4Inv2]],C$2,0)/C$1/_xlfn.XLOOKUP(Inv_SY_B12[[#This Row],[Date]],Daily_KPI[Date],Daily_KPI[POA-UP(KWh/m2)]),"")</f>
        <v>0.84494705354078181</v>
      </c>
      <c r="D31" s="333">
        <f ca="1">IFERROR(VLOOKUP($B31,RD[[#All],[Date]:[IS4Inv2]],D$2,0)/D$1/_xlfn.XLOOKUP(Inv_SY_B12[[#This Row],[Date]],Daily_KPI[Date],Daily_KPI[POA-UP(KWh/m2)]),"")</f>
        <v>0.8416610496537722</v>
      </c>
      <c r="E31" s="333">
        <f ca="1">IFERROR(VLOOKUP($B31,RD[[#All],[Date]:[IS4Inv2]],E$2,0)/E$1/_xlfn.XLOOKUP(Inv_SY_B12[[#This Row],[Date]],Daily_KPI[Date],Daily_KPI[POA-UP(KWh/m2)]),"")</f>
        <v>0.84916632650603929</v>
      </c>
      <c r="F31" s="333">
        <f ca="1">IFERROR(VLOOKUP($B31,RD[[#All],[Date]:[IS4Inv2]],F$2,0)/F$1/_xlfn.XLOOKUP(Inv_SY_B12[[#This Row],[Date]],Daily_KPI[Date],Daily_KPI[POA-UP(KWh/m2)]),"")</f>
        <v>0.85845155281240171</v>
      </c>
      <c r="G31" s="333">
        <f ca="1">IFERROR(VLOOKUP($B31,RD[[#All],[Date]:[IS4Inv2]],G$2,0)/G$1/_xlfn.XLOOKUP(Inv_SY_B12[[#This Row],[Date]],Daily_KPI[Date],Daily_KPI[POA-UP(KWh/m2)]),"")</f>
        <v>0.86240791396354999</v>
      </c>
      <c r="H31" s="333">
        <f ca="1">IFERROR(VLOOKUP($B31,RD[[#All],[Date]:[IS4Inv2]],H$2,0)/H$1/_xlfn.XLOOKUP(Inv_SY_B12[[#This Row],[Date]],Daily_KPI[Date],Daily_KPI[POA-UP(KWh/m2)]),"")</f>
        <v>0.84577029666984693</v>
      </c>
      <c r="I31" s="333">
        <f ca="1">IFERROR(VLOOKUP($B31,RD[[#All],[Date]:[IS4Inv2]],I$2,0)/I$1/_xlfn.XLOOKUP(Inv_SY_B12[[#This Row],[Date]],Daily_KPI[Date],Daily_KPI[POA-UP(KWh/m2)]),"")</f>
        <v>0.8561790533304775</v>
      </c>
    </row>
    <row r="32" spans="2:9">
      <c r="B32" s="224">
        <f t="shared" ca="1" si="2"/>
        <v>45822</v>
      </c>
      <c r="C32" s="333">
        <f ca="1">IFERROR(VLOOKUP($B32,RD[[#All],[Date]:[IS4Inv2]],C$2,0)/C$1/_xlfn.XLOOKUP(Inv_SY_B12[[#This Row],[Date]],Daily_KPI[Date],Daily_KPI[POA-UP(KWh/m2)]),"")</f>
        <v>0.84357199413044215</v>
      </c>
      <c r="D32" s="333">
        <f ca="1">IFERROR(VLOOKUP($B32,RD[[#All],[Date]:[IS4Inv2]],D$2,0)/D$1/_xlfn.XLOOKUP(Inv_SY_B12[[#This Row],[Date]],Daily_KPI[Date],Daily_KPI[POA-UP(KWh/m2)]),"")</f>
        <v>0.83374173588062128</v>
      </c>
      <c r="E32" s="333">
        <f ca="1">IFERROR(VLOOKUP($B32,RD[[#All],[Date]:[IS4Inv2]],E$2,0)/E$1/_xlfn.XLOOKUP(Inv_SY_B12[[#This Row],[Date]],Daily_KPI[Date],Daily_KPI[POA-UP(KWh/m2)]),"")</f>
        <v>0.82339475136396356</v>
      </c>
      <c r="F32" s="333">
        <f ca="1">IFERROR(VLOOKUP($B32,RD[[#All],[Date]:[IS4Inv2]],F$2,0)/F$1/_xlfn.XLOOKUP(Inv_SY_B12[[#This Row],[Date]],Daily_KPI[Date],Daily_KPI[POA-UP(KWh/m2)]),"")</f>
        <v>0.82696324553632028</v>
      </c>
      <c r="G32" s="333">
        <f ca="1">IFERROR(VLOOKUP($B32,RD[[#All],[Date]:[IS4Inv2]],G$2,0)/G$1/_xlfn.XLOOKUP(Inv_SY_B12[[#This Row],[Date]],Daily_KPI[Date],Daily_KPI[POA-UP(KWh/m2)]),"")</f>
        <v>0.81842900217261472</v>
      </c>
      <c r="H32" s="333">
        <f ca="1">IFERROR(VLOOKUP($B32,RD[[#All],[Date]:[IS4Inv2]],H$2,0)/H$1/_xlfn.XLOOKUP(Inv_SY_B12[[#This Row],[Date]],Daily_KPI[Date],Daily_KPI[POA-UP(KWh/m2)]),"")</f>
        <v>0.86092933646812952</v>
      </c>
      <c r="I32" s="333">
        <f ca="1">IFERROR(VLOOKUP($B32,RD[[#All],[Date]:[IS4Inv2]],I$2,0)/I$1/_xlfn.XLOOKUP(Inv_SY_B12[[#This Row],[Date]],Daily_KPI[Date],Daily_KPI[POA-UP(KWh/m2)]),"")</f>
        <v>0.84758032915360504</v>
      </c>
    </row>
    <row r="33" spans="2:9">
      <c r="B33" s="224">
        <f t="shared" ca="1" si="2"/>
        <v>45823</v>
      </c>
      <c r="C33" s="333">
        <f ca="1">IFERROR(VLOOKUP($B33,RD[[#All],[Date]:[IS4Inv2]],C$2,0)/C$1/_xlfn.XLOOKUP(Inv_SY_B12[[#This Row],[Date]],Daily_KPI[Date],Daily_KPI[POA-UP(KWh/m2)]),"")</f>
        <v>0.79162275512090496</v>
      </c>
      <c r="D33" s="333">
        <f ca="1">IFERROR(VLOOKUP($B33,RD[[#All],[Date]:[IS4Inv2]],D$2,0)/D$1/_xlfn.XLOOKUP(Inv_SY_B12[[#This Row],[Date]],Daily_KPI[Date],Daily_KPI[POA-UP(KWh/m2)]),"")</f>
        <v>0.80660742377741068</v>
      </c>
      <c r="E33" s="333">
        <f ca="1">IFERROR(VLOOKUP($B33,RD[[#All],[Date]:[IS4Inv2]],E$2,0)/E$1/_xlfn.XLOOKUP(Inv_SY_B12[[#This Row],[Date]],Daily_KPI[Date],Daily_KPI[POA-UP(KWh/m2)]),"")</f>
        <v>0.7849848890290958</v>
      </c>
      <c r="F33" s="333">
        <f ca="1">IFERROR(VLOOKUP($B33,RD[[#All],[Date]:[IS4Inv2]],F$2,0)/F$1/_xlfn.XLOOKUP(Inv_SY_B12[[#This Row],[Date]],Daily_KPI[Date],Daily_KPI[POA-UP(KWh/m2)]),"")</f>
        <v>0.80573749487032631</v>
      </c>
      <c r="G33" s="333">
        <f ca="1">IFERROR(VLOOKUP($B33,RD[[#All],[Date]:[IS4Inv2]],G$2,0)/G$1/_xlfn.XLOOKUP(Inv_SY_B12[[#This Row],[Date]],Daily_KPI[Date],Daily_KPI[POA-UP(KWh/m2)]),"")</f>
        <v>0.84294348098348881</v>
      </c>
      <c r="H33" s="333">
        <f ca="1">IFERROR(VLOOKUP($B33,RD[[#All],[Date]:[IS4Inv2]],H$2,0)/H$1/_xlfn.XLOOKUP(Inv_SY_B12[[#This Row],[Date]],Daily_KPI[Date],Daily_KPI[POA-UP(KWh/m2)]),"")</f>
        <v>0.84602645021931555</v>
      </c>
      <c r="I33" s="333">
        <f ca="1">IFERROR(VLOOKUP($B33,RD[[#All],[Date]:[IS4Inv2]],I$2,0)/I$1/_xlfn.XLOOKUP(Inv_SY_B12[[#This Row],[Date]],Daily_KPI[Date],Daily_KPI[POA-UP(KWh/m2)]),"")</f>
        <v>0.84351440141035749</v>
      </c>
    </row>
    <row r="34" spans="2:9">
      <c r="B34" s="224">
        <f t="shared" ca="1" si="2"/>
        <v>45824</v>
      </c>
      <c r="C34" s="333">
        <f ca="1">IFERROR(VLOOKUP($B34,RD[[#All],[Date]:[IS4Inv2]],C$2,0)/C$1/_xlfn.XLOOKUP(Inv_SY_B12[[#This Row],[Date]],Daily_KPI[Date],Daily_KPI[POA-UP(KWh/m2)]),"")</f>
        <v>0.8647023078004672</v>
      </c>
      <c r="D34" s="333">
        <f ca="1">IFERROR(VLOOKUP($B34,RD[[#All],[Date]:[IS4Inv2]],D$2,0)/D$1/_xlfn.XLOOKUP(Inv_SY_B12[[#This Row],[Date]],Daily_KPI[Date],Daily_KPI[POA-UP(KWh/m2)]),"")</f>
        <v>0.87344688012788108</v>
      </c>
      <c r="E34" s="333">
        <f ca="1">IFERROR(VLOOKUP($B34,RD[[#All],[Date]:[IS4Inv2]],E$2,0)/E$1/_xlfn.XLOOKUP(Inv_SY_B12[[#This Row],[Date]],Daily_KPI[Date],Daily_KPI[POA-UP(KWh/m2)]),"")</f>
        <v>0.86233105100239393</v>
      </c>
      <c r="F34" s="333">
        <f ca="1">IFERROR(VLOOKUP($B34,RD[[#All],[Date]:[IS4Inv2]],F$2,0)/F$1/_xlfn.XLOOKUP(Inv_SY_B12[[#This Row],[Date]],Daily_KPI[Date],Daily_KPI[POA-UP(KWh/m2)]),"")</f>
        <v>0.87633760043459641</v>
      </c>
      <c r="G34" s="333">
        <f ca="1">IFERROR(VLOOKUP($B34,RD[[#All],[Date]:[IS4Inv2]],G$2,0)/G$1/_xlfn.XLOOKUP(Inv_SY_B12[[#This Row],[Date]],Daily_KPI[Date],Daily_KPI[POA-UP(KWh/m2)]),"")</f>
        <v>0.8745120973361048</v>
      </c>
      <c r="H34" s="333">
        <f ca="1">IFERROR(VLOOKUP($B34,RD[[#All],[Date]:[IS4Inv2]],H$2,0)/H$1/_xlfn.XLOOKUP(Inv_SY_B12[[#This Row],[Date]],Daily_KPI[Date],Daily_KPI[POA-UP(KWh/m2)]),"")</f>
        <v>0.88611427757195782</v>
      </c>
      <c r="I34" s="333">
        <f ca="1">IFERROR(VLOOKUP($B34,RD[[#All],[Date]:[IS4Inv2]],I$2,0)/I$1/_xlfn.XLOOKUP(Inv_SY_B12[[#This Row],[Date]],Daily_KPI[Date],Daily_KPI[POA-UP(KWh/m2)]),"")</f>
        <v>0.87596720985863197</v>
      </c>
    </row>
    <row r="35" spans="2:9">
      <c r="B35" s="224">
        <f t="shared" ca="1" si="2"/>
        <v>45825</v>
      </c>
      <c r="C35" s="333">
        <f ca="1">IFERROR(VLOOKUP($B35,RD[[#All],[Date]:[IS4Inv2]],C$2,0)/C$1/_xlfn.XLOOKUP(Inv_SY_B12[[#This Row],[Date]],Daily_KPI[Date],Daily_KPI[POA-UP(KWh/m2)]),"")</f>
        <v>0.84194523066433447</v>
      </c>
      <c r="D35" s="333">
        <f ca="1">IFERROR(VLOOKUP($B35,RD[[#All],[Date]:[IS4Inv2]],D$2,0)/D$1/_xlfn.XLOOKUP(Inv_SY_B12[[#This Row],[Date]],Daily_KPI[Date],Daily_KPI[POA-UP(KWh/m2)]),"")</f>
        <v>0.84978478457892515</v>
      </c>
      <c r="E35" s="333">
        <f ca="1">IFERROR(VLOOKUP($B35,RD[[#All],[Date]:[IS4Inv2]],E$2,0)/E$1/_xlfn.XLOOKUP(Inv_SY_B12[[#This Row],[Date]],Daily_KPI[Date],Daily_KPI[POA-UP(KWh/m2)]),"")</f>
        <v>0.82397405138986901</v>
      </c>
      <c r="F35" s="333">
        <f ca="1">IFERROR(VLOOKUP($B35,RD[[#All],[Date]:[IS4Inv2]],F$2,0)/F$1/_xlfn.XLOOKUP(Inv_SY_B12[[#This Row],[Date]],Daily_KPI[Date],Daily_KPI[POA-UP(KWh/m2)]),"")</f>
        <v>0.83419243555286826</v>
      </c>
      <c r="G35" s="333">
        <f ca="1">IFERROR(VLOOKUP($B35,RD[[#All],[Date]:[IS4Inv2]],G$2,0)/G$1/_xlfn.XLOOKUP(Inv_SY_B12[[#This Row],[Date]],Daily_KPI[Date],Daily_KPI[POA-UP(KWh/m2)]),"")</f>
        <v>0.84480510223756344</v>
      </c>
      <c r="H35" s="333">
        <f ca="1">IFERROR(VLOOKUP($B35,RD[[#All],[Date]:[IS4Inv2]],H$2,0)/H$1/_xlfn.XLOOKUP(Inv_SY_B12[[#This Row],[Date]],Daily_KPI[Date],Daily_KPI[POA-UP(KWh/m2)]),"")</f>
        <v>0.88353470386493849</v>
      </c>
      <c r="I35" s="333">
        <f ca="1">IFERROR(VLOOKUP($B35,RD[[#All],[Date]:[IS4Inv2]],I$2,0)/I$1/_xlfn.XLOOKUP(Inv_SY_B12[[#This Row],[Date]],Daily_KPI[Date],Daily_KPI[POA-UP(KWh/m2)]),"")</f>
        <v>0.87464745826004064</v>
      </c>
    </row>
    <row r="36" spans="2:9">
      <c r="B36" s="224">
        <f t="shared" ca="1" si="2"/>
        <v>45826</v>
      </c>
      <c r="C36" s="333">
        <f ca="1">IFERROR(VLOOKUP($B36,RD[[#All],[Date]:[IS4Inv2]],C$2,0)/C$1/_xlfn.XLOOKUP(Inv_SY_B12[[#This Row],[Date]],Daily_KPI[Date],Daily_KPI[POA-UP(KWh/m2)]),"")</f>
        <v>0.86797508062011086</v>
      </c>
      <c r="D36" s="333">
        <f ca="1">IFERROR(VLOOKUP($B36,RD[[#All],[Date]:[IS4Inv2]],D$2,0)/D$1/_xlfn.XLOOKUP(Inv_SY_B12[[#This Row],[Date]],Daily_KPI[Date],Daily_KPI[POA-UP(KWh/m2)]),"")</f>
        <v>0.86945757951056102</v>
      </c>
      <c r="E36" s="333">
        <f ca="1">IFERROR(VLOOKUP($B36,RD[[#All],[Date]:[IS4Inv2]],E$2,0)/E$1/_xlfn.XLOOKUP(Inv_SY_B12[[#This Row],[Date]],Daily_KPI[Date],Daily_KPI[POA-UP(KWh/m2)]),"")</f>
        <v>0.86944345835374592</v>
      </c>
      <c r="F36" s="333">
        <f ca="1">IFERROR(VLOOKUP($B36,RD[[#All],[Date]:[IS4Inv2]],F$2,0)/F$1/_xlfn.XLOOKUP(Inv_SY_B12[[#This Row],[Date]],Daily_KPI[Date],Daily_KPI[POA-UP(KWh/m2)]),"")</f>
        <v>0.88127457108858231</v>
      </c>
      <c r="G36" s="333">
        <f ca="1">IFERROR(VLOOKUP($B36,RD[[#All],[Date]:[IS4Inv2]],G$2,0)/G$1/_xlfn.XLOOKUP(Inv_SY_B12[[#This Row],[Date]],Daily_KPI[Date],Daily_KPI[POA-UP(KWh/m2)]),"")</f>
        <v>0.88886979988610282</v>
      </c>
      <c r="H36" s="333">
        <f ca="1">IFERROR(VLOOKUP($B36,RD[[#All],[Date]:[IS4Inv2]],H$2,0)/H$1/_xlfn.XLOOKUP(Inv_SY_B12[[#This Row],[Date]],Daily_KPI[Date],Daily_KPI[POA-UP(KWh/m2)]),"")</f>
        <v>0.88093079620846015</v>
      </c>
      <c r="I36" s="333">
        <f ca="1">IFERROR(VLOOKUP($B36,RD[[#All],[Date]:[IS4Inv2]],I$2,0)/I$1/_xlfn.XLOOKUP(Inv_SY_B12[[#This Row],[Date]],Daily_KPI[Date],Daily_KPI[POA-UP(KWh/m2)]),"")</f>
        <v>0.88040491738583315</v>
      </c>
    </row>
    <row r="37" spans="2:9">
      <c r="B37" s="224">
        <f t="shared" ca="1" si="2"/>
        <v>45827</v>
      </c>
      <c r="C37" s="333">
        <f ca="1">IFERROR(VLOOKUP($B37,RD[[#All],[Date]:[IS4Inv2]],C$2,0)/C$1/_xlfn.XLOOKUP(Inv_SY_B12[[#This Row],[Date]],Daily_KPI[Date],Daily_KPI[POA-UP(KWh/m2)]),"")</f>
        <v>0.84852796191017865</v>
      </c>
      <c r="D37" s="333">
        <f ca="1">IFERROR(VLOOKUP($B37,RD[[#All],[Date]:[IS4Inv2]],D$2,0)/D$1/_xlfn.XLOOKUP(Inv_SY_B12[[#This Row],[Date]],Daily_KPI[Date],Daily_KPI[POA-UP(KWh/m2)]),"")</f>
        <v>0.85246646482022093</v>
      </c>
      <c r="E37" s="333">
        <f ca="1">IFERROR(VLOOKUP($B37,RD[[#All],[Date]:[IS4Inv2]],E$2,0)/E$1/_xlfn.XLOOKUP(Inv_SY_B12[[#This Row],[Date]],Daily_KPI[Date],Daily_KPI[POA-UP(KWh/m2)]),"")</f>
        <v>0.83449753125522541</v>
      </c>
      <c r="F37" s="333">
        <f ca="1">IFERROR(VLOOKUP($B37,RD[[#All],[Date]:[IS4Inv2]],F$2,0)/F$1/_xlfn.XLOOKUP(Inv_SY_B12[[#This Row],[Date]],Daily_KPI[Date],Daily_KPI[POA-UP(KWh/m2)]),"")</f>
        <v>0.84333534896060747</v>
      </c>
      <c r="G37" s="333">
        <f ca="1">IFERROR(VLOOKUP($B37,RD[[#All],[Date]:[IS4Inv2]],G$2,0)/G$1/_xlfn.XLOOKUP(Inv_SY_B12[[#This Row],[Date]],Daily_KPI[Date],Daily_KPI[POA-UP(KWh/m2)]),"")</f>
        <v>0.8527571899653914</v>
      </c>
      <c r="H37" s="333">
        <f ca="1">IFERROR(VLOOKUP($B37,RD[[#All],[Date]:[IS4Inv2]],H$2,0)/H$1/_xlfn.XLOOKUP(Inv_SY_B12[[#This Row],[Date]],Daily_KPI[Date],Daily_KPI[POA-UP(KWh/m2)]),"")</f>
        <v>0.87566844919786102</v>
      </c>
      <c r="I37" s="333">
        <f ca="1">IFERROR(VLOOKUP($B37,RD[[#All],[Date]:[IS4Inv2]],I$2,0)/I$1/_xlfn.XLOOKUP(Inv_SY_B12[[#This Row],[Date]],Daily_KPI[Date],Daily_KPI[POA-UP(KWh/m2)]),"")</f>
        <v>0.8713841608607461</v>
      </c>
    </row>
    <row r="38" spans="2:9">
      <c r="B38" s="224">
        <f t="shared" ca="1" si="2"/>
        <v>45828</v>
      </c>
      <c r="C38" s="333">
        <f ca="1">IFERROR(VLOOKUP($B38,RD[[#All],[Date]:[IS4Inv2]],C$2,0)/C$1/_xlfn.XLOOKUP(Inv_SY_B12[[#This Row],[Date]],Daily_KPI[Date],Daily_KPI[POA-UP(KWh/m2)]),"")</f>
        <v>0.83548593829739182</v>
      </c>
      <c r="D38" s="333">
        <f ca="1">IFERROR(VLOOKUP($B38,RD[[#All],[Date]:[IS4Inv2]],D$2,0)/D$1/_xlfn.XLOOKUP(Inv_SY_B12[[#This Row],[Date]],Daily_KPI[Date],Daily_KPI[POA-UP(KWh/m2)]),"")</f>
        <v>0.84008690152391341</v>
      </c>
      <c r="E38" s="333">
        <f ca="1">IFERROR(VLOOKUP($B38,RD[[#All],[Date]:[IS4Inv2]],E$2,0)/E$1/_xlfn.XLOOKUP(Inv_SY_B12[[#This Row],[Date]],Daily_KPI[Date],Daily_KPI[POA-UP(KWh/m2)]),"")</f>
        <v>0.82751794435720194</v>
      </c>
      <c r="F38" s="333">
        <f ca="1">IFERROR(VLOOKUP($B38,RD[[#All],[Date]:[IS4Inv2]],F$2,0)/F$1/_xlfn.XLOOKUP(Inv_SY_B12[[#This Row],[Date]],Daily_KPI[Date],Daily_KPI[POA-UP(KWh/m2)]),"")</f>
        <v>0.83345155089569523</v>
      </c>
      <c r="G38" s="333">
        <f ca="1">IFERROR(VLOOKUP($B38,RD[[#All],[Date]:[IS4Inv2]],G$2,0)/G$1/_xlfn.XLOOKUP(Inv_SY_B12[[#This Row],[Date]],Daily_KPI[Date],Daily_KPI[POA-UP(KWh/m2)]),"")</f>
        <v>0.84628733051087701</v>
      </c>
      <c r="H38" s="333">
        <f ca="1">IFERROR(VLOOKUP($B38,RD[[#All],[Date]:[IS4Inv2]],H$2,0)/H$1/_xlfn.XLOOKUP(Inv_SY_B12[[#This Row],[Date]],Daily_KPI[Date],Daily_KPI[POA-UP(KWh/m2)]),"")</f>
        <v>0.87435181823295682</v>
      </c>
      <c r="I38" s="333">
        <f ca="1">IFERROR(VLOOKUP($B38,RD[[#All],[Date]:[IS4Inv2]],I$2,0)/I$1/_xlfn.XLOOKUP(Inv_SY_B12[[#This Row],[Date]],Daily_KPI[Date],Daily_KPI[POA-UP(KWh/m2)]),"")</f>
        <v>0.87141134867832282</v>
      </c>
    </row>
    <row r="39" spans="2:9">
      <c r="B39" s="224">
        <f t="shared" ca="1" si="2"/>
        <v>45829</v>
      </c>
      <c r="C39" s="333">
        <f ca="1">IFERROR(VLOOKUP($B39,RD[[#All],[Date]:[IS4Inv2]],C$2,0)/C$1/_xlfn.XLOOKUP(Inv_SY_B12[[#This Row],[Date]],Daily_KPI[Date],Daily_KPI[POA-UP(KWh/m2)]),"")</f>
        <v>0.84725586268033937</v>
      </c>
      <c r="D39" s="333">
        <f ca="1">IFERROR(VLOOKUP($B39,RD[[#All],[Date]:[IS4Inv2]],D$2,0)/D$1/_xlfn.XLOOKUP(Inv_SY_B12[[#This Row],[Date]],Daily_KPI[Date],Daily_KPI[POA-UP(KWh/m2)]),"")</f>
        <v>0.85269521082531985</v>
      </c>
      <c r="E39" s="333">
        <f ca="1">IFERROR(VLOOKUP($B39,RD[[#All],[Date]:[IS4Inv2]],E$2,0)/E$1/_xlfn.XLOOKUP(Inv_SY_B12[[#This Row],[Date]],Daily_KPI[Date],Daily_KPI[POA-UP(KWh/m2)]),"")</f>
        <v>0.83232137648971083</v>
      </c>
      <c r="F39" s="333">
        <f ca="1">IFERROR(VLOOKUP($B39,RD[[#All],[Date]:[IS4Inv2]],F$2,0)/F$1/_xlfn.XLOOKUP(Inv_SY_B12[[#This Row],[Date]],Daily_KPI[Date],Daily_KPI[POA-UP(KWh/m2)]),"")</f>
        <v>0.84205957602447945</v>
      </c>
      <c r="G39" s="333">
        <f ca="1">IFERROR(VLOOKUP($B39,RD[[#All],[Date]:[IS4Inv2]],G$2,0)/G$1/_xlfn.XLOOKUP(Inv_SY_B12[[#This Row],[Date]],Daily_KPI[Date],Daily_KPI[POA-UP(KWh/m2)]),"")</f>
        <v>0.8524804165896297</v>
      </c>
      <c r="H39" s="333">
        <f ca="1">IFERROR(VLOOKUP($B39,RD[[#All],[Date]:[IS4Inv2]],H$2,0)/H$1/_xlfn.XLOOKUP(Inv_SY_B12[[#This Row],[Date]],Daily_KPI[Date],Daily_KPI[POA-UP(KWh/m2)]),"")</f>
        <v>0.88537795301037403</v>
      </c>
      <c r="I39" s="333">
        <f ca="1">IFERROR(VLOOKUP($B39,RD[[#All],[Date]:[IS4Inv2]],I$2,0)/I$1/_xlfn.XLOOKUP(Inv_SY_B12[[#This Row],[Date]],Daily_KPI[Date],Daily_KPI[POA-UP(KWh/m2)]),"")</f>
        <v>0.88162104514752937</v>
      </c>
    </row>
    <row r="40" spans="2:9">
      <c r="B40" s="224">
        <f t="shared" ca="1" si="2"/>
        <v>45830</v>
      </c>
      <c r="C40" s="333">
        <f ca="1">IFERROR(VLOOKUP($B40,RD[[#All],[Date]:[IS4Inv2]],C$2,0)/C$1/_xlfn.XLOOKUP(Inv_SY_B12[[#This Row],[Date]],Daily_KPI[Date],Daily_KPI[POA-UP(KWh/m2)]),"")</f>
        <v>0.8733997598817248</v>
      </c>
      <c r="D40" s="333">
        <f ca="1">IFERROR(VLOOKUP($B40,RD[[#All],[Date]:[IS4Inv2]],D$2,0)/D$1/_xlfn.XLOOKUP(Inv_SY_B12[[#This Row],[Date]],Daily_KPI[Date],Daily_KPI[POA-UP(KWh/m2)]),"")</f>
        <v>0.87194228192303236</v>
      </c>
      <c r="E40" s="333">
        <f ca="1">IFERROR(VLOOKUP($B40,RD[[#All],[Date]:[IS4Inv2]],E$2,0)/E$1/_xlfn.XLOOKUP(Inv_SY_B12[[#This Row],[Date]],Daily_KPI[Date],Daily_KPI[POA-UP(KWh/m2)]),"")</f>
        <v>0.85593311913482184</v>
      </c>
      <c r="F40" s="333">
        <f ca="1">IFERROR(VLOOKUP($B40,RD[[#All],[Date]:[IS4Inv2]],F$2,0)/F$1/_xlfn.XLOOKUP(Inv_SY_B12[[#This Row],[Date]],Daily_KPI[Date],Daily_KPI[POA-UP(KWh/m2)]),"")</f>
        <v>0.86469826457864973</v>
      </c>
      <c r="G40" s="333">
        <f ca="1">IFERROR(VLOOKUP($B40,RD[[#All],[Date]:[IS4Inv2]],G$2,0)/G$1/_xlfn.XLOOKUP(Inv_SY_B12[[#This Row],[Date]],Daily_KPI[Date],Daily_KPI[POA-UP(KWh/m2)]),"")</f>
        <v>0.86423638078070542</v>
      </c>
      <c r="H40" s="333">
        <f ca="1">IFERROR(VLOOKUP($B40,RD[[#All],[Date]:[IS4Inv2]],H$2,0)/H$1/_xlfn.XLOOKUP(Inv_SY_B12[[#This Row],[Date]],Daily_KPI[Date],Daily_KPI[POA-UP(KWh/m2)]),"")</f>
        <v>0.89393345682530623</v>
      </c>
      <c r="I40" s="333">
        <f ca="1">IFERROR(VLOOKUP($B40,RD[[#All],[Date]:[IS4Inv2]],I$2,0)/I$1/_xlfn.XLOOKUP(Inv_SY_B12[[#This Row],[Date]],Daily_KPI[Date],Daily_KPI[POA-UP(KWh/m2)]),"")</f>
        <v>0.88785533627814173</v>
      </c>
    </row>
    <row r="41" spans="2:9">
      <c r="B41" s="224">
        <f t="shared" ca="1" si="2"/>
        <v>45831</v>
      </c>
      <c r="C41" s="333">
        <f ca="1">IFERROR(VLOOKUP($B41,RD[[#All],[Date]:[IS4Inv2]],C$2,0)/C$1/_xlfn.XLOOKUP(Inv_SY_B12[[#This Row],[Date]],Daily_KPI[Date],Daily_KPI[POA-UP(KWh/m2)]),"")</f>
        <v>0.91868480747568426</v>
      </c>
      <c r="D41" s="333">
        <f ca="1">IFERROR(VLOOKUP($B41,RD[[#All],[Date]:[IS4Inv2]],D$2,0)/D$1/_xlfn.XLOOKUP(Inv_SY_B12[[#This Row],[Date]],Daily_KPI[Date],Daily_KPI[POA-UP(KWh/m2)]),"")</f>
        <v>0.92786926415407256</v>
      </c>
      <c r="E41" s="333">
        <f ca="1">IFERROR(VLOOKUP($B41,RD[[#All],[Date]:[IS4Inv2]],E$2,0)/E$1/_xlfn.XLOOKUP(Inv_SY_B12[[#This Row],[Date]],Daily_KPI[Date],Daily_KPI[POA-UP(KWh/m2)]),"")</f>
        <v>0.9162390133695415</v>
      </c>
      <c r="F41" s="333">
        <f ca="1">IFERROR(VLOOKUP($B41,RD[[#All],[Date]:[IS4Inv2]],F$2,0)/F$1/_xlfn.XLOOKUP(Inv_SY_B12[[#This Row],[Date]],Daily_KPI[Date],Daily_KPI[POA-UP(KWh/m2)]),"")</f>
        <v>0.931545526953657</v>
      </c>
      <c r="G41" s="333">
        <f ca="1">IFERROR(VLOOKUP($B41,RD[[#All],[Date]:[IS4Inv2]],G$2,0)/G$1/_xlfn.XLOOKUP(Inv_SY_B12[[#This Row],[Date]],Daily_KPI[Date],Daily_KPI[POA-UP(KWh/m2)]),"")</f>
        <v>0.92795253599190997</v>
      </c>
      <c r="H41" s="333">
        <f ca="1">IFERROR(VLOOKUP($B41,RD[[#All],[Date]:[IS4Inv2]],H$2,0)/H$1/_xlfn.XLOOKUP(Inv_SY_B12[[#This Row],[Date]],Daily_KPI[Date],Daily_KPI[POA-UP(KWh/m2)]),"")</f>
        <v>0.93470448811071172</v>
      </c>
      <c r="I41" s="333">
        <f ca="1">IFERROR(VLOOKUP($B41,RD[[#All],[Date]:[IS4Inv2]],I$2,0)/I$1/_xlfn.XLOOKUP(Inv_SY_B12[[#This Row],[Date]],Daily_KPI[Date],Daily_KPI[POA-UP(KWh/m2)]),"")</f>
        <v>0.93297051980819845</v>
      </c>
    </row>
    <row r="42" spans="2:9">
      <c r="B42" s="224">
        <f t="shared" ca="1" si="2"/>
        <v>45832</v>
      </c>
      <c r="C42" s="333">
        <f ca="1">IFERROR(VLOOKUP($B42,RD[[#All],[Date]:[IS4Inv2]],C$2,0)/C$1/_xlfn.XLOOKUP(Inv_SY_B12[[#This Row],[Date]],Daily_KPI[Date],Daily_KPI[POA-UP(KWh/m2)]),"")</f>
        <v>0.87411407448946155</v>
      </c>
      <c r="D42" s="333">
        <f ca="1">IFERROR(VLOOKUP($B42,RD[[#All],[Date]:[IS4Inv2]],D$2,0)/D$1/_xlfn.XLOOKUP(Inv_SY_B12[[#This Row],[Date]],Daily_KPI[Date],Daily_KPI[POA-UP(KWh/m2)]),"")</f>
        <v>0.87895965810146204</v>
      </c>
      <c r="E42" s="333">
        <f ca="1">IFERROR(VLOOKUP($B42,RD[[#All],[Date]:[IS4Inv2]],E$2,0)/E$1/_xlfn.XLOOKUP(Inv_SY_B12[[#This Row],[Date]],Daily_KPI[Date],Daily_KPI[POA-UP(KWh/m2)]),"")</f>
        <v>0.86026092481740413</v>
      </c>
      <c r="F42" s="333">
        <f ca="1">IFERROR(VLOOKUP($B42,RD[[#All],[Date]:[IS4Inv2]],F$2,0)/F$1/_xlfn.XLOOKUP(Inv_SY_B12[[#This Row],[Date]],Daily_KPI[Date],Daily_KPI[POA-UP(KWh/m2)]),"")</f>
        <v>0.8703881736353114</v>
      </c>
      <c r="G42" s="333">
        <f ca="1">IFERROR(VLOOKUP($B42,RD[[#All],[Date]:[IS4Inv2]],G$2,0)/G$1/_xlfn.XLOOKUP(Inv_SY_B12[[#This Row],[Date]],Daily_KPI[Date],Daily_KPI[POA-UP(KWh/m2)]),"")</f>
        <v>0.86999946389351113</v>
      </c>
      <c r="H42" s="333">
        <f ca="1">IFERROR(VLOOKUP($B42,RD[[#All],[Date]:[IS4Inv2]],H$2,0)/H$1/_xlfn.XLOOKUP(Inv_SY_B12[[#This Row],[Date]],Daily_KPI[Date],Daily_KPI[POA-UP(KWh/m2)]),"")</f>
        <v>0.89568397564129143</v>
      </c>
      <c r="I42" s="333">
        <f ca="1">IFERROR(VLOOKUP($B42,RD[[#All],[Date]:[IS4Inv2]],I$2,0)/I$1/_xlfn.XLOOKUP(Inv_SY_B12[[#This Row],[Date]],Daily_KPI[Date],Daily_KPI[POA-UP(KWh/m2)]),"")</f>
        <v>0.88747438493346187</v>
      </c>
    </row>
    <row r="43" spans="2:9">
      <c r="B43" s="224">
        <f t="shared" ca="1" si="2"/>
        <v>45833</v>
      </c>
      <c r="C43" s="333">
        <f ca="1">IFERROR(VLOOKUP($B43,RD[[#All],[Date]:[IS4Inv2]],C$2,0)/C$1/_xlfn.XLOOKUP(Inv_SY_B12[[#This Row],[Date]],Daily_KPI[Date],Daily_KPI[POA-UP(KWh/m2)]),"")</f>
        <v>0.96934225924626105</v>
      </c>
      <c r="D43" s="333">
        <f ca="1">IFERROR(VLOOKUP($B43,RD[[#All],[Date]:[IS4Inv2]],D$2,0)/D$1/_xlfn.XLOOKUP(Inv_SY_B12[[#This Row],[Date]],Daily_KPI[Date],Daily_KPI[POA-UP(KWh/m2)]),"")</f>
        <v>0.97919750153464447</v>
      </c>
      <c r="E43" s="333">
        <f ca="1">IFERROR(VLOOKUP($B43,RD[[#All],[Date]:[IS4Inv2]],E$2,0)/E$1/_xlfn.XLOOKUP(Inv_SY_B12[[#This Row],[Date]],Daily_KPI[Date],Daily_KPI[POA-UP(KWh/m2)]),"")</f>
        <v>0.97238857668907086</v>
      </c>
      <c r="F43" s="333">
        <f ca="1">IFERROR(VLOOKUP($B43,RD[[#All],[Date]:[IS4Inv2]],F$2,0)/F$1/_xlfn.XLOOKUP(Inv_SY_B12[[#This Row],[Date]],Daily_KPI[Date],Daily_KPI[POA-UP(KWh/m2)]),"")</f>
        <v>0.98950886268088867</v>
      </c>
      <c r="G43" s="333">
        <f ca="1">IFERROR(VLOOKUP($B43,RD[[#All],[Date]:[IS4Inv2]],G$2,0)/G$1/_xlfn.XLOOKUP(Inv_SY_B12[[#This Row],[Date]],Daily_KPI[Date],Daily_KPI[POA-UP(KWh/m2)]),"")</f>
        <v>0.98539244489867073</v>
      </c>
      <c r="H43" s="333">
        <f ca="1">IFERROR(VLOOKUP($B43,RD[[#All],[Date]:[IS4Inv2]],H$2,0)/H$1/_xlfn.XLOOKUP(Inv_SY_B12[[#This Row],[Date]],Daily_KPI[Date],Daily_KPI[POA-UP(KWh/m2)]),"")</f>
        <v>0.98594397815754875</v>
      </c>
      <c r="I43" s="333">
        <f ca="1">IFERROR(VLOOKUP($B43,RD[[#All],[Date]:[IS4Inv2]],I$2,0)/I$1/_xlfn.XLOOKUP(Inv_SY_B12[[#This Row],[Date]],Daily_KPI[Date],Daily_KPI[POA-UP(KWh/m2)]),"")</f>
        <v>0.9823274457590363</v>
      </c>
    </row>
    <row r="44" spans="2:9">
      <c r="B44" s="224">
        <f t="shared" ca="1" si="2"/>
        <v>45834</v>
      </c>
      <c r="C44" s="333">
        <f ca="1">IFERROR(VLOOKUP($B44,RD[[#All],[Date]:[IS4Inv2]],C$2,0)/C$1/_xlfn.XLOOKUP(Inv_SY_B12[[#This Row],[Date]],Daily_KPI[Date],Daily_KPI[POA-UP(KWh/m2)]),"")</f>
        <v>0.87152484619250803</v>
      </c>
      <c r="D44" s="333">
        <f ca="1">IFERROR(VLOOKUP($B44,RD[[#All],[Date]:[IS4Inv2]],D$2,0)/D$1/_xlfn.XLOOKUP(Inv_SY_B12[[#This Row],[Date]],Daily_KPI[Date],Daily_KPI[POA-UP(KWh/m2)]),"")</f>
        <v>0.88768931480541702</v>
      </c>
      <c r="E44" s="333">
        <f ca="1">IFERROR(VLOOKUP($B44,RD[[#All],[Date]:[IS4Inv2]],E$2,0)/E$1/_xlfn.XLOOKUP(Inv_SY_B12[[#This Row],[Date]],Daily_KPI[Date],Daily_KPI[POA-UP(KWh/m2)]),"")</f>
        <v>0.87054838234918286</v>
      </c>
      <c r="F44" s="333">
        <f ca="1">IFERROR(VLOOKUP($B44,RD[[#All],[Date]:[IS4Inv2]],F$2,0)/F$1/_xlfn.XLOOKUP(Inv_SY_B12[[#This Row],[Date]],Daily_KPI[Date],Daily_KPI[POA-UP(KWh/m2)]),"")</f>
        <v>0.89228482815428645</v>
      </c>
      <c r="G44" s="333">
        <f ca="1">IFERROR(VLOOKUP($B44,RD[[#All],[Date]:[IS4Inv2]],G$2,0)/G$1/_xlfn.XLOOKUP(Inv_SY_B12[[#This Row],[Date]],Daily_KPI[Date],Daily_KPI[POA-UP(KWh/m2)]),"")</f>
        <v>0.27148556075946728</v>
      </c>
      <c r="H44" s="333">
        <f ca="1">IFERROR(VLOOKUP($B44,RD[[#All],[Date]:[IS4Inv2]],H$2,0)/H$1/_xlfn.XLOOKUP(Inv_SY_B12[[#This Row],[Date]],Daily_KPI[Date],Daily_KPI[POA-UP(KWh/m2)]),"")</f>
        <v>0.50857512681172379</v>
      </c>
      <c r="I44" s="333">
        <f ca="1">IFERROR(VLOOKUP($B44,RD[[#All],[Date]:[IS4Inv2]],I$2,0)/I$1/_xlfn.XLOOKUP(Inv_SY_B12[[#This Row],[Date]],Daily_KPI[Date],Daily_KPI[POA-UP(KWh/m2)]),"")</f>
        <v>0.90001234575062627</v>
      </c>
    </row>
    <row r="45" spans="2:9">
      <c r="B45" s="224">
        <f t="shared" ca="1" si="2"/>
        <v>45835</v>
      </c>
      <c r="C45" s="333">
        <f ca="1">IFERROR(VLOOKUP($B45,RD[[#All],[Date]:[IS4Inv2]],C$2,0)/C$1/_xlfn.XLOOKUP(Inv_SY_B12[[#This Row],[Date]],Daily_KPI[Date],Daily_KPI[POA-UP(KWh/m2)]),"")</f>
        <v>0.89952635429808858</v>
      </c>
      <c r="D45" s="333">
        <f ca="1">IFERROR(VLOOKUP($B45,RD[[#All],[Date]:[IS4Inv2]],D$2,0)/D$1/_xlfn.XLOOKUP(Inv_SY_B12[[#This Row],[Date]],Daily_KPI[Date],Daily_KPI[POA-UP(KWh/m2)]),"")</f>
        <v>0.90665852948760639</v>
      </c>
      <c r="E45" s="333">
        <f ca="1">IFERROR(VLOOKUP($B45,RD[[#All],[Date]:[IS4Inv2]],E$2,0)/E$1/_xlfn.XLOOKUP(Inv_SY_B12[[#This Row],[Date]],Daily_KPI[Date],Daily_KPI[POA-UP(KWh/m2)]),"")</f>
        <v>0.88328853796855578</v>
      </c>
      <c r="F45" s="333">
        <f ca="1">IFERROR(VLOOKUP($B45,RD[[#All],[Date]:[IS4Inv2]],F$2,0)/F$1/_xlfn.XLOOKUP(Inv_SY_B12[[#This Row],[Date]],Daily_KPI[Date],Daily_KPI[POA-UP(KWh/m2)]),"")</f>
        <v>0.90927324840740653</v>
      </c>
      <c r="G45" s="333">
        <f ca="1">IFERROR(VLOOKUP($B45,RD[[#All],[Date]:[IS4Inv2]],G$2,0)/G$1/_xlfn.XLOOKUP(Inv_SY_B12[[#This Row],[Date]],Daily_KPI[Date],Daily_KPI[POA-UP(KWh/m2)]),"")</f>
        <v>0.88340016168047442</v>
      </c>
      <c r="H45" s="333">
        <f ca="1">IFERROR(VLOOKUP($B45,RD[[#All],[Date]:[IS4Inv2]],H$2,0)/H$1/_xlfn.XLOOKUP(Inv_SY_B12[[#This Row],[Date]],Daily_KPI[Date],Daily_KPI[POA-UP(KWh/m2)]),"")</f>
        <v>0.9073004004739692</v>
      </c>
      <c r="I45" s="333">
        <f ca="1">IFERROR(VLOOKUP($B45,RD[[#All],[Date]:[IS4Inv2]],I$2,0)/I$1/_xlfn.XLOOKUP(Inv_SY_B12[[#This Row],[Date]],Daily_KPI[Date],Daily_KPI[POA-UP(KWh/m2)]),"")</f>
        <v>0.90582862113962592</v>
      </c>
    </row>
    <row r="46" spans="2:9">
      <c r="B46" s="224">
        <f t="shared" ca="1" si="2"/>
        <v>45836</v>
      </c>
      <c r="C46" s="333">
        <f ca="1">IFERROR(VLOOKUP($B46,RD[[#All],[Date]:[IS4Inv2]],C$2,0)/C$1/_xlfn.XLOOKUP(Inv_SY_B12[[#This Row],[Date]],Daily_KPI[Date],Daily_KPI[POA-UP(KWh/m2)]),"")</f>
        <v>0.8771528202056853</v>
      </c>
      <c r="D46" s="333">
        <f ca="1">IFERROR(VLOOKUP($B46,RD[[#All],[Date]:[IS4Inv2]],D$2,0)/D$1/_xlfn.XLOOKUP(Inv_SY_B12[[#This Row],[Date]],Daily_KPI[Date],Daily_KPI[POA-UP(KWh/m2)]),"")</f>
        <v>0.88180459347729412</v>
      </c>
      <c r="E46" s="333">
        <f ca="1">IFERROR(VLOOKUP($B46,RD[[#All],[Date]:[IS4Inv2]],E$2,0)/E$1/_xlfn.XLOOKUP(Inv_SY_B12[[#This Row],[Date]],Daily_KPI[Date],Daily_KPI[POA-UP(KWh/m2)]),"")</f>
        <v>0.86254395452778687</v>
      </c>
      <c r="F46" s="333">
        <f ca="1">IFERROR(VLOOKUP($B46,RD[[#All],[Date]:[IS4Inv2]],F$2,0)/F$1/_xlfn.XLOOKUP(Inv_SY_B12[[#This Row],[Date]],Daily_KPI[Date],Daily_KPI[POA-UP(KWh/m2)]),"")</f>
        <v>0.8763707667161138</v>
      </c>
      <c r="G46" s="333">
        <f ca="1">IFERROR(VLOOKUP($B46,RD[[#All],[Date]:[IS4Inv2]],G$2,0)/G$1/_xlfn.XLOOKUP(Inv_SY_B12[[#This Row],[Date]],Daily_KPI[Date],Daily_KPI[POA-UP(KWh/m2)]),"")</f>
        <v>0.87999485366774333</v>
      </c>
      <c r="H46" s="333">
        <f ca="1">IFERROR(VLOOKUP($B46,RD[[#All],[Date]:[IS4Inv2]],H$2,0)/H$1/_xlfn.XLOOKUP(Inv_SY_B12[[#This Row],[Date]],Daily_KPI[Date],Daily_KPI[POA-UP(KWh/m2)]),"")</f>
        <v>0.90716177832521749</v>
      </c>
      <c r="I46" s="333">
        <f ca="1">IFERROR(VLOOKUP($B46,RD[[#All],[Date]:[IS4Inv2]],I$2,0)/I$1/_xlfn.XLOOKUP(Inv_SY_B12[[#This Row],[Date]],Daily_KPI[Date],Daily_KPI[POA-UP(KWh/m2)]),"")</f>
        <v>0.90292891227389249</v>
      </c>
    </row>
    <row r="47" spans="2:9">
      <c r="B47" s="224">
        <f t="shared" ca="1" si="2"/>
        <v>45837</v>
      </c>
      <c r="C47" s="333">
        <f ca="1">IFERROR(VLOOKUP($B47,RD[[#All],[Date]:[IS4Inv2]],C$2,0)/C$1/_xlfn.XLOOKUP(Inv_SY_B12[[#This Row],[Date]],Daily_KPI[Date],Daily_KPI[POA-UP(KWh/m2)]),"")</f>
        <v>0.52038578529337198</v>
      </c>
      <c r="D47" s="333">
        <f ca="1">IFERROR(VLOOKUP($B47,RD[[#All],[Date]:[IS4Inv2]],D$2,0)/D$1/_xlfn.XLOOKUP(Inv_SY_B12[[#This Row],[Date]],Daily_KPI[Date],Daily_KPI[POA-UP(KWh/m2)]),"")</f>
        <v>0.52338848235877167</v>
      </c>
      <c r="E47" s="333">
        <f ca="1">IFERROR(VLOOKUP($B47,RD[[#All],[Date]:[IS4Inv2]],E$2,0)/E$1/_xlfn.XLOOKUP(Inv_SY_B12[[#This Row],[Date]],Daily_KPI[Date],Daily_KPI[POA-UP(KWh/m2)]),"")</f>
        <v>0.49103125338678177</v>
      </c>
      <c r="F47" s="333">
        <f ca="1">IFERROR(VLOOKUP($B47,RD[[#All],[Date]:[IS4Inv2]],F$2,0)/F$1/_xlfn.XLOOKUP(Inv_SY_B12[[#This Row],[Date]],Daily_KPI[Date],Daily_KPI[POA-UP(KWh/m2)]),"")</f>
        <v>0.49669036199677669</v>
      </c>
      <c r="G47" s="333">
        <f ca="1">IFERROR(VLOOKUP($B47,RD[[#All],[Date]:[IS4Inv2]],G$2,0)/G$1/_xlfn.XLOOKUP(Inv_SY_B12[[#This Row],[Date]],Daily_KPI[Date],Daily_KPI[POA-UP(KWh/m2)]),"")</f>
        <v>0.50257970415336262</v>
      </c>
      <c r="H47" s="333">
        <f ca="1">IFERROR(VLOOKUP($B47,RD[[#All],[Date]:[IS4Inv2]],H$2,0)/H$1/_xlfn.XLOOKUP(Inv_SY_B12[[#This Row],[Date]],Daily_KPI[Date],Daily_KPI[POA-UP(KWh/m2)]),"")</f>
        <v>0.5474417823555755</v>
      </c>
      <c r="I47" s="333">
        <f ca="1">IFERROR(VLOOKUP($B47,RD[[#All],[Date]:[IS4Inv2]],I$2,0)/I$1/_xlfn.XLOOKUP(Inv_SY_B12[[#This Row],[Date]],Daily_KPI[Date],Daily_KPI[POA-UP(KWh/m2)]),"")</f>
        <v>0.53056426332288409</v>
      </c>
    </row>
    <row r="48" spans="2:9">
      <c r="B48" s="224">
        <f t="shared" ca="1" si="2"/>
        <v>45838</v>
      </c>
      <c r="C48" s="333">
        <f ca="1">IFERROR(VLOOKUP($B48,RD[[#All],[Date]:[IS4Inv2]],C$2,0)/C$1/_xlfn.XLOOKUP(Inv_SY_B12[[#This Row],[Date]],Daily_KPI[Date],Daily_KPI[POA-UP(KWh/m2)]),"")</f>
        <v>0.95561332893237039</v>
      </c>
      <c r="D48" s="333">
        <f ca="1">IFERROR(VLOOKUP($B48,RD[[#All],[Date]:[IS4Inv2]],D$2,0)/D$1/_xlfn.XLOOKUP(Inv_SY_B12[[#This Row],[Date]],Daily_KPI[Date],Daily_KPI[POA-UP(KWh/m2)]),"")</f>
        <v>0.9627085724133192</v>
      </c>
      <c r="E48" s="333">
        <f ca="1">IFERROR(VLOOKUP($B48,RD[[#All],[Date]:[IS4Inv2]],E$2,0)/E$1/_xlfn.XLOOKUP(Inv_SY_B12[[#This Row],[Date]],Daily_KPI[Date],Daily_KPI[POA-UP(KWh/m2)]),"")</f>
        <v>0.95736135300476022</v>
      </c>
      <c r="F48" s="333">
        <f ca="1">IFERROR(VLOOKUP($B48,RD[[#All],[Date]:[IS4Inv2]],F$2,0)/F$1/_xlfn.XLOOKUP(Inv_SY_B12[[#This Row],[Date]],Daily_KPI[Date],Daily_KPI[POA-UP(KWh/m2)]),"")</f>
        <v>0.9720867974609857</v>
      </c>
      <c r="G48" s="333">
        <f ca="1">IFERROR(VLOOKUP($B48,RD[[#All],[Date]:[IS4Inv2]],G$2,0)/G$1/_xlfn.XLOOKUP(Inv_SY_B12[[#This Row],[Date]],Daily_KPI[Date],Daily_KPI[POA-UP(KWh/m2)]),"")</f>
        <v>0.96654210592348822</v>
      </c>
      <c r="H48" s="333">
        <f ca="1">IFERROR(VLOOKUP($B48,RD[[#All],[Date]:[IS4Inv2]],H$2,0)/H$1/_xlfn.XLOOKUP(Inv_SY_B12[[#This Row],[Date]],Daily_KPI[Date],Daily_KPI[POA-UP(KWh/m2)]),"")</f>
        <v>0.96892769920536559</v>
      </c>
      <c r="I48" s="333">
        <f ca="1">IFERROR(VLOOKUP($B48,RD[[#All],[Date]:[IS4Inv2]],I$2,0)/I$1/_xlfn.XLOOKUP(Inv_SY_B12[[#This Row],[Date]],Daily_KPI[Date],Daily_KPI[POA-UP(KWh/m2)]),"")</f>
        <v>0.95695578479259313</v>
      </c>
    </row>
    <row r="49" spans="2:9">
      <c r="B49" s="224">
        <f t="shared" ca="1" si="2"/>
        <v>45839</v>
      </c>
      <c r="C49" s="333">
        <f ca="1">IFERROR(VLOOKUP($B49,RD[[#All],[Date]:[IS4Inv2]],C$2,0)/C$1/_xlfn.XLOOKUP(Inv_SY_B12[[#This Row],[Date]],Daily_KPI[Date],Daily_KPI[POA-UP(KWh/m2)]),"")</f>
        <v>0.77851839483276808</v>
      </c>
      <c r="D49" s="333">
        <f ca="1">IFERROR(VLOOKUP($B49,RD[[#All],[Date]:[IS4Inv2]],D$2,0)/D$1/_xlfn.XLOOKUP(Inv_SY_B12[[#This Row],[Date]],Daily_KPI[Date],Daily_KPI[POA-UP(KWh/m2)]),"")</f>
        <v>0.78900291234790187</v>
      </c>
      <c r="E49" s="333">
        <f ca="1">IFERROR(VLOOKUP($B49,RD[[#All],[Date]:[IS4Inv2]],E$2,0)/E$1/_xlfn.XLOOKUP(Inv_SY_B12[[#This Row],[Date]],Daily_KPI[Date],Daily_KPI[POA-UP(KWh/m2)]),"")</f>
        <v>0.77506159832160249</v>
      </c>
      <c r="F49" s="333">
        <f ca="1">IFERROR(VLOOKUP($B49,RD[[#All],[Date]:[IS4Inv2]],F$2,0)/F$1/_xlfn.XLOOKUP(Inv_SY_B12[[#This Row],[Date]],Daily_KPI[Date],Daily_KPI[POA-UP(KWh/m2)]),"")</f>
        <v>0.78954844515865918</v>
      </c>
      <c r="G49" s="333">
        <f ca="1">IFERROR(VLOOKUP($B49,RD[[#All],[Date]:[IS4Inv2]],G$2,0)/G$1/_xlfn.XLOOKUP(Inv_SY_B12[[#This Row],[Date]],Daily_KPI[Date],Daily_KPI[POA-UP(KWh/m2)]),"")</f>
        <v>0.80089577171058568</v>
      </c>
      <c r="H49" s="333">
        <f ca="1">IFERROR(VLOOKUP($B49,RD[[#All],[Date]:[IS4Inv2]],H$2,0)/H$1/_xlfn.XLOOKUP(Inv_SY_B12[[#This Row],[Date]],Daily_KPI[Date],Daily_KPI[POA-UP(KWh/m2)]),"")</f>
        <v>0.81588589844121484</v>
      </c>
      <c r="I49" s="333">
        <f ca="1">IFERROR(VLOOKUP($B49,RD[[#All],[Date]:[IS4Inv2]],I$2,0)/I$1/_xlfn.XLOOKUP(Inv_SY_B12[[#This Row],[Date]],Daily_KPI[Date],Daily_KPI[POA-UP(KWh/m2)]),"")</f>
        <v>0.74319074526326367</v>
      </c>
    </row>
    <row r="50" spans="2:9">
      <c r="B50" s="224">
        <f t="shared" ca="1" si="2"/>
        <v>45840</v>
      </c>
      <c r="C50" s="333">
        <f ca="1">IFERROR(VLOOKUP($B50,RD[[#All],[Date]:[IS4Inv2]],C$2,0)/C$1/_xlfn.XLOOKUP(Inv_SY_B12[[#This Row],[Date]],Daily_KPI[Date],Daily_KPI[POA-UP(KWh/m2)]),"")</f>
        <v>0.88177773476657129</v>
      </c>
      <c r="D50" s="333">
        <f ca="1">IFERROR(VLOOKUP($B50,RD[[#All],[Date]:[IS4Inv2]],D$2,0)/D$1/_xlfn.XLOOKUP(Inv_SY_B12[[#This Row],[Date]],Daily_KPI[Date],Daily_KPI[POA-UP(KWh/m2)]),"")</f>
        <v>0.88657402452376999</v>
      </c>
      <c r="E50" s="333">
        <f ca="1">IFERROR(VLOOKUP($B50,RD[[#All],[Date]:[IS4Inv2]],E$2,0)/E$1/_xlfn.XLOOKUP(Inv_SY_B12[[#This Row],[Date]],Daily_KPI[Date],Daily_KPI[POA-UP(KWh/m2)]),"")</f>
        <v>0.84672545178606717</v>
      </c>
      <c r="F50" s="333">
        <f ca="1">IFERROR(VLOOKUP($B50,RD[[#All],[Date]:[IS4Inv2]],F$2,0)/F$1/_xlfn.XLOOKUP(Inv_SY_B12[[#This Row],[Date]],Daily_KPI[Date],Daily_KPI[POA-UP(KWh/m2)]),"")</f>
        <v>0.85915543518069581</v>
      </c>
      <c r="G50" s="333">
        <f ca="1">IFERROR(VLOOKUP($B50,RD[[#All],[Date]:[IS4Inv2]],G$2,0)/G$1/_xlfn.XLOOKUP(Inv_SY_B12[[#This Row],[Date]],Daily_KPI[Date],Daily_KPI[POA-UP(KWh/m2)]),"")</f>
        <v>0.88489192333956623</v>
      </c>
      <c r="H50" s="333">
        <f ca="1">IFERROR(VLOOKUP($B50,RD[[#All],[Date]:[IS4Inv2]],H$2,0)/H$1/_xlfn.XLOOKUP(Inv_SY_B12[[#This Row],[Date]],Daily_KPI[Date],Daily_KPI[POA-UP(KWh/m2)]),"")</f>
        <v>0.89371526332181395</v>
      </c>
      <c r="I50" s="333">
        <f ca="1">IFERROR(VLOOKUP($B50,RD[[#All],[Date]:[IS4Inv2]],I$2,0)/I$1/_xlfn.XLOOKUP(Inv_SY_B12[[#This Row],[Date]],Daily_KPI[Date],Daily_KPI[POA-UP(KWh/m2)]),"")</f>
        <v>0.88202934443265968</v>
      </c>
    </row>
    <row r="51" spans="2:9">
      <c r="B51" s="224">
        <f t="shared" ca="1" si="2"/>
        <v>45841</v>
      </c>
      <c r="C51" s="333">
        <f ca="1">IFERROR(VLOOKUP($B51,RD[[#All],[Date]:[IS4Inv2]],C$2,0)/C$1/_xlfn.XLOOKUP(Inv_SY_B12[[#This Row],[Date]],Daily_KPI[Date],Daily_KPI[POA-UP(KWh/m2)]),"")</f>
        <v>0.94018121889584994</v>
      </c>
      <c r="D51" s="333">
        <f ca="1">IFERROR(VLOOKUP($B51,RD[[#All],[Date]:[IS4Inv2]],D$2,0)/D$1/_xlfn.XLOOKUP(Inv_SY_B12[[#This Row],[Date]],Daily_KPI[Date],Daily_KPI[POA-UP(KWh/m2)]),"")</f>
        <v>0.9428129559374997</v>
      </c>
      <c r="E51" s="333">
        <f ca="1">IFERROR(VLOOKUP($B51,RD[[#All],[Date]:[IS4Inv2]],E$2,0)/E$1/_xlfn.XLOOKUP(Inv_SY_B12[[#This Row],[Date]],Daily_KPI[Date],Daily_KPI[POA-UP(KWh/m2)]),"")</f>
        <v>0.92975288849195914</v>
      </c>
      <c r="F51" s="333">
        <f ca="1">IFERROR(VLOOKUP($B51,RD[[#All],[Date]:[IS4Inv2]],F$2,0)/F$1/_xlfn.XLOOKUP(Inv_SY_B12[[#This Row],[Date]],Daily_KPI[Date],Daily_KPI[POA-UP(KWh/m2)]),"")</f>
        <v>0.94028171402677363</v>
      </c>
      <c r="G51" s="333">
        <f ca="1">IFERROR(VLOOKUP($B51,RD[[#All],[Date]:[IS4Inv2]],G$2,0)/G$1/_xlfn.XLOOKUP(Inv_SY_B12[[#This Row],[Date]],Daily_KPI[Date],Daily_KPI[POA-UP(KWh/m2)]),"")</f>
        <v>0.93756902252127561</v>
      </c>
      <c r="H51" s="333">
        <f ca="1">IFERROR(VLOOKUP($B51,RD[[#All],[Date]:[IS4Inv2]],H$2,0)/H$1/_xlfn.XLOOKUP(Inv_SY_B12[[#This Row],[Date]],Daily_KPI[Date],Daily_KPI[POA-UP(KWh/m2)]),"")</f>
        <v>0.95123472586526781</v>
      </c>
      <c r="I51" s="333">
        <f ca="1">IFERROR(VLOOKUP($B51,RD[[#All],[Date]:[IS4Inv2]],I$2,0)/I$1/_xlfn.XLOOKUP(Inv_SY_B12[[#This Row],[Date]],Daily_KPI[Date],Daily_KPI[POA-UP(KWh/m2)]),"")</f>
        <v>0.93451614580001274</v>
      </c>
    </row>
    <row r="52" spans="2:9">
      <c r="B52" s="224">
        <f t="shared" ca="1" si="2"/>
        <v>45842</v>
      </c>
      <c r="C52" s="333">
        <f ca="1">IFERROR(VLOOKUP($B52,RD[[#All],[Date]:[IS4Inv2]],C$2,0)/C$1/_xlfn.XLOOKUP(Inv_SY_B12[[#This Row],[Date]],Daily_KPI[Date],Daily_KPI[POA-UP(KWh/m2)]),"")</f>
        <v>0.93689846758574069</v>
      </c>
      <c r="D52" s="333">
        <f ca="1">IFERROR(VLOOKUP($B52,RD[[#All],[Date]:[IS4Inv2]],D$2,0)/D$1/_xlfn.XLOOKUP(Inv_SY_B12[[#This Row],[Date]],Daily_KPI[Date],Daily_KPI[POA-UP(KWh/m2)]),"")</f>
        <v>0.94627694945843122</v>
      </c>
      <c r="E52" s="333">
        <f ca="1">IFERROR(VLOOKUP($B52,RD[[#All],[Date]:[IS4Inv2]],E$2,0)/E$1/_xlfn.XLOOKUP(Inv_SY_B12[[#This Row],[Date]],Daily_KPI[Date],Daily_KPI[POA-UP(KWh/m2)]),"")</f>
        <v>0.9379257938127521</v>
      </c>
      <c r="F52" s="333">
        <f ca="1">IFERROR(VLOOKUP($B52,RD[[#All],[Date]:[IS4Inv2]],F$2,0)/F$1/_xlfn.XLOOKUP(Inv_SY_B12[[#This Row],[Date]],Daily_KPI[Date],Daily_KPI[POA-UP(KWh/m2)]),"")</f>
        <v>0.95379585246215826</v>
      </c>
      <c r="G52" s="333">
        <f ca="1">IFERROR(VLOOKUP($B52,RD[[#All],[Date]:[IS4Inv2]],G$2,0)/G$1/_xlfn.XLOOKUP(Inv_SY_B12[[#This Row],[Date]],Daily_KPI[Date],Daily_KPI[POA-UP(KWh/m2)]),"")</f>
        <v>0.95689345877543741</v>
      </c>
      <c r="H52" s="333">
        <f ca="1">IFERROR(VLOOKUP($B52,RD[[#All],[Date]:[IS4Inv2]],H$2,0)/H$1/_xlfn.XLOOKUP(Inv_SY_B12[[#This Row],[Date]],Daily_KPI[Date],Daily_KPI[POA-UP(KWh/m2)]),"")</f>
        <v>0.94865903596340051</v>
      </c>
      <c r="I52" s="333">
        <f ca="1">IFERROR(VLOOKUP($B52,RD[[#All],[Date]:[IS4Inv2]],I$2,0)/I$1/_xlfn.XLOOKUP(Inv_SY_B12[[#This Row],[Date]],Daily_KPI[Date],Daily_KPI[POA-UP(KWh/m2)]),"")</f>
        <v>0.93786509965413134</v>
      </c>
    </row>
    <row r="53" spans="2:9">
      <c r="B53" s="224">
        <f t="shared" ca="1" si="2"/>
        <v>45843</v>
      </c>
      <c r="C53" s="333">
        <f ca="1">IFERROR(VLOOKUP($B53,RD[[#All],[Date]:[IS4Inv2]],C$2,0)/C$1/_xlfn.XLOOKUP(Inv_SY_B12[[#This Row],[Date]],Daily_KPI[Date],Daily_KPI[POA-UP(KWh/m2)]),"")</f>
        <v>0.93344618288042791</v>
      </c>
      <c r="D53" s="333">
        <f ca="1">IFERROR(VLOOKUP($B53,RD[[#All],[Date]:[IS4Inv2]],D$2,0)/D$1/_xlfn.XLOOKUP(Inv_SY_B12[[#This Row],[Date]],Daily_KPI[Date],Daily_KPI[POA-UP(KWh/m2)]),"")</f>
        <v>0.93967696105245624</v>
      </c>
      <c r="E53" s="333">
        <f ca="1">IFERROR(VLOOKUP($B53,RD[[#All],[Date]:[IS4Inv2]],E$2,0)/E$1/_xlfn.XLOOKUP(Inv_SY_B12[[#This Row],[Date]],Daily_KPI[Date],Daily_KPI[POA-UP(KWh/m2)]),"")</f>
        <v>0.93435520125905058</v>
      </c>
      <c r="F53" s="333">
        <f ca="1">IFERROR(VLOOKUP($B53,RD[[#All],[Date]:[IS4Inv2]],F$2,0)/F$1/_xlfn.XLOOKUP(Inv_SY_B12[[#This Row],[Date]],Daily_KPI[Date],Daily_KPI[POA-UP(KWh/m2)]),"")</f>
        <v>0.94531729353512517</v>
      </c>
      <c r="G53" s="333">
        <f ca="1">IFERROR(VLOOKUP($B53,RD[[#All],[Date]:[IS4Inv2]],G$2,0)/G$1/_xlfn.XLOOKUP(Inv_SY_B12[[#This Row],[Date]],Daily_KPI[Date],Daily_KPI[POA-UP(KWh/m2)]),"")</f>
        <v>0.9382000204689217</v>
      </c>
      <c r="H53" s="333">
        <f ca="1">IFERROR(VLOOKUP($B53,RD[[#All],[Date]:[IS4Inv2]],H$2,0)/H$1/_xlfn.XLOOKUP(Inv_SY_B12[[#This Row],[Date]],Daily_KPI[Date],Daily_KPI[POA-UP(KWh/m2)]),"")</f>
        <v>0.93904415280803355</v>
      </c>
      <c r="I53" s="333">
        <f ca="1">IFERROR(VLOOKUP($B53,RD[[#All],[Date]:[IS4Inv2]],I$2,0)/I$1/_xlfn.XLOOKUP(Inv_SY_B12[[#This Row],[Date]],Daily_KPI[Date],Daily_KPI[POA-UP(KWh/m2)]),"")</f>
        <v>0.92248684979544127</v>
      </c>
    </row>
    <row r="54" spans="2:9">
      <c r="B54" s="224">
        <f t="shared" ca="1" si="2"/>
        <v>45844</v>
      </c>
      <c r="C54" s="333">
        <f ca="1">IFERROR(VLOOKUP($B54,RD[[#All],[Date]:[IS4Inv2]],C$2,0)/C$1/_xlfn.XLOOKUP(Inv_SY_B12[[#This Row],[Date]],Daily_KPI[Date],Daily_KPI[POA-UP(KWh/m2)]),"")</f>
        <v>0.95491805390871976</v>
      </c>
      <c r="D54" s="333">
        <f ca="1">IFERROR(VLOOKUP($B54,RD[[#All],[Date]:[IS4Inv2]],D$2,0)/D$1/_xlfn.XLOOKUP(Inv_SY_B12[[#This Row],[Date]],Daily_KPI[Date],Daily_KPI[POA-UP(KWh/m2)]),"")</f>
        <v>0.96199792216278313</v>
      </c>
      <c r="E54" s="333">
        <f ca="1">IFERROR(VLOOKUP($B54,RD[[#All],[Date]:[IS4Inv2]],E$2,0)/E$1/_xlfn.XLOOKUP(Inv_SY_B12[[#This Row],[Date]],Daily_KPI[Date],Daily_KPI[POA-UP(KWh/m2)]),"")</f>
        <v>0.95842263418192697</v>
      </c>
      <c r="F54" s="333">
        <f ca="1">IFERROR(VLOOKUP($B54,RD[[#All],[Date]:[IS4Inv2]],F$2,0)/F$1/_xlfn.XLOOKUP(Inv_SY_B12[[#This Row],[Date]],Daily_KPI[Date],Daily_KPI[POA-UP(KWh/m2)]),"")</f>
        <v>0.92960699292236504</v>
      </c>
      <c r="G54" s="333">
        <f ca="1">IFERROR(VLOOKUP($B54,RD[[#All],[Date]:[IS4Inv2]],G$2,0)/G$1/_xlfn.XLOOKUP(Inv_SY_B12[[#This Row],[Date]],Daily_KPI[Date],Daily_KPI[POA-UP(KWh/m2)]),"")</f>
        <v>0.93167942752185295</v>
      </c>
      <c r="H54" s="333">
        <f ca="1">IFERROR(VLOOKUP($B54,RD[[#All],[Date]:[IS4Inv2]],H$2,0)/H$1/_xlfn.XLOOKUP(Inv_SY_B12[[#This Row],[Date]],Daily_KPI[Date],Daily_KPI[POA-UP(KWh/m2)]),"")</f>
        <v>0.95881395136500591</v>
      </c>
      <c r="I54" s="333">
        <f ca="1">IFERROR(VLOOKUP($B54,RD[[#All],[Date]:[IS4Inv2]],I$2,0)/I$1/_xlfn.XLOOKUP(Inv_SY_B12[[#This Row],[Date]],Daily_KPI[Date],Daily_KPI[POA-UP(KWh/m2)]),"")</f>
        <v>0.92771327266640291</v>
      </c>
    </row>
    <row r="55" spans="2:9">
      <c r="B55" s="224">
        <f t="shared" ca="1" si="2"/>
        <v>45845</v>
      </c>
      <c r="C55" s="333">
        <f ca="1">IFERROR(VLOOKUP($B55,RD[[#All],[Date]:[IS4Inv2]],C$2,0)/C$1/_xlfn.XLOOKUP(Inv_SY_B12[[#This Row],[Date]],Daily_KPI[Date],Daily_KPI[POA-UP(KWh/m2)]),"")</f>
        <v>1.0402663450931382</v>
      </c>
      <c r="D55" s="333">
        <f ca="1">IFERROR(VLOOKUP($B55,RD[[#All],[Date]:[IS4Inv2]],D$2,0)/D$1/_xlfn.XLOOKUP(Inv_SY_B12[[#This Row],[Date]],Daily_KPI[Date],Daily_KPI[POA-UP(KWh/m2)]),"")</f>
        <v>1.0532739176837449</v>
      </c>
      <c r="E55" s="333">
        <f ca="1">IFERROR(VLOOKUP($B55,RD[[#All],[Date]:[IS4Inv2]],E$2,0)/E$1/_xlfn.XLOOKUP(Inv_SY_B12[[#This Row],[Date]],Daily_KPI[Date],Daily_KPI[POA-UP(KWh/m2)]),"")</f>
        <v>1.0355634984123778</v>
      </c>
      <c r="F55" s="333">
        <f ca="1">IFERROR(VLOOKUP($B55,RD[[#All],[Date]:[IS4Inv2]],F$2,0)/F$1/_xlfn.XLOOKUP(Inv_SY_B12[[#This Row],[Date]],Daily_KPI[Date],Daily_KPI[POA-UP(KWh/m2)]),"")</f>
        <v>1.0524918632534288</v>
      </c>
      <c r="G55" s="333">
        <f ca="1">IFERROR(VLOOKUP($B55,RD[[#All],[Date]:[IS4Inv2]],G$2,0)/G$1/_xlfn.XLOOKUP(Inv_SY_B12[[#This Row],[Date]],Daily_KPI[Date],Daily_KPI[POA-UP(KWh/m2)]),"")</f>
        <v>1.0508447794029709</v>
      </c>
      <c r="H55" s="333">
        <f ca="1">IFERROR(VLOOKUP($B55,RD[[#All],[Date]:[IS4Inv2]],H$2,0)/H$1/_xlfn.XLOOKUP(Inv_SY_B12[[#This Row],[Date]],Daily_KPI[Date],Daily_KPI[POA-UP(KWh/m2)]),"")</f>
        <v>1.0562459123610204</v>
      </c>
      <c r="I55" s="333">
        <f ca="1">IFERROR(VLOOKUP($B55,RD[[#All],[Date]:[IS4Inv2]],I$2,0)/I$1/_xlfn.XLOOKUP(Inv_SY_B12[[#This Row],[Date]],Daily_KPI[Date],Daily_KPI[POA-UP(KWh/m2)]),"")</f>
        <v>1.044081662569631</v>
      </c>
    </row>
    <row r="56" spans="2:9">
      <c r="B56" s="224">
        <f t="shared" ca="1" si="2"/>
        <v>45846</v>
      </c>
      <c r="C56" s="333">
        <f ca="1">IFERROR(VLOOKUP($B56,RD[[#All],[Date]:[IS4Inv2]],C$2,0)/C$1/_xlfn.XLOOKUP(Inv_SY_B12[[#This Row],[Date]],Daily_KPI[Date],Daily_KPI[POA-UP(KWh/m2)]),"")</f>
        <v>0.97177402410163172</v>
      </c>
      <c r="D56" s="333">
        <f ca="1">IFERROR(VLOOKUP($B56,RD[[#All],[Date]:[IS4Inv2]],D$2,0)/D$1/_xlfn.XLOOKUP(Inv_SY_B12[[#This Row],[Date]],Daily_KPI[Date],Daily_KPI[POA-UP(KWh/m2)]),"")</f>
        <v>0.98495446761545069</v>
      </c>
      <c r="E56" s="333">
        <f ca="1">IFERROR(VLOOKUP($B56,RD[[#All],[Date]:[IS4Inv2]],E$2,0)/E$1/_xlfn.XLOOKUP(Inv_SY_B12[[#This Row],[Date]],Daily_KPI[Date],Daily_KPI[POA-UP(KWh/m2)]),"")</f>
        <v>0.97983445653017864</v>
      </c>
      <c r="F56" s="333">
        <f ca="1">IFERROR(VLOOKUP($B56,RD[[#All],[Date]:[IS4Inv2]],F$2,0)/F$1/_xlfn.XLOOKUP(Inv_SY_B12[[#This Row],[Date]],Daily_KPI[Date],Daily_KPI[POA-UP(KWh/m2)]),"")</f>
        <v>0.99741600873816616</v>
      </c>
      <c r="G56" s="333">
        <f ca="1">IFERROR(VLOOKUP($B56,RD[[#All],[Date]:[IS4Inv2]],G$2,0)/G$1/_xlfn.XLOOKUP(Inv_SY_B12[[#This Row],[Date]],Daily_KPI[Date],Daily_KPI[POA-UP(KWh/m2)]),"")</f>
        <v>0.99738673079735962</v>
      </c>
      <c r="H56" s="333">
        <f ca="1">IFERROR(VLOOKUP($B56,RD[[#All],[Date]:[IS4Inv2]],H$2,0)/H$1/_xlfn.XLOOKUP(Inv_SY_B12[[#This Row],[Date]],Daily_KPI[Date],Daily_KPI[POA-UP(KWh/m2)]),"")</f>
        <v>0.99345246774075968</v>
      </c>
      <c r="I56" s="333">
        <f ca="1">IFERROR(VLOOKUP($B56,RD[[#All],[Date]:[IS4Inv2]],I$2,0)/I$1/_xlfn.XLOOKUP(Inv_SY_B12[[#This Row],[Date]],Daily_KPI[Date],Daily_KPI[POA-UP(KWh/m2)]),"")</f>
        <v>0.98220957570897438</v>
      </c>
    </row>
    <row r="57" spans="2:9">
      <c r="B57" s="224">
        <f t="shared" ca="1" si="2"/>
        <v>45847</v>
      </c>
      <c r="C57" s="333">
        <f ca="1">IFERROR(VLOOKUP($B57,RD[[#All],[Date]:[IS4Inv2]],C$2,0)/C$1/_xlfn.XLOOKUP(Inv_SY_B12[[#This Row],[Date]],Daily_KPI[Date],Daily_KPI[POA-UP(KWh/m2)]),"")</f>
        <v>0.98271027061067717</v>
      </c>
      <c r="D57" s="333">
        <f ca="1">IFERROR(VLOOKUP($B57,RD[[#All],[Date]:[IS4Inv2]],D$2,0)/D$1/_xlfn.XLOOKUP(Inv_SY_B12[[#This Row],[Date]],Daily_KPI[Date],Daily_KPI[POA-UP(KWh/m2)]),"")</f>
        <v>0.99344898031255047</v>
      </c>
      <c r="E57" s="333">
        <f ca="1">IFERROR(VLOOKUP($B57,RD[[#All],[Date]:[IS4Inv2]],E$2,0)/E$1/_xlfn.XLOOKUP(Inv_SY_B12[[#This Row],[Date]],Daily_KPI[Date],Daily_KPI[POA-UP(KWh/m2)]),"")</f>
        <v>0.98411263741530175</v>
      </c>
      <c r="F57" s="333">
        <f ca="1">IFERROR(VLOOKUP($B57,RD[[#All],[Date]:[IS4Inv2]],F$2,0)/F$1/_xlfn.XLOOKUP(Inv_SY_B12[[#This Row],[Date]],Daily_KPI[Date],Daily_KPI[POA-UP(KWh/m2)]),"")</f>
        <v>0.99915174023838393</v>
      </c>
      <c r="G57" s="333">
        <f ca="1">IFERROR(VLOOKUP($B57,RD[[#All],[Date]:[IS4Inv2]],G$2,0)/G$1/_xlfn.XLOOKUP(Inv_SY_B12[[#This Row],[Date]],Daily_KPI[Date],Daily_KPI[POA-UP(KWh/m2)]),"")</f>
        <v>0.99476754679306389</v>
      </c>
      <c r="H57" s="333">
        <f ca="1">IFERROR(VLOOKUP($B57,RD[[#All],[Date]:[IS4Inv2]],H$2,0)/H$1/_xlfn.XLOOKUP(Inv_SY_B12[[#This Row],[Date]],Daily_KPI[Date],Daily_KPI[POA-UP(KWh/m2)]),"")</f>
        <v>0.99631120959896224</v>
      </c>
      <c r="I57" s="333">
        <f ca="1">IFERROR(VLOOKUP($B57,RD[[#All],[Date]:[IS4Inv2]],I$2,0)/I$1/_xlfn.XLOOKUP(Inv_SY_B12[[#This Row],[Date]],Daily_KPI[Date],Daily_KPI[POA-UP(KWh/m2)]),"")</f>
        <v>0.99182520808561236</v>
      </c>
    </row>
    <row r="58" spans="2:9">
      <c r="B58" s="224">
        <f t="shared" ca="1" si="2"/>
        <v>45848</v>
      </c>
      <c r="C58" s="333">
        <f ca="1">IFERROR(VLOOKUP($B58,RD[[#All],[Date]:[IS4Inv2]],C$2,0)/C$1/_xlfn.XLOOKUP(Inv_SY_B12[[#This Row],[Date]],Daily_KPI[Date],Daily_KPI[POA-UP(KWh/m2)]),"")</f>
        <v>0.88981387348115237</v>
      </c>
      <c r="D58" s="333">
        <f ca="1">IFERROR(VLOOKUP($B58,RD[[#All],[Date]:[IS4Inv2]],D$2,0)/D$1/_xlfn.XLOOKUP(Inv_SY_B12[[#This Row],[Date]],Daily_KPI[Date],Daily_KPI[POA-UP(KWh/m2)]),"")</f>
        <v>0.89878061945097809</v>
      </c>
      <c r="E58" s="333">
        <f ca="1">IFERROR(VLOOKUP($B58,RD[[#All],[Date]:[IS4Inv2]],E$2,0)/E$1/_xlfn.XLOOKUP(Inv_SY_B12[[#This Row],[Date]],Daily_KPI[Date],Daily_KPI[POA-UP(KWh/m2)]),"")</f>
        <v>0.89622363797523708</v>
      </c>
      <c r="F58" s="333">
        <f ca="1">IFERROR(VLOOKUP($B58,RD[[#All],[Date]:[IS4Inv2]],F$2,0)/F$1/_xlfn.XLOOKUP(Inv_SY_B12[[#This Row],[Date]],Daily_KPI[Date],Daily_KPI[POA-UP(KWh/m2)]),"")</f>
        <v>0.90851262305889557</v>
      </c>
      <c r="G58" s="333">
        <f ca="1">IFERROR(VLOOKUP($B58,RD[[#All],[Date]:[IS4Inv2]],G$2,0)/G$1/_xlfn.XLOOKUP(Inv_SY_B12[[#This Row],[Date]],Daily_KPI[Date],Daily_KPI[POA-UP(KWh/m2)]),"")</f>
        <v>0.90482366727008245</v>
      </c>
      <c r="H58" s="333">
        <f ca="1">IFERROR(VLOOKUP($B58,RD[[#All],[Date]:[IS4Inv2]],H$2,0)/H$1/_xlfn.XLOOKUP(Inv_SY_B12[[#This Row],[Date]],Daily_KPI[Date],Daily_KPI[POA-UP(KWh/m2)]),"")</f>
        <v>0.91152226460701746</v>
      </c>
      <c r="I58" s="333">
        <f ca="1">IFERROR(VLOOKUP($B58,RD[[#All],[Date]:[IS4Inv2]],I$2,0)/I$1/_xlfn.XLOOKUP(Inv_SY_B12[[#This Row],[Date]],Daily_KPI[Date],Daily_KPI[POA-UP(KWh/m2)]),"")</f>
        <v>0.90511340030970278</v>
      </c>
    </row>
    <row r="59" spans="2:9">
      <c r="B59" s="224">
        <f t="shared" ca="1" si="2"/>
        <v>45849</v>
      </c>
      <c r="C59" s="333">
        <f ca="1">IFERROR(VLOOKUP($B59,RD[[#All],[Date]:[IS4Inv2]],C$2,0)/C$1/_xlfn.XLOOKUP(Inv_SY_B12[[#This Row],[Date]],Daily_KPI[Date],Daily_KPI[POA-UP(KWh/m2)]),"")</f>
        <v>0.88040311236935898</v>
      </c>
      <c r="D59" s="333">
        <f ca="1">IFERROR(VLOOKUP($B59,RD[[#All],[Date]:[IS4Inv2]],D$2,0)/D$1/_xlfn.XLOOKUP(Inv_SY_B12[[#This Row],[Date]],Daily_KPI[Date],Daily_KPI[POA-UP(KWh/m2)]),"")</f>
        <v>0.88693857060711245</v>
      </c>
      <c r="E59" s="333">
        <f ca="1">IFERROR(VLOOKUP($B59,RD[[#All],[Date]:[IS4Inv2]],E$2,0)/E$1/_xlfn.XLOOKUP(Inv_SY_B12[[#This Row],[Date]],Daily_KPI[Date],Daily_KPI[POA-UP(KWh/m2)]),"")</f>
        <v>0.87230563855622012</v>
      </c>
      <c r="F59" s="333">
        <f ca="1">IFERROR(VLOOKUP($B59,RD[[#All],[Date]:[IS4Inv2]],F$2,0)/F$1/_xlfn.XLOOKUP(Inv_SY_B12[[#This Row],[Date]],Daily_KPI[Date],Daily_KPI[POA-UP(KWh/m2)]),"")</f>
        <v>0.88235841820880379</v>
      </c>
      <c r="G59" s="333">
        <f ca="1">IFERROR(VLOOKUP($B59,RD[[#All],[Date]:[IS4Inv2]],G$2,0)/G$1/_xlfn.XLOOKUP(Inv_SY_B12[[#This Row],[Date]],Daily_KPI[Date],Daily_KPI[POA-UP(KWh/m2)]),"")</f>
        <v>0.89007174617403539</v>
      </c>
      <c r="H59" s="333">
        <f ca="1">IFERROR(VLOOKUP($B59,RD[[#All],[Date]:[IS4Inv2]],H$2,0)/H$1/_xlfn.XLOOKUP(Inv_SY_B12[[#This Row],[Date]],Daily_KPI[Date],Daily_KPI[POA-UP(KWh/m2)]),"")</f>
        <v>0.90487109913406816</v>
      </c>
      <c r="I59" s="333">
        <f ca="1">IFERROR(VLOOKUP($B59,RD[[#All],[Date]:[IS4Inv2]],I$2,0)/I$1/_xlfn.XLOOKUP(Inv_SY_B12[[#This Row],[Date]],Daily_KPI[Date],Daily_KPI[POA-UP(KWh/m2)]),"")</f>
        <v>0.90028114273127913</v>
      </c>
    </row>
    <row r="60" spans="2:9">
      <c r="B60" s="224">
        <f t="shared" ca="1" si="2"/>
        <v>45850</v>
      </c>
      <c r="C60" s="333">
        <f ca="1">IFERROR(VLOOKUP($B60,RD[[#All],[Date]:[IS4Inv2]],C$2,0)/C$1/_xlfn.XLOOKUP(Inv_SY_B12[[#This Row],[Date]],Daily_KPI[Date],Daily_KPI[POA-UP(KWh/m2)]),"")</f>
        <v>0.83087036612243015</v>
      </c>
      <c r="D60" s="333">
        <f ca="1">IFERROR(VLOOKUP($B60,RD[[#All],[Date]:[IS4Inv2]],D$2,0)/D$1/_xlfn.XLOOKUP(Inv_SY_B12[[#This Row],[Date]],Daily_KPI[Date],Daily_KPI[POA-UP(KWh/m2)]),"")</f>
        <v>0.83477654876592777</v>
      </c>
      <c r="E60" s="333">
        <f ca="1">IFERROR(VLOOKUP($B60,RD[[#All],[Date]:[IS4Inv2]],E$2,0)/E$1/_xlfn.XLOOKUP(Inv_SY_B12[[#This Row],[Date]],Daily_KPI[Date],Daily_KPI[POA-UP(KWh/m2)]),"")</f>
        <v>0.81763304564064954</v>
      </c>
      <c r="F60" s="333">
        <f ca="1">IFERROR(VLOOKUP($B60,RD[[#All],[Date]:[IS4Inv2]],F$2,0)/F$1/_xlfn.XLOOKUP(Inv_SY_B12[[#This Row],[Date]],Daily_KPI[Date],Daily_KPI[POA-UP(KWh/m2)]),"")</f>
        <v>0.82581134567401659</v>
      </c>
      <c r="G60" s="333">
        <f ca="1">IFERROR(VLOOKUP($B60,RD[[#All],[Date]:[IS4Inv2]],G$2,0)/G$1/_xlfn.XLOOKUP(Inv_SY_B12[[#This Row],[Date]],Daily_KPI[Date],Daily_KPI[POA-UP(KWh/m2)]),"")</f>
        <v>0.83763849925036382</v>
      </c>
      <c r="H60" s="333">
        <f ca="1">IFERROR(VLOOKUP($B60,RD[[#All],[Date]:[IS4Inv2]],H$2,0)/H$1/_xlfn.XLOOKUP(Inv_SY_B12[[#This Row],[Date]],Daily_KPI[Date],Daily_KPI[POA-UP(KWh/m2)]),"")</f>
        <v>0.8090734641877283</v>
      </c>
      <c r="I60" s="333">
        <f ca="1">IFERROR(VLOOKUP($B60,RD[[#All],[Date]:[IS4Inv2]],I$2,0)/I$1/_xlfn.XLOOKUP(Inv_SY_B12[[#This Row],[Date]],Daily_KPI[Date],Daily_KPI[POA-UP(KWh/m2)]),"")</f>
        <v>0.80087303810918398</v>
      </c>
    </row>
    <row r="61" spans="2:9">
      <c r="B61" s="224">
        <f t="shared" ca="1" si="2"/>
        <v>45851</v>
      </c>
      <c r="C61" s="333">
        <f ca="1">IFERROR(VLOOKUP($B61,RD[[#All],[Date]:[IS4Inv2]],C$2,0)/C$1/_xlfn.XLOOKUP(Inv_SY_B12[[#This Row],[Date]],Daily_KPI[Date],Daily_KPI[POA-UP(KWh/m2)]),"")</f>
        <v>0.89890008432380508</v>
      </c>
      <c r="D61" s="333">
        <f ca="1">IFERROR(VLOOKUP($B61,RD[[#All],[Date]:[IS4Inv2]],D$2,0)/D$1/_xlfn.XLOOKUP(Inv_SY_B12[[#This Row],[Date]],Daily_KPI[Date],Daily_KPI[POA-UP(KWh/m2)]),"")</f>
        <v>0.90696713636260851</v>
      </c>
      <c r="E61" s="333">
        <f ca="1">IFERROR(VLOOKUP($B61,RD[[#All],[Date]:[IS4Inv2]],E$2,0)/E$1/_xlfn.XLOOKUP(Inv_SY_B12[[#This Row],[Date]],Daily_KPI[Date],Daily_KPI[POA-UP(KWh/m2)]),"")</f>
        <v>0.89971856198498146</v>
      </c>
      <c r="F61" s="333">
        <f ca="1">IFERROR(VLOOKUP($B61,RD[[#All],[Date]:[IS4Inv2]],F$2,0)/F$1/_xlfn.XLOOKUP(Inv_SY_B12[[#This Row],[Date]],Daily_KPI[Date],Daily_KPI[POA-UP(KWh/m2)]),"")</f>
        <v>0.90920837020645795</v>
      </c>
      <c r="G61" s="333">
        <f ca="1">IFERROR(VLOOKUP($B61,RD[[#All],[Date]:[IS4Inv2]],G$2,0)/G$1/_xlfn.XLOOKUP(Inv_SY_B12[[#This Row],[Date]],Daily_KPI[Date],Daily_KPI[POA-UP(KWh/m2)]),"")</f>
        <v>0.90689913548029399</v>
      </c>
      <c r="H61" s="333">
        <f ca="1">IFERROR(VLOOKUP($B61,RD[[#All],[Date]:[IS4Inv2]],H$2,0)/H$1/_xlfn.XLOOKUP(Inv_SY_B12[[#This Row],[Date]],Daily_KPI[Date],Daily_KPI[POA-UP(KWh/m2)]),"")</f>
        <v>0.91097577810578634</v>
      </c>
      <c r="I61" s="333">
        <f ca="1">IFERROR(VLOOKUP($B61,RD[[#All],[Date]:[IS4Inv2]],I$2,0)/I$1/_xlfn.XLOOKUP(Inv_SY_B12[[#This Row],[Date]],Daily_KPI[Date],Daily_KPI[POA-UP(KWh/m2)]),"")</f>
        <v>0.90423821814974159</v>
      </c>
    </row>
    <row r="62" spans="2:9">
      <c r="B62" s="224">
        <f t="shared" ca="1" si="2"/>
        <v>45852</v>
      </c>
      <c r="C62" s="333">
        <f ca="1">IFERROR(VLOOKUP($B62,RD[[#All],[Date]:[IS4Inv2]],C$2,0)/C$1/_xlfn.XLOOKUP(Inv_SY_B12[[#This Row],[Date]],Daily_KPI[Date],Daily_KPI[POA-UP(KWh/m2)]),"")</f>
        <v>0.80526504288803524</v>
      </c>
      <c r="D62" s="333">
        <f ca="1">IFERROR(VLOOKUP($B62,RD[[#All],[Date]:[IS4Inv2]],D$2,0)/D$1/_xlfn.XLOOKUP(Inv_SY_B12[[#This Row],[Date]],Daily_KPI[Date],Daily_KPI[POA-UP(KWh/m2)]),"")</f>
        <v>0.81514951494737475</v>
      </c>
      <c r="E62" s="333">
        <f ca="1">IFERROR(VLOOKUP($B62,RD[[#All],[Date]:[IS4Inv2]],E$2,0)/E$1/_xlfn.XLOOKUP(Inv_SY_B12[[#This Row],[Date]],Daily_KPI[Date],Daily_KPI[POA-UP(KWh/m2)]),"")</f>
        <v>0.79082176438549323</v>
      </c>
      <c r="F62" s="333">
        <f ca="1">IFERROR(VLOOKUP($B62,RD[[#All],[Date]:[IS4Inv2]],F$2,0)/F$1/_xlfn.XLOOKUP(Inv_SY_B12[[#This Row],[Date]],Daily_KPI[Date],Daily_KPI[POA-UP(KWh/m2)]),"")</f>
        <v>0.80323272288350023</v>
      </c>
      <c r="G62" s="333">
        <f ca="1">IFERROR(VLOOKUP($B62,RD[[#All],[Date]:[IS4Inv2]],G$2,0)/G$1/_xlfn.XLOOKUP(Inv_SY_B12[[#This Row],[Date]],Daily_KPI[Date],Daily_KPI[POA-UP(KWh/m2)]),"")</f>
        <v>0.81203797815012102</v>
      </c>
      <c r="H62" s="333">
        <f ca="1">IFERROR(VLOOKUP($B62,RD[[#All],[Date]:[IS4Inv2]],H$2,0)/H$1/_xlfn.XLOOKUP(Inv_SY_B12[[#This Row],[Date]],Daily_KPI[Date],Daily_KPI[POA-UP(KWh/m2)]),"")</f>
        <v>0.83006041722235047</v>
      </c>
      <c r="I62" s="333">
        <f ca="1">IFERROR(VLOOKUP($B62,RD[[#All],[Date]:[IS4Inv2]],I$2,0)/I$1/_xlfn.XLOOKUP(Inv_SY_B12[[#This Row],[Date]],Daily_KPI[Date],Daily_KPI[POA-UP(KWh/m2)]),"")</f>
        <v>0.82764991660900322</v>
      </c>
    </row>
    <row r="63" spans="2:9">
      <c r="B63" s="224">
        <f t="shared" ca="1" si="2"/>
        <v>45853</v>
      </c>
      <c r="C63" s="333">
        <f ca="1">IFERROR(VLOOKUP($B63,RD[[#All],[Date]:[IS4Inv2]],C$2,0)/C$1/_xlfn.XLOOKUP(Inv_SY_B12[[#This Row],[Date]],Daily_KPI[Date],Daily_KPI[POA-UP(KWh/m2)]),"")</f>
        <v>0.8338508002033882</v>
      </c>
      <c r="D63" s="333">
        <f ca="1">IFERROR(VLOOKUP($B63,RD[[#All],[Date]:[IS4Inv2]],D$2,0)/D$1/_xlfn.XLOOKUP(Inv_SY_B12[[#This Row],[Date]],Daily_KPI[Date],Daily_KPI[POA-UP(KWh/m2)]),"")</f>
        <v>0.82951536248770019</v>
      </c>
      <c r="E63" s="333">
        <f ca="1">IFERROR(VLOOKUP($B63,RD[[#All],[Date]:[IS4Inv2]],E$2,0)/E$1/_xlfn.XLOOKUP(Inv_SY_B12[[#This Row],[Date]],Daily_KPI[Date],Daily_KPI[POA-UP(KWh/m2)]),"")</f>
        <v>0.81923297900111691</v>
      </c>
      <c r="F63" s="333">
        <f ca="1">IFERROR(VLOOKUP($B63,RD[[#All],[Date]:[IS4Inv2]],F$2,0)/F$1/_xlfn.XLOOKUP(Inv_SY_B12[[#This Row],[Date]],Daily_KPI[Date],Daily_KPI[POA-UP(KWh/m2)]),"")</f>
        <v>0.82865847262267056</v>
      </c>
      <c r="G63" s="333">
        <f ca="1">IFERROR(VLOOKUP($B63,RD[[#All],[Date]:[IS4Inv2]],G$2,0)/G$1/_xlfn.XLOOKUP(Inv_SY_B12[[#This Row],[Date]],Daily_KPI[Date],Daily_KPI[POA-UP(KWh/m2)]),"")</f>
        <v>0.83097041612155298</v>
      </c>
      <c r="H63" s="333">
        <f ca="1">IFERROR(VLOOKUP($B63,RD[[#All],[Date]:[IS4Inv2]],H$2,0)/H$1/_xlfn.XLOOKUP(Inv_SY_B12[[#This Row],[Date]],Daily_KPI[Date],Daily_KPI[POA-UP(KWh/m2)]),"")</f>
        <v>0.85400495926660225</v>
      </c>
      <c r="I63" s="333">
        <f ca="1">IFERROR(VLOOKUP($B63,RD[[#All],[Date]:[IS4Inv2]],I$2,0)/I$1/_xlfn.XLOOKUP(Inv_SY_B12[[#This Row],[Date]],Daily_KPI[Date],Daily_KPI[POA-UP(KWh/m2)]),"")</f>
        <v>0.845253187519033</v>
      </c>
    </row>
    <row r="64" spans="2:9">
      <c r="B64" s="224">
        <f t="shared" ca="1" si="2"/>
        <v>45854</v>
      </c>
      <c r="C64" s="333" t="str">
        <f ca="1">IFERROR(VLOOKUP($B64,RD[[#All],[Date]:[IS4Inv2]],C$2,0)/C$1/_xlfn.XLOOKUP(Inv_SY_B12[[#This Row],[Date]],Daily_KPI[Date],Daily_KPI[POA-UP(KWh/m2)]),"")</f>
        <v/>
      </c>
      <c r="D64" s="333" t="str">
        <f ca="1">IFERROR(VLOOKUP($B64,RD[[#All],[Date]:[IS4Inv2]],D$2,0)/D$1/_xlfn.XLOOKUP(Inv_SY_B12[[#This Row],[Date]],Daily_KPI[Date],Daily_KPI[POA-UP(KWh/m2)]),"")</f>
        <v/>
      </c>
      <c r="E64" s="333" t="str">
        <f ca="1">IFERROR(VLOOKUP($B64,RD[[#All],[Date]:[IS4Inv2]],E$2,0)/E$1/_xlfn.XLOOKUP(Inv_SY_B12[[#This Row],[Date]],Daily_KPI[Date],Daily_KPI[POA-UP(KWh/m2)]),"")</f>
        <v/>
      </c>
      <c r="F64" s="333" t="str">
        <f ca="1">IFERROR(VLOOKUP($B64,RD[[#All],[Date]:[IS4Inv2]],F$2,0)/F$1/_xlfn.XLOOKUP(Inv_SY_B12[[#This Row],[Date]],Daily_KPI[Date],Daily_KPI[POA-UP(KWh/m2)]),"")</f>
        <v/>
      </c>
      <c r="G64" s="333" t="str">
        <f ca="1">IFERROR(VLOOKUP($B64,RD[[#All],[Date]:[IS4Inv2]],G$2,0)/G$1/_xlfn.XLOOKUP(Inv_SY_B12[[#This Row],[Date]],Daily_KPI[Date],Daily_KPI[POA-UP(KWh/m2)]),"")</f>
        <v/>
      </c>
      <c r="H64" s="333" t="str">
        <f ca="1">IFERROR(VLOOKUP($B64,RD[[#All],[Date]:[IS4Inv2]],H$2,0)/H$1/_xlfn.XLOOKUP(Inv_SY_B12[[#This Row],[Date]],Daily_KPI[Date],Daily_KPI[POA-UP(KWh/m2)]),"")</f>
        <v/>
      </c>
      <c r="I64" s="333" t="str">
        <f ca="1">IFERROR(VLOOKUP($B64,RD[[#All],[Date]:[IS4Inv2]],I$2,0)/I$1/_xlfn.XLOOKUP(Inv_SY_B12[[#This Row],[Date]],Daily_KPI[Date],Daily_KPI[POA-UP(KWh/m2)]),"")</f>
        <v/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406</v>
      </c>
      <c r="P2" s="124" t="s">
        <v>407</v>
      </c>
      <c r="Q2" s="124" t="s">
        <v>408</v>
      </c>
      <c r="R2" s="124" t="s">
        <v>409</v>
      </c>
      <c r="S2" s="124" t="s">
        <v>410</v>
      </c>
      <c r="T2" s="124" t="s">
        <v>411</v>
      </c>
      <c r="U2" s="124" t="s">
        <v>412</v>
      </c>
      <c r="V2" s="124" t="s">
        <v>413</v>
      </c>
      <c r="W2" s="124" t="s">
        <v>414</v>
      </c>
      <c r="X2" s="124" t="s">
        <v>415</v>
      </c>
      <c r="Y2" s="124" t="s">
        <v>416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51" t="s">
        <v>218</v>
      </c>
      <c r="F3" s="351" t="s">
        <v>218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51" t="s">
        <v>218</v>
      </c>
      <c r="F4" s="351" t="s">
        <v>218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51" t="s">
        <v>218</v>
      </c>
      <c r="F5" s="351" t="s">
        <v>218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51" t="s">
        <v>218</v>
      </c>
      <c r="F6" s="351" t="s">
        <v>218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51" t="s">
        <v>218</v>
      </c>
      <c r="F7" s="351" t="s">
        <v>218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51" t="s">
        <v>218</v>
      </c>
      <c r="F8" s="351" t="s">
        <v>218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51" t="s">
        <v>218</v>
      </c>
      <c r="F9" s="351" t="s">
        <v>218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51" t="s">
        <v>218</v>
      </c>
      <c r="F10" s="351" t="s">
        <v>218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51" t="s">
        <v>218</v>
      </c>
      <c r="F11" s="351" t="s">
        <v>218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51" t="s">
        <v>218</v>
      </c>
      <c r="F12" s="351" t="s">
        <v>218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51" t="s">
        <v>218</v>
      </c>
      <c r="F13" s="351" t="s">
        <v>218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51" t="s">
        <v>218</v>
      </c>
      <c r="F14" s="351" t="s">
        <v>218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51" t="s">
        <v>218</v>
      </c>
      <c r="F15" s="351" t="s">
        <v>218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51" t="s">
        <v>218</v>
      </c>
      <c r="F16" s="351" t="s">
        <v>218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51" t="s">
        <v>218</v>
      </c>
      <c r="F17" s="351" t="s">
        <v>218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51" t="s">
        <v>218</v>
      </c>
      <c r="F18" s="351" t="s">
        <v>218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51" t="s">
        <v>218</v>
      </c>
      <c r="F19" s="351" t="s">
        <v>218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51" t="s">
        <v>218</v>
      </c>
      <c r="F20" s="351" t="s">
        <v>218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51" t="s">
        <v>218</v>
      </c>
      <c r="F21" s="351" t="s">
        <v>218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51" t="s">
        <v>218</v>
      </c>
      <c r="F22" s="351" t="s">
        <v>218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51" t="s">
        <v>218</v>
      </c>
      <c r="F23" s="351" t="s">
        <v>218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51" t="s">
        <v>218</v>
      </c>
      <c r="F24" s="351" t="s">
        <v>218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51" t="s">
        <v>218</v>
      </c>
      <c r="F25" s="351" t="s">
        <v>218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51" t="s">
        <v>218</v>
      </c>
      <c r="F26" s="351" t="s">
        <v>218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51" t="s">
        <v>218</v>
      </c>
      <c r="F27" s="351" t="s">
        <v>218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51" t="s">
        <v>218</v>
      </c>
      <c r="F28" s="351" t="s">
        <v>218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51" t="s">
        <v>218</v>
      </c>
      <c r="F29" s="351" t="s">
        <v>218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51" t="s">
        <v>218</v>
      </c>
      <c r="F30" s="351" t="s">
        <v>218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51" t="s">
        <v>218</v>
      </c>
      <c r="F31" s="351" t="s">
        <v>218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51" t="s">
        <v>218</v>
      </c>
      <c r="F32" s="351" t="s">
        <v>218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51" t="s">
        <v>218</v>
      </c>
      <c r="F33" s="351" t="s">
        <v>218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51" t="s">
        <v>218</v>
      </c>
      <c r="F34" s="351" t="s">
        <v>218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51" t="s">
        <v>218</v>
      </c>
      <c r="F35" s="351" t="s">
        <v>218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51" t="s">
        <v>218</v>
      </c>
      <c r="F36" s="351" t="s">
        <v>218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51" t="s">
        <v>218</v>
      </c>
      <c r="F37" s="351" t="s">
        <v>218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51" t="s">
        <v>218</v>
      </c>
      <c r="F38" s="351" t="s">
        <v>218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51" t="s">
        <v>218</v>
      </c>
      <c r="F39" s="351" t="s">
        <v>218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51" t="s">
        <v>218</v>
      </c>
      <c r="F40" s="351" t="s">
        <v>218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51" t="s">
        <v>218</v>
      </c>
      <c r="F41" s="351" t="s">
        <v>218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51" t="s">
        <v>218</v>
      </c>
      <c r="F42" s="351" t="s">
        <v>218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51" t="s">
        <v>218</v>
      </c>
      <c r="F43" s="351" t="s">
        <v>218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51" t="s">
        <v>218</v>
      </c>
      <c r="F44" s="351" t="s">
        <v>218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51" t="s">
        <v>218</v>
      </c>
      <c r="F45" s="351" t="s">
        <v>218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51" t="s">
        <v>218</v>
      </c>
      <c r="F46" s="351" t="s">
        <v>218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51" t="s">
        <v>218</v>
      </c>
      <c r="F47" s="351" t="s">
        <v>218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51" t="s">
        <v>218</v>
      </c>
      <c r="F48" s="351" t="s">
        <v>218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51" t="s">
        <v>218</v>
      </c>
      <c r="F49" s="351" t="s">
        <v>218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51" t="s">
        <v>218</v>
      </c>
      <c r="F50" s="351" t="s">
        <v>218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51" t="s">
        <v>218</v>
      </c>
      <c r="F51" s="351" t="s">
        <v>218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51" t="s">
        <v>218</v>
      </c>
      <c r="F52" s="351" t="s">
        <v>218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51" t="s">
        <v>218</v>
      </c>
      <c r="F53" s="351" t="s">
        <v>218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51" t="s">
        <v>218</v>
      </c>
      <c r="F54" s="351" t="s">
        <v>218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51" t="s">
        <v>218</v>
      </c>
      <c r="F55" s="351" t="s">
        <v>218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51" t="s">
        <v>218</v>
      </c>
      <c r="F56" s="351" t="s">
        <v>218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51" t="s">
        <v>218</v>
      </c>
      <c r="F57" s="351" t="s">
        <v>218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51" t="s">
        <v>218</v>
      </c>
      <c r="F58" s="351" t="s">
        <v>218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51" t="s">
        <v>218</v>
      </c>
      <c r="F59" s="351" t="s">
        <v>218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51" t="s">
        <v>218</v>
      </c>
      <c r="F60" s="351" t="s">
        <v>218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51" t="s">
        <v>218</v>
      </c>
      <c r="F61" s="351" t="s">
        <v>218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51" t="s">
        <v>218</v>
      </c>
      <c r="F62" s="351" t="s">
        <v>218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51" t="s">
        <v>218</v>
      </c>
      <c r="F63" s="351" t="s">
        <v>218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51" t="s">
        <v>218</v>
      </c>
      <c r="F64" s="351" t="s">
        <v>218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51" t="s">
        <v>218</v>
      </c>
      <c r="F65" s="351" t="s">
        <v>218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51" t="s">
        <v>218</v>
      </c>
      <c r="F66" s="351" t="s">
        <v>218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51" t="s">
        <v>218</v>
      </c>
      <c r="F67" s="351" t="s">
        <v>218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51" t="s">
        <v>218</v>
      </c>
      <c r="F68" s="351" t="s">
        <v>218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51" t="s">
        <v>218</v>
      </c>
      <c r="F69" s="351" t="s">
        <v>218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51" t="s">
        <v>218</v>
      </c>
      <c r="F70" s="351" t="s">
        <v>218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51" t="s">
        <v>218</v>
      </c>
      <c r="F71" s="351" t="s">
        <v>218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51" t="s">
        <v>218</v>
      </c>
      <c r="F72" s="351" t="s">
        <v>218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51" t="s">
        <v>218</v>
      </c>
      <c r="F73" s="351" t="s">
        <v>218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51" t="s">
        <v>218</v>
      </c>
      <c r="F74" s="351" t="s">
        <v>218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51" t="s">
        <v>218</v>
      </c>
      <c r="F75" s="351" t="s">
        <v>218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51" t="s">
        <v>218</v>
      </c>
      <c r="F76" s="351" t="s">
        <v>218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51" t="s">
        <v>218</v>
      </c>
      <c r="F77" s="351" t="s">
        <v>218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51" t="s">
        <v>218</v>
      </c>
      <c r="F78" s="351" t="s">
        <v>218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51" t="s">
        <v>218</v>
      </c>
      <c r="F79" s="351" t="s">
        <v>218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51" t="s">
        <v>218</v>
      </c>
      <c r="F80" s="351" t="s">
        <v>218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51" t="s">
        <v>218</v>
      </c>
      <c r="F81" s="351" t="s">
        <v>218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51" t="s">
        <v>218</v>
      </c>
      <c r="F82" s="351" t="s">
        <v>218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51" t="s">
        <v>218</v>
      </c>
      <c r="F83" s="351" t="s">
        <v>218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51" t="s">
        <v>218</v>
      </c>
      <c r="F84" s="351" t="s">
        <v>218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51" t="s">
        <v>218</v>
      </c>
      <c r="F85" s="351" t="s">
        <v>218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51" t="s">
        <v>218</v>
      </c>
      <c r="F86" s="351" t="s">
        <v>218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51" t="s">
        <v>218</v>
      </c>
      <c r="F87" s="351" t="s">
        <v>218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51" t="s">
        <v>218</v>
      </c>
      <c r="F88" s="351" t="s">
        <v>218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51" t="s">
        <v>218</v>
      </c>
      <c r="F89" s="351" t="s">
        <v>218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51" t="s">
        <v>218</v>
      </c>
      <c r="F90" s="351" t="s">
        <v>218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51" t="s">
        <v>218</v>
      </c>
      <c r="F91" s="351" t="s">
        <v>218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51" t="s">
        <v>218</v>
      </c>
      <c r="F92" s="351" t="s">
        <v>218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51" t="s">
        <v>218</v>
      </c>
      <c r="F93" s="351" t="s">
        <v>218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51" t="s">
        <v>218</v>
      </c>
      <c r="F94" s="351" t="s">
        <v>218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51" t="s">
        <v>218</v>
      </c>
      <c r="F95" s="351" t="s">
        <v>218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51" t="s">
        <v>218</v>
      </c>
      <c r="F96" s="351" t="s">
        <v>218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51" t="s">
        <v>218</v>
      </c>
      <c r="F97" s="351" t="s">
        <v>218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51" t="s">
        <v>218</v>
      </c>
      <c r="F98" s="351" t="s">
        <v>218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51" t="s">
        <v>218</v>
      </c>
      <c r="F99" s="351" t="s">
        <v>218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51" t="s">
        <v>218</v>
      </c>
      <c r="F100" s="351" t="s">
        <v>218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51" t="s">
        <v>218</v>
      </c>
      <c r="F101" s="351" t="s">
        <v>218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51" t="s">
        <v>218</v>
      </c>
      <c r="F102" s="351" t="s">
        <v>218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51" t="s">
        <v>218</v>
      </c>
      <c r="F103" s="351" t="s">
        <v>218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51" t="s">
        <v>218</v>
      </c>
      <c r="F104" s="351" t="s">
        <v>218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51" t="s">
        <v>218</v>
      </c>
      <c r="F105" s="351" t="s">
        <v>218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51" t="s">
        <v>218</v>
      </c>
      <c r="F106" s="351" t="s">
        <v>218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51" t="s">
        <v>218</v>
      </c>
      <c r="F107" s="351" t="s">
        <v>218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51" t="s">
        <v>218</v>
      </c>
      <c r="F108" s="351" t="s">
        <v>218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51" t="s">
        <v>218</v>
      </c>
      <c r="F109" s="351" t="s">
        <v>218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51" t="s">
        <v>218</v>
      </c>
      <c r="F110" s="351" t="s">
        <v>218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51" t="s">
        <v>218</v>
      </c>
      <c r="F111" s="351" t="s">
        <v>218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51" t="s">
        <v>218</v>
      </c>
      <c r="F112" s="351" t="s">
        <v>218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51" t="s">
        <v>218</v>
      </c>
      <c r="F113" s="351" t="s">
        <v>218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51" t="s">
        <v>218</v>
      </c>
      <c r="F114" s="351" t="s">
        <v>218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51" t="s">
        <v>218</v>
      </c>
      <c r="F115" s="351" t="s">
        <v>218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51" t="s">
        <v>218</v>
      </c>
      <c r="F116" s="351" t="s">
        <v>218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51" t="s">
        <v>218</v>
      </c>
      <c r="F117" s="351" t="s">
        <v>218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51" t="s">
        <v>218</v>
      </c>
      <c r="F118" s="351" t="s">
        <v>218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51" t="s">
        <v>218</v>
      </c>
      <c r="F119" s="351" t="s">
        <v>218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51" t="s">
        <v>218</v>
      </c>
      <c r="F120" s="351" t="s">
        <v>218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51" t="s">
        <v>218</v>
      </c>
      <c r="F121" s="351" t="s">
        <v>218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51" t="s">
        <v>218</v>
      </c>
      <c r="F122" s="351" t="s">
        <v>218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51" t="s">
        <v>218</v>
      </c>
      <c r="F123" s="351" t="s">
        <v>218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51" t="s">
        <v>218</v>
      </c>
      <c r="F124" s="351" t="s">
        <v>218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51" t="s">
        <v>218</v>
      </c>
      <c r="F125" s="351" t="s">
        <v>218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51" t="s">
        <v>218</v>
      </c>
      <c r="F126" s="351" t="s">
        <v>218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51" t="s">
        <v>218</v>
      </c>
      <c r="F127" s="351" t="s">
        <v>218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51" t="s">
        <v>218</v>
      </c>
      <c r="F128" s="351" t="s">
        <v>218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51" t="s">
        <v>218</v>
      </c>
      <c r="F129" s="351" t="s">
        <v>218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51" t="s">
        <v>218</v>
      </c>
      <c r="F130" s="351" t="s">
        <v>218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51" t="s">
        <v>218</v>
      </c>
      <c r="F131" s="351" t="s">
        <v>218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51" t="s">
        <v>218</v>
      </c>
      <c r="F132" s="351" t="s">
        <v>218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51" t="s">
        <v>218</v>
      </c>
      <c r="F133" s="351" t="s">
        <v>218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51" t="s">
        <v>218</v>
      </c>
      <c r="F134" s="351" t="s">
        <v>218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51" t="s">
        <v>218</v>
      </c>
      <c r="F135" s="351" t="s">
        <v>218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51" t="s">
        <v>218</v>
      </c>
      <c r="F136" s="351" t="s">
        <v>218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51" t="s">
        <v>218</v>
      </c>
      <c r="F137" s="351" t="s">
        <v>218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51" t="s">
        <v>218</v>
      </c>
      <c r="F138" s="351" t="s">
        <v>218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51" t="s">
        <v>218</v>
      </c>
      <c r="F139" s="351" t="s">
        <v>218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51" t="s">
        <v>218</v>
      </c>
      <c r="F140" s="351" t="s">
        <v>218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51" t="s">
        <v>218</v>
      </c>
      <c r="F141" s="351" t="s">
        <v>218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51" t="s">
        <v>218</v>
      </c>
      <c r="F142" s="351" t="s">
        <v>218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51" t="s">
        <v>218</v>
      </c>
      <c r="F143" s="351" t="s">
        <v>218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51" t="s">
        <v>218</v>
      </c>
      <c r="F144" s="351" t="s">
        <v>218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51" t="s">
        <v>218</v>
      </c>
      <c r="F145" s="351" t="s">
        <v>218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51" t="s">
        <v>218</v>
      </c>
      <c r="F146" s="351" t="s">
        <v>218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51" t="s">
        <v>218</v>
      </c>
      <c r="F147" s="351" t="s">
        <v>218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51" t="s">
        <v>218</v>
      </c>
      <c r="F148" s="351" t="s">
        <v>218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51" t="s">
        <v>218</v>
      </c>
      <c r="F149" s="351" t="s">
        <v>218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51" t="s">
        <v>218</v>
      </c>
      <c r="F150" s="351" t="s">
        <v>218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51" t="s">
        <v>218</v>
      </c>
      <c r="F151" s="351" t="s">
        <v>218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51" t="s">
        <v>218</v>
      </c>
      <c r="F152" s="351" t="s">
        <v>218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51" t="s">
        <v>218</v>
      </c>
      <c r="F153" s="351" t="s">
        <v>218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51" t="s">
        <v>218</v>
      </c>
      <c r="F154" s="351" t="s">
        <v>218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51" t="s">
        <v>218</v>
      </c>
      <c r="F155" s="351" t="s">
        <v>218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51" t="s">
        <v>218</v>
      </c>
      <c r="F156" s="351" t="s">
        <v>218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51" t="s">
        <v>218</v>
      </c>
      <c r="F157" s="351" t="s">
        <v>218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51" t="s">
        <v>218</v>
      </c>
      <c r="F158" s="351" t="s">
        <v>218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51" t="s">
        <v>218</v>
      </c>
      <c r="F159" s="351" t="s">
        <v>218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51" t="s">
        <v>218</v>
      </c>
      <c r="F160" s="351" t="s">
        <v>218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51" t="s">
        <v>218</v>
      </c>
      <c r="F161" s="351" t="s">
        <v>218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51" t="s">
        <v>218</v>
      </c>
      <c r="F162" s="351" t="s">
        <v>218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51" t="s">
        <v>218</v>
      </c>
      <c r="F163" s="351" t="s">
        <v>218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51" t="s">
        <v>218</v>
      </c>
      <c r="F164" s="351" t="s">
        <v>218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51" t="s">
        <v>218</v>
      </c>
      <c r="F165" s="351" t="s">
        <v>218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51" t="s">
        <v>218</v>
      </c>
      <c r="F166" s="351" t="s">
        <v>218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51" t="s">
        <v>218</v>
      </c>
      <c r="F167" s="351" t="s">
        <v>218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51" t="s">
        <v>218</v>
      </c>
      <c r="F168" s="351" t="s">
        <v>218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51" t="s">
        <v>218</v>
      </c>
      <c r="F169" s="351" t="s">
        <v>218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51" t="s">
        <v>218</v>
      </c>
      <c r="F170" s="351" t="s">
        <v>218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51" t="s">
        <v>218</v>
      </c>
      <c r="F171" s="351" t="s">
        <v>218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51" t="s">
        <v>218</v>
      </c>
      <c r="F172" s="351" t="s">
        <v>218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51" t="s">
        <v>218</v>
      </c>
      <c r="F173" s="351" t="s">
        <v>218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51" t="s">
        <v>218</v>
      </c>
      <c r="F174" s="351" t="s">
        <v>218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51" t="s">
        <v>218</v>
      </c>
      <c r="F175" s="351" t="s">
        <v>218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51" t="s">
        <v>218</v>
      </c>
      <c r="F176" s="351" t="s">
        <v>218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51" t="s">
        <v>218</v>
      </c>
      <c r="F177" s="351" t="s">
        <v>218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51" t="s">
        <v>218</v>
      </c>
      <c r="F178" s="351" t="s">
        <v>218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51" t="s">
        <v>218</v>
      </c>
      <c r="F179" s="351" t="s">
        <v>218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51" t="s">
        <v>218</v>
      </c>
      <c r="F180" s="351" t="s">
        <v>218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51" t="s">
        <v>218</v>
      </c>
      <c r="F181" s="351" t="s">
        <v>218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51" t="s">
        <v>218</v>
      </c>
      <c r="F182" s="351" t="s">
        <v>218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51" t="s">
        <v>218</v>
      </c>
      <c r="F183" s="351" t="s">
        <v>218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51" t="s">
        <v>218</v>
      </c>
      <c r="F184" s="351" t="s">
        <v>218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51" t="s">
        <v>218</v>
      </c>
      <c r="F185" s="351" t="s">
        <v>218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51" t="s">
        <v>218</v>
      </c>
      <c r="F186" s="351" t="s">
        <v>218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51" t="s">
        <v>218</v>
      </c>
      <c r="F187" s="351" t="s">
        <v>218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51" t="s">
        <v>218</v>
      </c>
      <c r="F188" s="351" t="s">
        <v>218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51" t="s">
        <v>218</v>
      </c>
      <c r="F189" s="351" t="s">
        <v>218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51" t="s">
        <v>218</v>
      </c>
      <c r="F190" s="351" t="s">
        <v>218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51" t="s">
        <v>218</v>
      </c>
      <c r="F191" s="351" t="s">
        <v>218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51" t="s">
        <v>218</v>
      </c>
      <c r="F192" s="351" t="s">
        <v>218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51" t="s">
        <v>218</v>
      </c>
      <c r="F193" s="351" t="s">
        <v>218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51" t="s">
        <v>218</v>
      </c>
      <c r="F194" s="351" t="s">
        <v>218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51" t="s">
        <v>218</v>
      </c>
      <c r="F195" s="351" t="s">
        <v>218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51" t="s">
        <v>218</v>
      </c>
      <c r="F196" s="351" t="s">
        <v>218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51" t="s">
        <v>218</v>
      </c>
      <c r="F197" s="351" t="s">
        <v>218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51" t="s">
        <v>218</v>
      </c>
      <c r="F198" s="351" t="s">
        <v>218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51" t="s">
        <v>218</v>
      </c>
      <c r="F199" s="351" t="s">
        <v>218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51" t="s">
        <v>218</v>
      </c>
      <c r="F200" s="351" t="s">
        <v>218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51" t="s">
        <v>218</v>
      </c>
      <c r="F201" s="351" t="s">
        <v>218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51" t="s">
        <v>218</v>
      </c>
      <c r="F202" s="351" t="s">
        <v>218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51" t="s">
        <v>218</v>
      </c>
      <c r="F203" s="351" t="s">
        <v>218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51" t="s">
        <v>218</v>
      </c>
      <c r="F204" s="351" t="s">
        <v>218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51" t="s">
        <v>218</v>
      </c>
      <c r="F205" s="351" t="s">
        <v>218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51" t="s">
        <v>218</v>
      </c>
      <c r="F206" s="351" t="s">
        <v>218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51" t="s">
        <v>218</v>
      </c>
      <c r="F207" s="351" t="s">
        <v>218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51" t="s">
        <v>218</v>
      </c>
      <c r="F208" s="351" t="s">
        <v>218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51" t="s">
        <v>218</v>
      </c>
      <c r="F209" s="351" t="s">
        <v>218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51" t="s">
        <v>218</v>
      </c>
      <c r="F210" s="351" t="s">
        <v>218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51" t="s">
        <v>218</v>
      </c>
      <c r="F211" s="351" t="s">
        <v>218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51" t="s">
        <v>218</v>
      </c>
      <c r="F212" s="351" t="s">
        <v>218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51" t="s">
        <v>218</v>
      </c>
      <c r="F213" s="351" t="s">
        <v>218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51" t="s">
        <v>218</v>
      </c>
      <c r="F214" s="351" t="s">
        <v>218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51" t="s">
        <v>218</v>
      </c>
      <c r="F215" s="351" t="s">
        <v>218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51" t="s">
        <v>218</v>
      </c>
      <c r="F216" s="351" t="s">
        <v>218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51" t="s">
        <v>218</v>
      </c>
      <c r="F217" s="351" t="s">
        <v>218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51" t="s">
        <v>218</v>
      </c>
      <c r="F218" s="351" t="s">
        <v>218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51" t="s">
        <v>218</v>
      </c>
      <c r="F219" s="351" t="s">
        <v>218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51" t="s">
        <v>218</v>
      </c>
      <c r="F220" s="351" t="s">
        <v>218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51" t="s">
        <v>218</v>
      </c>
      <c r="F221" s="351" t="s">
        <v>218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51" t="s">
        <v>218</v>
      </c>
      <c r="F222" s="351" t="s">
        <v>218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51" t="s">
        <v>218</v>
      </c>
      <c r="F223" s="351" t="s">
        <v>218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51" t="s">
        <v>218</v>
      </c>
      <c r="F224" s="351" t="s">
        <v>218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51" t="s">
        <v>218</v>
      </c>
      <c r="F225" s="351" t="s">
        <v>218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51" t="s">
        <v>218</v>
      </c>
      <c r="F226" s="351" t="s">
        <v>218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51" t="s">
        <v>218</v>
      </c>
      <c r="F227" s="351" t="s">
        <v>218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51" t="s">
        <v>218</v>
      </c>
      <c r="F228" s="351" t="s">
        <v>218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51" t="s">
        <v>218</v>
      </c>
      <c r="F229" s="351" t="s">
        <v>218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51" t="s">
        <v>218</v>
      </c>
      <c r="F230" s="351" t="s">
        <v>218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51" t="s">
        <v>218</v>
      </c>
      <c r="F231" s="351" t="s">
        <v>218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51" t="s">
        <v>218</v>
      </c>
      <c r="F232" s="351" t="s">
        <v>218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51" t="s">
        <v>218</v>
      </c>
      <c r="F233" s="351" t="s">
        <v>218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51" t="s">
        <v>218</v>
      </c>
      <c r="F234" s="351" t="s">
        <v>218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51" t="s">
        <v>218</v>
      </c>
      <c r="F235" s="351" t="s">
        <v>218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51" t="s">
        <v>218</v>
      </c>
      <c r="F236" s="351" t="s">
        <v>218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51" t="s">
        <v>218</v>
      </c>
      <c r="F237" s="351" t="s">
        <v>218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51" t="s">
        <v>218</v>
      </c>
      <c r="F238" s="351" t="s">
        <v>218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51" t="s">
        <v>218</v>
      </c>
      <c r="F239" s="351" t="s">
        <v>218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51" t="s">
        <v>218</v>
      </c>
      <c r="F240" s="351" t="s">
        <v>218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51" t="s">
        <v>218</v>
      </c>
      <c r="F241" s="351" t="s">
        <v>218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51" t="s">
        <v>218</v>
      </c>
      <c r="F242" s="351" t="s">
        <v>218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51" t="s">
        <v>218</v>
      </c>
      <c r="F243" s="351" t="s">
        <v>218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51" t="s">
        <v>218</v>
      </c>
      <c r="F244" s="351" t="s">
        <v>218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51" t="s">
        <v>218</v>
      </c>
      <c r="F245" s="351" t="s">
        <v>218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51" t="s">
        <v>218</v>
      </c>
      <c r="F246" s="351" t="s">
        <v>218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51" t="s">
        <v>218</v>
      </c>
      <c r="F247" s="351" t="s">
        <v>218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51" t="s">
        <v>218</v>
      </c>
      <c r="F248" s="351" t="s">
        <v>218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51" t="s">
        <v>218</v>
      </c>
      <c r="F249" s="351" t="s">
        <v>218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51" t="s">
        <v>218</v>
      </c>
      <c r="F250" s="351" t="s">
        <v>218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51" t="s">
        <v>218</v>
      </c>
      <c r="F251" s="351" t="s">
        <v>218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51" t="s">
        <v>218</v>
      </c>
      <c r="F252" s="351" t="s">
        <v>218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51" t="s">
        <v>218</v>
      </c>
      <c r="F253" s="351" t="s">
        <v>218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51" t="s">
        <v>218</v>
      </c>
      <c r="F254" s="351" t="s">
        <v>218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51" t="s">
        <v>218</v>
      </c>
      <c r="F255" s="351" t="s">
        <v>218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51" t="s">
        <v>218</v>
      </c>
      <c r="F256" s="351" t="s">
        <v>218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51" t="s">
        <v>218</v>
      </c>
      <c r="F257" s="351" t="s">
        <v>218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51" t="s">
        <v>218</v>
      </c>
      <c r="F258" s="351" t="s">
        <v>218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51" t="s">
        <v>218</v>
      </c>
      <c r="F259" s="351" t="s">
        <v>218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51" t="s">
        <v>218</v>
      </c>
      <c r="F260" s="351" t="s">
        <v>218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51" t="s">
        <v>218</v>
      </c>
      <c r="F261" s="351" t="s">
        <v>218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51" t="s">
        <v>218</v>
      </c>
      <c r="F262" s="351" t="s">
        <v>218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51" t="s">
        <v>218</v>
      </c>
      <c r="F263" s="351" t="s">
        <v>218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51" t="s">
        <v>218</v>
      </c>
      <c r="F264" s="351" t="s">
        <v>218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51" t="s">
        <v>218</v>
      </c>
      <c r="F265" s="351" t="s">
        <v>218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51" t="s">
        <v>218</v>
      </c>
      <c r="F266" s="351" t="s">
        <v>218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51" t="s">
        <v>218</v>
      </c>
      <c r="F267" s="351" t="s">
        <v>218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51" t="s">
        <v>218</v>
      </c>
      <c r="F268" s="351" t="s">
        <v>218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51" t="s">
        <v>218</v>
      </c>
      <c r="F269" s="351" t="s">
        <v>218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51" t="s">
        <v>218</v>
      </c>
      <c r="F270" s="351" t="s">
        <v>218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51" t="s">
        <v>218</v>
      </c>
      <c r="F271" s="351" t="s">
        <v>218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51" t="s">
        <v>218</v>
      </c>
      <c r="F272" s="351" t="s">
        <v>218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51" t="s">
        <v>218</v>
      </c>
      <c r="F273" s="351" t="s">
        <v>218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51" t="s">
        <v>218</v>
      </c>
      <c r="F274" s="351" t="s">
        <v>218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51" t="s">
        <v>218</v>
      </c>
      <c r="F275" s="351" t="s">
        <v>218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51" t="s">
        <v>218</v>
      </c>
      <c r="F276" s="351" t="s">
        <v>218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51" t="s">
        <v>218</v>
      </c>
      <c r="F277" s="351" t="s">
        <v>218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51" t="s">
        <v>218</v>
      </c>
      <c r="F278" s="351" t="s">
        <v>218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51" t="s">
        <v>218</v>
      </c>
      <c r="F279" s="351" t="s">
        <v>218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51" t="s">
        <v>218</v>
      </c>
      <c r="F280" s="351" t="s">
        <v>218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51" t="s">
        <v>218</v>
      </c>
      <c r="F281" s="351" t="s">
        <v>218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51" t="s">
        <v>218</v>
      </c>
      <c r="F282" s="351" t="s">
        <v>218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51" t="s">
        <v>218</v>
      </c>
      <c r="F283" s="351" t="s">
        <v>218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51" t="s">
        <v>218</v>
      </c>
      <c r="F284" s="351" t="s">
        <v>218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51" t="s">
        <v>218</v>
      </c>
      <c r="F285" s="351" t="s">
        <v>218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51" t="s">
        <v>218</v>
      </c>
      <c r="F286" s="351" t="s">
        <v>218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51" t="s">
        <v>218</v>
      </c>
      <c r="F287" s="351" t="s">
        <v>218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51" t="s">
        <v>218</v>
      </c>
      <c r="F288" s="351" t="s">
        <v>218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52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52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51" t="s">
        <v>218</v>
      </c>
      <c r="F289" s="351" t="s">
        <v>218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52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52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51" t="s">
        <v>218</v>
      </c>
      <c r="F290" s="351" t="s">
        <v>218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52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52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51" t="s">
        <v>218</v>
      </c>
      <c r="F291" s="351" t="s">
        <v>218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52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52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51" t="s">
        <v>218</v>
      </c>
      <c r="F292" s="351" t="s">
        <v>218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52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52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51" t="s">
        <v>218</v>
      </c>
      <c r="F293" s="351" t="s">
        <v>218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52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52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51" t="s">
        <v>218</v>
      </c>
      <c r="F294" s="351" t="s">
        <v>218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52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52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51" t="s">
        <v>218</v>
      </c>
      <c r="F295" s="351" t="s">
        <v>218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52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52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51" t="s">
        <v>218</v>
      </c>
      <c r="F296" s="351" t="s">
        <v>218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52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52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51" t="s">
        <v>218</v>
      </c>
      <c r="F297" s="351" t="s">
        <v>218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52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52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51" t="s">
        <v>218</v>
      </c>
      <c r="F298" s="351" t="s">
        <v>218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52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52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51" t="s">
        <v>218</v>
      </c>
      <c r="F299" s="351" t="s">
        <v>218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52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52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51" t="s">
        <v>218</v>
      </c>
      <c r="F300" s="351" t="s">
        <v>218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52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52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51" t="s">
        <v>218</v>
      </c>
      <c r="F301" s="351" t="s">
        <v>218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52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52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51" t="s">
        <v>218</v>
      </c>
      <c r="F302" s="351" t="s">
        <v>218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52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52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51" t="s">
        <v>218</v>
      </c>
      <c r="F303" s="351" t="s">
        <v>218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52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52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51" t="s">
        <v>218</v>
      </c>
      <c r="F304" s="351" t="s">
        <v>218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52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52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51" t="s">
        <v>218</v>
      </c>
      <c r="F305" s="351" t="s">
        <v>218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52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51" t="s">
        <v>218</v>
      </c>
      <c r="F306" s="351" t="s">
        <v>218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52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51" t="s">
        <v>218</v>
      </c>
      <c r="F307" s="351" t="s">
        <v>218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51" t="s">
        <v>218</v>
      </c>
      <c r="F308" s="351" t="s">
        <v>218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52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51" t="s">
        <v>218</v>
      </c>
      <c r="F309" s="351" t="s">
        <v>218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52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51" t="s">
        <v>218</v>
      </c>
      <c r="F310" s="351" t="s">
        <v>218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52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51" t="s">
        <v>218</v>
      </c>
      <c r="F311" s="351" t="s">
        <v>218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52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51" t="s">
        <v>218</v>
      </c>
      <c r="F312" s="351" t="s">
        <v>218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52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51" t="s">
        <v>218</v>
      </c>
      <c r="F313" s="351" t="s">
        <v>218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52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51" t="s">
        <v>218</v>
      </c>
      <c r="F314" s="351" t="s">
        <v>218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51" t="s">
        <v>218</v>
      </c>
      <c r="F315" s="351" t="s">
        <v>218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52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51" t="s">
        <v>218</v>
      </c>
      <c r="F316" s="351" t="s">
        <v>218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52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51" t="s">
        <v>218</v>
      </c>
      <c r="F317" s="351" t="s">
        <v>218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52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51" t="s">
        <v>218</v>
      </c>
      <c r="F318" s="351" t="s">
        <v>218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52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51" t="s">
        <v>218</v>
      </c>
      <c r="F319" s="351" t="s">
        <v>218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52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51" t="s">
        <v>218</v>
      </c>
      <c r="F320" s="351" t="s">
        <v>218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52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51" t="s">
        <v>218</v>
      </c>
      <c r="F321" s="351" t="s">
        <v>218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52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51" t="s">
        <v>218</v>
      </c>
      <c r="F322" s="351" t="s">
        <v>218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52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51" t="s">
        <v>218</v>
      </c>
      <c r="F323" s="351" t="s">
        <v>218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51" t="s">
        <v>218</v>
      </c>
      <c r="F324" s="351" t="s">
        <v>218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52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51" t="s">
        <v>218</v>
      </c>
      <c r="F325" s="351" t="s">
        <v>218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52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51" t="s">
        <v>218</v>
      </c>
      <c r="F326" s="351" t="s">
        <v>218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52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51" t="s">
        <v>218</v>
      </c>
      <c r="F327" s="351" t="s">
        <v>218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52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51" t="s">
        <v>218</v>
      </c>
      <c r="F328" s="351" t="s">
        <v>218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51" t="s">
        <v>218</v>
      </c>
      <c r="F329" s="351" t="s">
        <v>218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52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51" t="s">
        <v>218</v>
      </c>
      <c r="F330" s="351" t="s">
        <v>218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52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51" t="s">
        <v>218</v>
      </c>
      <c r="F331" s="351" t="s">
        <v>218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52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51" t="s">
        <v>218</v>
      </c>
      <c r="F332" s="351" t="s">
        <v>218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52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51" t="s">
        <v>218</v>
      </c>
      <c r="F333" s="351" t="s">
        <v>218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52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51" t="s">
        <v>218</v>
      </c>
      <c r="F334" s="351" t="s">
        <v>218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52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51" t="s">
        <v>218</v>
      </c>
      <c r="F335" s="351" t="s">
        <v>218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51" t="s">
        <v>218</v>
      </c>
      <c r="F336" s="351" t="s">
        <v>218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52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51" t="s">
        <v>218</v>
      </c>
      <c r="F337" s="351" t="s">
        <v>218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52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51" t="s">
        <v>218</v>
      </c>
      <c r="F338" s="351" t="s">
        <v>218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51" t="s">
        <v>218</v>
      </c>
      <c r="F339" s="351" t="s">
        <v>218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51" t="s">
        <v>218</v>
      </c>
      <c r="F340" s="351" t="s">
        <v>218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52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51" t="s">
        <v>218</v>
      </c>
      <c r="F341" s="351" t="s">
        <v>218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52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51" t="s">
        <v>218</v>
      </c>
      <c r="F342" s="351" t="s">
        <v>218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51" t="s">
        <v>218</v>
      </c>
      <c r="F343" s="351" t="s">
        <v>218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52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51" t="s">
        <v>218</v>
      </c>
      <c r="F344" s="351" t="s">
        <v>218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52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51" t="s">
        <v>218</v>
      </c>
      <c r="F345" s="351" t="s">
        <v>218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52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51" t="s">
        <v>218</v>
      </c>
      <c r="F346" s="351" t="s">
        <v>218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51" t="s">
        <v>218</v>
      </c>
      <c r="F347" s="351" t="s">
        <v>218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52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51" t="s">
        <v>218</v>
      </c>
      <c r="F348" s="351" t="s">
        <v>218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52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51" t="s">
        <v>218</v>
      </c>
      <c r="F349" s="351" t="s">
        <v>218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51" t="s">
        <v>218</v>
      </c>
      <c r="F350" s="351" t="s">
        <v>218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51" t="s">
        <v>218</v>
      </c>
      <c r="F351" s="351" t="s">
        <v>218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52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51" t="s">
        <v>218</v>
      </c>
      <c r="F352" s="351" t="s">
        <v>218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52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51" t="s">
        <v>218</v>
      </c>
      <c r="F353" s="351" t="s">
        <v>218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52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51" t="s">
        <v>218</v>
      </c>
      <c r="F354" s="351" t="s">
        <v>218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51" t="s">
        <v>218</v>
      </c>
      <c r="F355" s="351" t="s">
        <v>218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51" t="s">
        <v>218</v>
      </c>
      <c r="F356" s="351" t="s">
        <v>218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51" t="s">
        <v>218</v>
      </c>
      <c r="F357" s="351" t="s">
        <v>218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52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51" t="s">
        <v>218</v>
      </c>
      <c r="F358" s="351" t="s">
        <v>218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52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51" t="s">
        <v>218</v>
      </c>
      <c r="F359" s="351" t="s">
        <v>218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52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51" t="s">
        <v>218</v>
      </c>
      <c r="F360" s="351" t="s">
        <v>218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52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51" t="s">
        <v>218</v>
      </c>
      <c r="F361" s="351" t="s">
        <v>218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52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51" t="s">
        <v>218</v>
      </c>
      <c r="F362" s="351" t="s">
        <v>218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52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51" t="s">
        <v>218</v>
      </c>
      <c r="F363" s="351" t="s">
        <v>218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51" t="s">
        <v>218</v>
      </c>
      <c r="F364" s="351" t="s">
        <v>218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52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51" t="s">
        <v>218</v>
      </c>
      <c r="F365" s="351" t="s">
        <v>218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52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51" t="s">
        <v>218</v>
      </c>
      <c r="F366" s="351" t="s">
        <v>218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52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51" t="s">
        <v>218</v>
      </c>
      <c r="F367" s="351" t="s">
        <v>218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52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51" t="s">
        <v>218</v>
      </c>
      <c r="F368" s="351" t="s">
        <v>218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52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51" t="s">
        <v>218</v>
      </c>
      <c r="F369" s="351" t="s">
        <v>218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52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51" t="s">
        <v>218</v>
      </c>
      <c r="F370" s="351" t="s">
        <v>218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52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51" t="s">
        <v>218</v>
      </c>
      <c r="F371" s="351" t="s">
        <v>218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52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51" t="s">
        <v>218</v>
      </c>
      <c r="F372" s="351" t="s">
        <v>218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52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51" t="s">
        <v>218</v>
      </c>
      <c r="F373" s="351" t="s">
        <v>218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52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51" t="s">
        <v>218</v>
      </c>
      <c r="F374" s="351" t="s">
        <v>218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52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51" t="s">
        <v>218</v>
      </c>
      <c r="F375" s="351" t="s">
        <v>218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52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51" t="s">
        <v>218</v>
      </c>
      <c r="F376" s="351" t="s">
        <v>218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52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51" t="s">
        <v>218</v>
      </c>
      <c r="F377" s="351" t="s">
        <v>218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52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51" t="s">
        <v>218</v>
      </c>
      <c r="F378" s="351" t="s">
        <v>218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52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51" t="s">
        <v>218</v>
      </c>
      <c r="F379" s="351" t="s">
        <v>218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51" t="s">
        <v>218</v>
      </c>
      <c r="F380" s="351" t="s">
        <v>218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51" t="s">
        <v>218</v>
      </c>
      <c r="F381" s="351" t="s">
        <v>218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45312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409</v>
      </c>
      <c r="T2" s="124" t="s">
        <v>410</v>
      </c>
      <c r="U2" s="124" t="s">
        <v>411</v>
      </c>
      <c r="V2" s="124" t="s">
        <v>412</v>
      </c>
      <c r="W2" s="124" t="s">
        <v>413</v>
      </c>
      <c r="X2" s="124" t="s">
        <v>414</v>
      </c>
      <c r="Y2" s="124" t="s">
        <v>415</v>
      </c>
      <c r="Z2" s="124" t="s">
        <v>416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219</v>
      </c>
      <c r="F3" s="126" t="s">
        <v>219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219</v>
      </c>
      <c r="F4" s="126" t="s">
        <v>219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219</v>
      </c>
      <c r="F5" s="126" t="s">
        <v>219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219</v>
      </c>
      <c r="F6" s="126" t="s">
        <v>219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219</v>
      </c>
      <c r="F7" s="126" t="s">
        <v>219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219</v>
      </c>
      <c r="F8" s="126" t="s">
        <v>219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219</v>
      </c>
      <c r="F9" s="126" t="s">
        <v>219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219</v>
      </c>
      <c r="F10" s="126" t="s">
        <v>219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219</v>
      </c>
      <c r="F11" s="126" t="s">
        <v>219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219</v>
      </c>
      <c r="F12" s="126" t="s">
        <v>219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219</v>
      </c>
      <c r="F13" s="126" t="s">
        <v>219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219</v>
      </c>
      <c r="F14" s="126" t="s">
        <v>219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219</v>
      </c>
      <c r="F15" s="126" t="s">
        <v>219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219</v>
      </c>
      <c r="F16" s="126" t="s">
        <v>219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219</v>
      </c>
      <c r="F17" s="126" t="s">
        <v>219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219</v>
      </c>
      <c r="F18" s="126" t="s">
        <v>219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219</v>
      </c>
      <c r="F19" s="126" t="s">
        <v>219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219</v>
      </c>
      <c r="F20" s="126" t="s">
        <v>219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219</v>
      </c>
      <c r="F21" s="126" t="s">
        <v>219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219</v>
      </c>
      <c r="F22" s="126" t="s">
        <v>219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219</v>
      </c>
      <c r="F23" s="126" t="s">
        <v>219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219</v>
      </c>
      <c r="F24" s="126" t="s">
        <v>219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219</v>
      </c>
      <c r="F25" s="126" t="s">
        <v>219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219</v>
      </c>
      <c r="F26" s="126" t="s">
        <v>219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219</v>
      </c>
      <c r="F27" s="126" t="s">
        <v>219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219</v>
      </c>
      <c r="F28" s="126" t="s">
        <v>219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219</v>
      </c>
      <c r="F29" s="126" t="s">
        <v>219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219</v>
      </c>
      <c r="F30" s="126" t="s">
        <v>219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219</v>
      </c>
      <c r="F31" s="126" t="s">
        <v>219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219</v>
      </c>
      <c r="F32" s="126" t="s">
        <v>219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219</v>
      </c>
      <c r="F33" s="126" t="s">
        <v>219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219</v>
      </c>
      <c r="F34" s="126" t="s">
        <v>219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219</v>
      </c>
      <c r="F35" s="126" t="s">
        <v>219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219</v>
      </c>
      <c r="F36" s="126" t="s">
        <v>219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219</v>
      </c>
      <c r="F37" s="126" t="s">
        <v>219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219</v>
      </c>
      <c r="F38" s="126" t="s">
        <v>219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219</v>
      </c>
      <c r="F39" s="126" t="s">
        <v>219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219</v>
      </c>
      <c r="F40" s="126" t="s">
        <v>219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219</v>
      </c>
      <c r="F41" s="126" t="s">
        <v>219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219</v>
      </c>
      <c r="F42" s="126" t="s">
        <v>219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219</v>
      </c>
      <c r="F43" s="126" t="s">
        <v>219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219</v>
      </c>
      <c r="F44" s="126" t="s">
        <v>219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219</v>
      </c>
      <c r="F45" s="126" t="s">
        <v>219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219</v>
      </c>
      <c r="F46" s="126" t="s">
        <v>219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219</v>
      </c>
      <c r="F47" s="126" t="s">
        <v>219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219</v>
      </c>
      <c r="F48" s="126" t="s">
        <v>219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219</v>
      </c>
      <c r="F49" s="126" t="s">
        <v>219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219</v>
      </c>
      <c r="F50" s="126" t="s">
        <v>219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219</v>
      </c>
      <c r="F51" s="126" t="s">
        <v>219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219</v>
      </c>
      <c r="F52" s="126" t="s">
        <v>219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219</v>
      </c>
      <c r="F53" s="126" t="s">
        <v>219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219</v>
      </c>
      <c r="F54" s="126" t="s">
        <v>219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219</v>
      </c>
      <c r="F55" s="126" t="s">
        <v>219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219</v>
      </c>
      <c r="F56" s="126" t="s">
        <v>219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219</v>
      </c>
      <c r="F57" s="126" t="s">
        <v>219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219</v>
      </c>
      <c r="F58" s="126" t="s">
        <v>219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219</v>
      </c>
      <c r="F59" s="126" t="s">
        <v>219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219</v>
      </c>
      <c r="F60" s="126" t="s">
        <v>219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219</v>
      </c>
      <c r="F61" s="126" t="s">
        <v>219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219</v>
      </c>
      <c r="F62" s="126" t="s">
        <v>219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219</v>
      </c>
      <c r="F63" s="126" t="s">
        <v>219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219</v>
      </c>
      <c r="F64" s="126" t="s">
        <v>219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219</v>
      </c>
      <c r="F65" s="126" t="s">
        <v>219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219</v>
      </c>
      <c r="F66" s="126" t="s">
        <v>219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219</v>
      </c>
      <c r="F67" s="126" t="s">
        <v>219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219</v>
      </c>
      <c r="F68" s="126" t="s">
        <v>219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219</v>
      </c>
      <c r="F69" s="126" t="s">
        <v>219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219</v>
      </c>
      <c r="F70" s="126" t="s">
        <v>219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219</v>
      </c>
      <c r="F71" s="126" t="s">
        <v>219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219</v>
      </c>
      <c r="F72" s="126" t="s">
        <v>219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219</v>
      </c>
      <c r="F73" s="126" t="s">
        <v>219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219</v>
      </c>
      <c r="F74" s="126" t="s">
        <v>219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219</v>
      </c>
      <c r="F75" s="126" t="s">
        <v>219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219</v>
      </c>
      <c r="F76" s="126" t="s">
        <v>219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219</v>
      </c>
      <c r="F77" s="126" t="s">
        <v>219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219</v>
      </c>
      <c r="F78" s="126" t="s">
        <v>219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219</v>
      </c>
      <c r="F79" s="126" t="s">
        <v>219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219</v>
      </c>
      <c r="F80" s="126" t="s">
        <v>219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219</v>
      </c>
      <c r="F81" s="126" t="s">
        <v>219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219</v>
      </c>
      <c r="F82" s="126" t="s">
        <v>219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219</v>
      </c>
      <c r="F83" s="126" t="s">
        <v>219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219</v>
      </c>
      <c r="F84" s="126" t="s">
        <v>219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219</v>
      </c>
      <c r="F85" s="126" t="s">
        <v>219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219</v>
      </c>
      <c r="F86" s="126" t="s">
        <v>219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219</v>
      </c>
      <c r="F87" s="126" t="s">
        <v>219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219</v>
      </c>
      <c r="F88" s="126" t="s">
        <v>219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219</v>
      </c>
      <c r="F89" s="126" t="s">
        <v>219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219</v>
      </c>
      <c r="F90" s="126" t="s">
        <v>219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219</v>
      </c>
      <c r="F91" s="126" t="s">
        <v>219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219</v>
      </c>
      <c r="F92" s="126" t="s">
        <v>219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219</v>
      </c>
      <c r="F93" s="126" t="s">
        <v>219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219</v>
      </c>
      <c r="F94" s="126" t="s">
        <v>219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219</v>
      </c>
      <c r="F95" s="126" t="s">
        <v>219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219</v>
      </c>
      <c r="F96" s="126" t="s">
        <v>219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219</v>
      </c>
      <c r="F97" s="126" t="s">
        <v>219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219</v>
      </c>
      <c r="F98" s="126" t="s">
        <v>219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219</v>
      </c>
      <c r="F99" s="126" t="s">
        <v>219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219</v>
      </c>
      <c r="F100" s="126" t="s">
        <v>219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219</v>
      </c>
      <c r="F101" s="126" t="s">
        <v>219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219</v>
      </c>
      <c r="F102" s="126" t="s">
        <v>219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219</v>
      </c>
      <c r="F103" s="126" t="s">
        <v>219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219</v>
      </c>
      <c r="F104" s="126" t="s">
        <v>219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219</v>
      </c>
      <c r="F105" s="126" t="s">
        <v>219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219</v>
      </c>
      <c r="F106" s="126" t="s">
        <v>219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219</v>
      </c>
      <c r="F107" s="126" t="s">
        <v>219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219</v>
      </c>
      <c r="F108" s="126" t="s">
        <v>219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219</v>
      </c>
      <c r="F109" s="126" t="s">
        <v>219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219</v>
      </c>
      <c r="F110" s="126" t="s">
        <v>219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219</v>
      </c>
      <c r="F111" s="126" t="s">
        <v>219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219</v>
      </c>
      <c r="F112" s="126" t="s">
        <v>219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219</v>
      </c>
      <c r="F113" s="126" t="s">
        <v>219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219</v>
      </c>
      <c r="F114" s="126" t="s">
        <v>219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219</v>
      </c>
      <c r="F115" s="126" t="s">
        <v>219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219</v>
      </c>
      <c r="F116" s="126" t="s">
        <v>219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219</v>
      </c>
      <c r="F117" s="126" t="s">
        <v>219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219</v>
      </c>
      <c r="F118" s="126" t="s">
        <v>219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219</v>
      </c>
      <c r="F119" s="126" t="s">
        <v>219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219</v>
      </c>
      <c r="F120" s="126" t="s">
        <v>219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219</v>
      </c>
      <c r="F121" s="126" t="s">
        <v>219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219</v>
      </c>
      <c r="F122" s="126" t="s">
        <v>219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219</v>
      </c>
      <c r="F123" s="126" t="s">
        <v>219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219</v>
      </c>
      <c r="F124" s="126" t="s">
        <v>219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219</v>
      </c>
      <c r="F125" s="126" t="s">
        <v>219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219</v>
      </c>
      <c r="F126" s="126" t="s">
        <v>219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219</v>
      </c>
      <c r="F127" s="126" t="s">
        <v>219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219</v>
      </c>
      <c r="F128" s="126" t="s">
        <v>219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219</v>
      </c>
      <c r="F129" s="126" t="s">
        <v>219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219</v>
      </c>
      <c r="F130" s="126" t="s">
        <v>219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219</v>
      </c>
      <c r="F131" s="126" t="s">
        <v>219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219</v>
      </c>
      <c r="F132" s="126" t="s">
        <v>219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219</v>
      </c>
      <c r="F133" s="126" t="s">
        <v>219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219</v>
      </c>
      <c r="F134" s="126" t="s">
        <v>219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219</v>
      </c>
      <c r="F135" s="126" t="s">
        <v>219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219</v>
      </c>
      <c r="F136" s="126" t="s">
        <v>219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219</v>
      </c>
      <c r="F137" s="126" t="s">
        <v>219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219</v>
      </c>
      <c r="F138" s="126" t="s">
        <v>219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219</v>
      </c>
      <c r="F139" s="126" t="s">
        <v>219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219</v>
      </c>
      <c r="F140" s="126" t="s">
        <v>219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219</v>
      </c>
      <c r="F141" s="126" t="s">
        <v>219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219</v>
      </c>
      <c r="F142" s="126" t="s">
        <v>219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219</v>
      </c>
      <c r="F143" s="126" t="s">
        <v>219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219</v>
      </c>
      <c r="F144" s="126" t="s">
        <v>219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219</v>
      </c>
      <c r="F145" s="126" t="s">
        <v>219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219</v>
      </c>
      <c r="F146" s="126" t="s">
        <v>219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219</v>
      </c>
      <c r="F147" s="126" t="s">
        <v>219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219</v>
      </c>
      <c r="F148" s="126" t="s">
        <v>219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219</v>
      </c>
      <c r="F149" s="126" t="s">
        <v>219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219</v>
      </c>
      <c r="F150" s="126" t="s">
        <v>219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219</v>
      </c>
      <c r="F151" s="126" t="s">
        <v>219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219</v>
      </c>
      <c r="F152" s="126" t="s">
        <v>219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219</v>
      </c>
      <c r="F153" s="126" t="s">
        <v>219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219</v>
      </c>
      <c r="F154" s="126" t="s">
        <v>219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219</v>
      </c>
      <c r="F155" s="126" t="s">
        <v>219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219</v>
      </c>
      <c r="F156" s="126" t="s">
        <v>219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219</v>
      </c>
      <c r="F157" s="126" t="s">
        <v>219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219</v>
      </c>
      <c r="F158" s="126" t="s">
        <v>219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219</v>
      </c>
      <c r="F159" s="126" t="s">
        <v>219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219</v>
      </c>
      <c r="F160" s="126" t="s">
        <v>219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219</v>
      </c>
      <c r="F161" s="126" t="s">
        <v>219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219</v>
      </c>
      <c r="F162" s="126" t="s">
        <v>219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219</v>
      </c>
      <c r="F163" s="126" t="s">
        <v>219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219</v>
      </c>
      <c r="F164" s="126" t="s">
        <v>219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219</v>
      </c>
      <c r="F165" s="126" t="s">
        <v>219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219</v>
      </c>
      <c r="F166" s="126" t="s">
        <v>219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219</v>
      </c>
      <c r="F167" s="126" t="s">
        <v>219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219</v>
      </c>
      <c r="F168" s="126" t="s">
        <v>219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219</v>
      </c>
      <c r="F169" s="126" t="s">
        <v>219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219</v>
      </c>
      <c r="F170" s="126" t="s">
        <v>219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219</v>
      </c>
      <c r="F171" s="126" t="s">
        <v>219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219</v>
      </c>
      <c r="F172" s="126" t="s">
        <v>219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219</v>
      </c>
      <c r="F173" s="126" t="s">
        <v>219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219</v>
      </c>
      <c r="F174" s="126" t="s">
        <v>219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219</v>
      </c>
      <c r="F175" s="126" t="s">
        <v>219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219</v>
      </c>
      <c r="F176" s="126" t="s">
        <v>219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219</v>
      </c>
      <c r="F177" s="126" t="s">
        <v>219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219</v>
      </c>
      <c r="F178" s="126" t="s">
        <v>219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219</v>
      </c>
      <c r="F179" s="126" t="s">
        <v>219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219</v>
      </c>
      <c r="F180" s="126" t="s">
        <v>219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219</v>
      </c>
      <c r="F181" s="126" t="s">
        <v>219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219</v>
      </c>
      <c r="F182" s="126" t="s">
        <v>219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219</v>
      </c>
      <c r="F183" s="126" t="s">
        <v>219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219</v>
      </c>
      <c r="F184" s="126" t="s">
        <v>219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219</v>
      </c>
      <c r="F185" s="126" t="s">
        <v>219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219</v>
      </c>
      <c r="F186" s="126" t="s">
        <v>219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219</v>
      </c>
      <c r="F187" s="126" t="s">
        <v>219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219</v>
      </c>
      <c r="F188" s="126" t="s">
        <v>219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219</v>
      </c>
      <c r="F189" s="126" t="s">
        <v>219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219</v>
      </c>
      <c r="F190" s="126" t="s">
        <v>219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219</v>
      </c>
      <c r="F191" s="126" t="s">
        <v>219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219</v>
      </c>
      <c r="F192" s="126" t="s">
        <v>219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219</v>
      </c>
      <c r="F193" s="126" t="s">
        <v>219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219</v>
      </c>
      <c r="F194" s="126" t="s">
        <v>219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219</v>
      </c>
      <c r="F195" s="126" t="s">
        <v>219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219</v>
      </c>
      <c r="F196" s="126" t="s">
        <v>219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219</v>
      </c>
      <c r="F197" s="126" t="s">
        <v>219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219</v>
      </c>
      <c r="F198" s="126" t="s">
        <v>219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219</v>
      </c>
      <c r="F199" s="126" t="s">
        <v>219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219</v>
      </c>
      <c r="F200" s="126" t="s">
        <v>219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219</v>
      </c>
      <c r="F201" s="126" t="s">
        <v>219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219</v>
      </c>
      <c r="F202" s="126" t="s">
        <v>219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219</v>
      </c>
      <c r="F203" s="126" t="s">
        <v>219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219</v>
      </c>
      <c r="F204" s="126" t="s">
        <v>219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219</v>
      </c>
      <c r="F205" s="126" t="s">
        <v>219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219</v>
      </c>
      <c r="F206" s="126" t="s">
        <v>219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219</v>
      </c>
      <c r="F207" s="126" t="s">
        <v>219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219</v>
      </c>
      <c r="F208" s="126" t="s">
        <v>219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219</v>
      </c>
      <c r="F209" s="126" t="s">
        <v>219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219</v>
      </c>
      <c r="F210" s="126" t="s">
        <v>219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219</v>
      </c>
      <c r="F211" s="126" t="s">
        <v>219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219</v>
      </c>
      <c r="F212" s="126" t="s">
        <v>219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219</v>
      </c>
      <c r="F213" s="126" t="s">
        <v>219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219</v>
      </c>
      <c r="F214" s="126" t="s">
        <v>219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219</v>
      </c>
      <c r="F215" s="126" t="s">
        <v>219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219</v>
      </c>
      <c r="F216" s="126" t="s">
        <v>219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219</v>
      </c>
      <c r="F217" s="126" t="s">
        <v>219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219</v>
      </c>
      <c r="F218" s="126" t="s">
        <v>219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219</v>
      </c>
      <c r="F219" s="126" t="s">
        <v>219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219</v>
      </c>
      <c r="F220" s="126" t="s">
        <v>219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219</v>
      </c>
      <c r="F221" s="126" t="s">
        <v>219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219</v>
      </c>
      <c r="F222" s="126" t="s">
        <v>219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219</v>
      </c>
      <c r="F223" s="126" t="s">
        <v>219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219</v>
      </c>
      <c r="F224" s="126" t="s">
        <v>219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219</v>
      </c>
      <c r="F225" s="126" t="s">
        <v>219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219</v>
      </c>
      <c r="F226" s="126" t="s">
        <v>219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219</v>
      </c>
      <c r="F227" s="126" t="s">
        <v>219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219</v>
      </c>
      <c r="F228" s="126" t="s">
        <v>219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219</v>
      </c>
      <c r="F229" s="126" t="s">
        <v>219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219</v>
      </c>
      <c r="F230" s="126" t="s">
        <v>219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219</v>
      </c>
      <c r="F231" s="126" t="s">
        <v>219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219</v>
      </c>
      <c r="F232" s="126" t="s">
        <v>219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219</v>
      </c>
      <c r="F233" s="126" t="s">
        <v>219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219</v>
      </c>
      <c r="F234" s="126" t="s">
        <v>219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219</v>
      </c>
      <c r="F235" s="126" t="s">
        <v>219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219</v>
      </c>
      <c r="F236" s="126" t="s">
        <v>219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219</v>
      </c>
      <c r="F237" s="126" t="s">
        <v>219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219</v>
      </c>
      <c r="F238" s="126" t="s">
        <v>219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219</v>
      </c>
      <c r="F239" s="126" t="s">
        <v>219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219</v>
      </c>
      <c r="F240" s="126" t="s">
        <v>219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219</v>
      </c>
      <c r="F241" s="126" t="s">
        <v>219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219</v>
      </c>
      <c r="F242" s="126" t="s">
        <v>219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219</v>
      </c>
      <c r="F243" s="126" t="s">
        <v>219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219</v>
      </c>
      <c r="F244" s="126" t="s">
        <v>219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219</v>
      </c>
      <c r="F245" s="126" t="s">
        <v>219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219</v>
      </c>
      <c r="F246" s="126" t="s">
        <v>219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219</v>
      </c>
      <c r="F247" s="126" t="s">
        <v>219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219</v>
      </c>
      <c r="F248" s="126" t="s">
        <v>219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219</v>
      </c>
      <c r="F249" s="126" t="s">
        <v>219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219</v>
      </c>
      <c r="F250" s="126" t="s">
        <v>219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219</v>
      </c>
      <c r="F251" s="126" t="s">
        <v>219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219</v>
      </c>
      <c r="F252" s="126" t="s">
        <v>219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219</v>
      </c>
      <c r="F253" s="126" t="s">
        <v>219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219</v>
      </c>
      <c r="F254" s="126" t="s">
        <v>219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219</v>
      </c>
      <c r="F255" s="126" t="s">
        <v>219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219</v>
      </c>
      <c r="F256" s="126" t="s">
        <v>219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219</v>
      </c>
      <c r="F257" s="126" t="s">
        <v>219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219</v>
      </c>
      <c r="F258" s="126" t="s">
        <v>219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219</v>
      </c>
      <c r="F259" s="126" t="s">
        <v>219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219</v>
      </c>
      <c r="F260" s="126" t="s">
        <v>219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219</v>
      </c>
      <c r="F261" s="126" t="s">
        <v>219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219</v>
      </c>
      <c r="F262" s="126" t="s">
        <v>219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219</v>
      </c>
      <c r="F263" s="126" t="s">
        <v>219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219</v>
      </c>
      <c r="F264" s="126" t="s">
        <v>219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219</v>
      </c>
      <c r="F265" s="126" t="s">
        <v>219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219</v>
      </c>
      <c r="F266" s="126" t="s">
        <v>219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219</v>
      </c>
      <c r="F267" s="126" t="s">
        <v>219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219</v>
      </c>
      <c r="F268" s="126" t="s">
        <v>219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219</v>
      </c>
      <c r="F269" s="126" t="s">
        <v>219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219</v>
      </c>
      <c r="F270" s="126" t="s">
        <v>219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219</v>
      </c>
      <c r="F271" s="126" t="s">
        <v>219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219</v>
      </c>
      <c r="F272" s="126" t="s">
        <v>219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219</v>
      </c>
      <c r="F273" s="126" t="s">
        <v>219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219</v>
      </c>
      <c r="F274" s="126" t="s">
        <v>219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219</v>
      </c>
      <c r="F275" s="126" t="s">
        <v>219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219</v>
      </c>
      <c r="F276" s="126" t="s">
        <v>219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219</v>
      </c>
      <c r="F277" s="126" t="s">
        <v>219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219</v>
      </c>
      <c r="F278" s="126" t="s">
        <v>219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219</v>
      </c>
      <c r="F279" s="126" t="s">
        <v>219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219</v>
      </c>
      <c r="F280" s="126" t="s">
        <v>219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219</v>
      </c>
      <c r="F281" s="126" t="s">
        <v>219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219</v>
      </c>
      <c r="F282" s="126" t="s">
        <v>219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219</v>
      </c>
      <c r="F283" s="126" t="s">
        <v>219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219</v>
      </c>
      <c r="F284" s="126" t="s">
        <v>219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219</v>
      </c>
      <c r="F285" s="126" t="s">
        <v>219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219</v>
      </c>
      <c r="F286" s="126" t="s">
        <v>219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219</v>
      </c>
      <c r="F287" s="126" t="s">
        <v>219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219</v>
      </c>
      <c r="F288" s="126" t="s">
        <v>219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219</v>
      </c>
      <c r="F289" s="126" t="s">
        <v>219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219</v>
      </c>
      <c r="F290" s="126" t="s">
        <v>219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219</v>
      </c>
      <c r="F291" s="126" t="s">
        <v>219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219</v>
      </c>
      <c r="F292" s="126" t="s">
        <v>219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219</v>
      </c>
      <c r="F293" s="126" t="s">
        <v>219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219</v>
      </c>
      <c r="F294" s="126" t="s">
        <v>219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219</v>
      </c>
      <c r="F295" s="126" t="s">
        <v>219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219</v>
      </c>
      <c r="F296" s="126" t="s">
        <v>219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219</v>
      </c>
      <c r="F297" s="126" t="s">
        <v>219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219</v>
      </c>
      <c r="F298" s="126" t="s">
        <v>219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219</v>
      </c>
      <c r="F299" s="126" t="s">
        <v>219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219</v>
      </c>
      <c r="F300" s="126" t="s">
        <v>219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219</v>
      </c>
      <c r="F301" s="126" t="s">
        <v>219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219</v>
      </c>
      <c r="F302" s="126" t="s">
        <v>219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219</v>
      </c>
      <c r="F303" s="126" t="s">
        <v>219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219</v>
      </c>
      <c r="F304" s="126" t="s">
        <v>219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219</v>
      </c>
      <c r="F305" s="126" t="s">
        <v>219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219</v>
      </c>
      <c r="F306" s="126" t="s">
        <v>219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219</v>
      </c>
      <c r="F307" s="126" t="s">
        <v>219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219</v>
      </c>
      <c r="F308" s="126" t="s">
        <v>219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219</v>
      </c>
      <c r="F309" s="126" t="s">
        <v>219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219</v>
      </c>
      <c r="F310" s="126" t="s">
        <v>219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219</v>
      </c>
      <c r="F311" s="126" t="s">
        <v>219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219</v>
      </c>
      <c r="F312" s="126" t="s">
        <v>219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219</v>
      </c>
      <c r="F313" s="126" t="s">
        <v>219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219</v>
      </c>
      <c r="F314" s="126" t="s">
        <v>219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219</v>
      </c>
      <c r="F315" s="126" t="s">
        <v>219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219</v>
      </c>
      <c r="F316" s="126" t="s">
        <v>219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219</v>
      </c>
      <c r="F317" s="126" t="s">
        <v>219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219</v>
      </c>
      <c r="F318" s="126" t="s">
        <v>219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219</v>
      </c>
      <c r="F319" s="126" t="s">
        <v>219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219</v>
      </c>
      <c r="F320" s="126" t="s">
        <v>219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219</v>
      </c>
      <c r="F321" s="126" t="s">
        <v>219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219</v>
      </c>
      <c r="F322" s="126" t="s">
        <v>219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219</v>
      </c>
      <c r="F323" s="126" t="s">
        <v>219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219</v>
      </c>
      <c r="F324" s="126" t="s">
        <v>219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219</v>
      </c>
      <c r="F325" s="126" t="s">
        <v>219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219</v>
      </c>
      <c r="F326" s="126" t="s">
        <v>219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219</v>
      </c>
      <c r="F327" s="126" t="s">
        <v>219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219</v>
      </c>
      <c r="F328" s="126" t="s">
        <v>219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219</v>
      </c>
      <c r="F329" s="126" t="s">
        <v>219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219</v>
      </c>
      <c r="F330" s="126" t="s">
        <v>219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219</v>
      </c>
      <c r="F331" s="126" t="s">
        <v>219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421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219</v>
      </c>
      <c r="F332" s="126" t="s">
        <v>219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219</v>
      </c>
      <c r="F333" s="126" t="s">
        <v>219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421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219</v>
      </c>
      <c r="F334" s="126" t="s">
        <v>219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219</v>
      </c>
      <c r="F335" s="126" t="s">
        <v>219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421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219</v>
      </c>
      <c r="F336" s="126" t="s">
        <v>219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421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219</v>
      </c>
      <c r="F337" s="126" t="s">
        <v>219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421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219</v>
      </c>
      <c r="F338" s="126" t="s">
        <v>219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219</v>
      </c>
      <c r="F339" s="126" t="s">
        <v>219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421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219</v>
      </c>
      <c r="F340" s="126" t="s">
        <v>219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219</v>
      </c>
      <c r="F341" s="126" t="s">
        <v>219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421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219</v>
      </c>
      <c r="F342" s="126" t="s">
        <v>219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421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219</v>
      </c>
      <c r="F343" s="126" t="s">
        <v>219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421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219</v>
      </c>
      <c r="F344" s="126" t="s">
        <v>219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421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219</v>
      </c>
      <c r="F345" s="126" t="s">
        <v>219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421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219</v>
      </c>
      <c r="F346" s="126" t="s">
        <v>219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421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219</v>
      </c>
      <c r="F347" s="126" t="s">
        <v>219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219</v>
      </c>
      <c r="F348" s="126" t="s">
        <v>219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219</v>
      </c>
      <c r="F349" s="126" t="s">
        <v>219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219</v>
      </c>
      <c r="F350" s="126" t="s">
        <v>219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219</v>
      </c>
      <c r="F351" s="126" t="s">
        <v>219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219</v>
      </c>
      <c r="F352" s="126" t="s">
        <v>219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219</v>
      </c>
      <c r="F353" s="126" t="s">
        <v>219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219</v>
      </c>
      <c r="F354" s="126" t="s">
        <v>219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219</v>
      </c>
      <c r="F355" s="126" t="s">
        <v>219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421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219</v>
      </c>
      <c r="F356" s="126" t="s">
        <v>219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421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219</v>
      </c>
      <c r="F357" s="126" t="s">
        <v>219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421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219</v>
      </c>
      <c r="F358" s="126" t="s">
        <v>219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421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219</v>
      </c>
      <c r="F359" s="126" t="s">
        <v>219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421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219</v>
      </c>
      <c r="F360" s="126" t="s">
        <v>219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421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219</v>
      </c>
      <c r="F361" s="126" t="s">
        <v>219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421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219</v>
      </c>
      <c r="F362" s="126" t="s">
        <v>219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421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219</v>
      </c>
      <c r="F363" s="126" t="s">
        <v>219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421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219</v>
      </c>
      <c r="F364" s="126" t="s">
        <v>219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421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219</v>
      </c>
      <c r="F365" s="126" t="s">
        <v>219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421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219</v>
      </c>
      <c r="F366" s="126" t="s">
        <v>219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421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219</v>
      </c>
      <c r="F367" s="126" t="s">
        <v>219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421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219</v>
      </c>
      <c r="F368" s="126" t="s">
        <v>219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421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219</v>
      </c>
      <c r="F369" s="126" t="s">
        <v>219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421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219</v>
      </c>
      <c r="F370" s="126" t="s">
        <v>219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421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219</v>
      </c>
      <c r="F371" s="126" t="s">
        <v>219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421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219</v>
      </c>
      <c r="F372" s="126" t="s">
        <v>219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421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219</v>
      </c>
      <c r="F373" s="126" t="s">
        <v>219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421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219</v>
      </c>
      <c r="F374" s="126" t="s">
        <v>219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421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219</v>
      </c>
      <c r="F375" s="126" t="s">
        <v>219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421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219</v>
      </c>
      <c r="F376" s="126" t="s">
        <v>219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421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219</v>
      </c>
      <c r="F377" s="126" t="s">
        <v>219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421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219</v>
      </c>
      <c r="F378" s="126" t="s">
        <v>219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421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219</v>
      </c>
      <c r="F379" s="126" t="s">
        <v>219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219</v>
      </c>
      <c r="F380" s="126" t="s">
        <v>219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219</v>
      </c>
      <c r="F381" s="126" t="s">
        <v>219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219</v>
      </c>
      <c r="F382" s="126" t="s">
        <v>219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219</v>
      </c>
      <c r="F383" s="126" t="s">
        <v>219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219</v>
      </c>
      <c r="F384" s="126" t="s">
        <v>219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219</v>
      </c>
      <c r="F385" s="126" t="s">
        <v>219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219</v>
      </c>
      <c r="F386" s="126" t="s">
        <v>219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219</v>
      </c>
      <c r="F387" s="126" t="s">
        <v>219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219</v>
      </c>
      <c r="F388" s="126" t="s">
        <v>219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219</v>
      </c>
      <c r="F389" s="126" t="s">
        <v>219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219</v>
      </c>
      <c r="F390" s="126" t="s">
        <v>219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65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8" width="13.453125" customWidth="1"/>
    <col min="19" max="19" width="6.81640625" bestFit="1" customWidth="1"/>
    <col min="20" max="24" width="7.45312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422</v>
      </c>
      <c r="T2" s="124" t="s">
        <v>406</v>
      </c>
      <c r="U2" s="124" t="s">
        <v>407</v>
      </c>
      <c r="V2" s="124" t="s">
        <v>408</v>
      </c>
      <c r="W2" s="124" t="s">
        <v>423</v>
      </c>
      <c r="X2" s="124" t="s">
        <v>424</v>
      </c>
      <c r="Y2" s="124" t="s">
        <v>425</v>
      </c>
      <c r="Z2" s="124" t="s">
        <v>426</v>
      </c>
      <c r="AA2" s="124" t="s">
        <v>416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218</v>
      </c>
      <c r="F3" s="126" t="s">
        <v>218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218</v>
      </c>
      <c r="F4" s="126" t="s">
        <v>218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218</v>
      </c>
      <c r="F5" s="126" t="s">
        <v>218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218</v>
      </c>
      <c r="F6" s="126" t="s">
        <v>218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218</v>
      </c>
      <c r="F7" s="126" t="s">
        <v>218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218</v>
      </c>
      <c r="F8" s="126" t="s">
        <v>218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218</v>
      </c>
      <c r="F9" s="126" t="s">
        <v>218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218</v>
      </c>
      <c r="F10" s="126" t="s">
        <v>218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218</v>
      </c>
      <c r="F11" s="126" t="s">
        <v>218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218</v>
      </c>
      <c r="F12" s="126" t="s">
        <v>218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218</v>
      </c>
      <c r="F13" s="126" t="s">
        <v>218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218</v>
      </c>
      <c r="F14" s="126" t="s">
        <v>218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218</v>
      </c>
      <c r="F15" s="126" t="s">
        <v>218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218</v>
      </c>
      <c r="F16" s="126" t="s">
        <v>218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218</v>
      </c>
      <c r="F17" s="126" t="s">
        <v>218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218</v>
      </c>
      <c r="F18" s="126" t="s">
        <v>218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218</v>
      </c>
      <c r="F19" s="126" t="s">
        <v>218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218</v>
      </c>
      <c r="F20" s="126" t="s">
        <v>218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218</v>
      </c>
      <c r="F21" s="126" t="s">
        <v>218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218</v>
      </c>
      <c r="F22" s="126" t="s">
        <v>218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218</v>
      </c>
      <c r="F23" s="126" t="s">
        <v>218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218</v>
      </c>
      <c r="F24" s="126" t="s">
        <v>218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218</v>
      </c>
      <c r="F25" s="126" t="s">
        <v>218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218</v>
      </c>
      <c r="F26" s="126" t="s">
        <v>218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218</v>
      </c>
      <c r="F27" s="126" t="s">
        <v>218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218</v>
      </c>
      <c r="F28" s="126" t="s">
        <v>218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218</v>
      </c>
      <c r="F29" s="126" t="s">
        <v>218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218</v>
      </c>
      <c r="F30" s="126" t="s">
        <v>218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218</v>
      </c>
      <c r="F31" s="126" t="s">
        <v>218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218</v>
      </c>
      <c r="F32" s="126" t="s">
        <v>218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218</v>
      </c>
      <c r="F33" s="126" t="s">
        <v>218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218</v>
      </c>
      <c r="F34" s="126" t="s">
        <v>218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218</v>
      </c>
      <c r="F35" s="126" t="s">
        <v>218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218</v>
      </c>
      <c r="F36" s="126" t="s">
        <v>218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218</v>
      </c>
      <c r="F37" s="126" t="s">
        <v>218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218</v>
      </c>
      <c r="F38" s="126" t="s">
        <v>218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218</v>
      </c>
      <c r="F39" s="126" t="s">
        <v>218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218</v>
      </c>
      <c r="F40" s="126" t="s">
        <v>218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218</v>
      </c>
      <c r="F41" s="126" t="s">
        <v>218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218</v>
      </c>
      <c r="F42" s="126" t="s">
        <v>218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218</v>
      </c>
      <c r="F43" s="126" t="s">
        <v>218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218</v>
      </c>
      <c r="F44" s="126" t="s">
        <v>218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218</v>
      </c>
      <c r="F45" s="126" t="s">
        <v>218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218</v>
      </c>
      <c r="F46" s="126" t="s">
        <v>218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218</v>
      </c>
      <c r="F47" s="126" t="s">
        <v>218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218</v>
      </c>
      <c r="F48" s="126" t="s">
        <v>218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218</v>
      </c>
      <c r="F49" s="126" t="s">
        <v>218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218</v>
      </c>
      <c r="F50" s="126" t="s">
        <v>218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218</v>
      </c>
      <c r="F51" s="126" t="s">
        <v>218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218</v>
      </c>
      <c r="F52" s="126" t="s">
        <v>218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218</v>
      </c>
      <c r="F53" s="126" t="s">
        <v>218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218</v>
      </c>
      <c r="F54" s="126" t="s">
        <v>218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218</v>
      </c>
      <c r="F55" s="126" t="s">
        <v>218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218</v>
      </c>
      <c r="F56" s="126" t="s">
        <v>218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218</v>
      </c>
      <c r="F57" s="126" t="s">
        <v>218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218</v>
      </c>
      <c r="F58" s="126" t="s">
        <v>218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218</v>
      </c>
      <c r="F59" s="126" t="s">
        <v>218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218</v>
      </c>
      <c r="F60" s="126" t="s">
        <v>218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218</v>
      </c>
      <c r="F61" s="126" t="s">
        <v>218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218</v>
      </c>
      <c r="F62" s="126" t="s">
        <v>218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218</v>
      </c>
      <c r="F63" s="126" t="s">
        <v>218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218</v>
      </c>
      <c r="F64" s="126" t="s">
        <v>218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218</v>
      </c>
      <c r="F65" s="126" t="s">
        <v>218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218</v>
      </c>
      <c r="F66" s="126" t="s">
        <v>218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218</v>
      </c>
      <c r="F67" s="126" t="s">
        <v>218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218</v>
      </c>
      <c r="F68" s="126" t="s">
        <v>218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218</v>
      </c>
      <c r="F69" s="126" t="s">
        <v>218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218</v>
      </c>
      <c r="F70" s="126" t="s">
        <v>218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218</v>
      </c>
      <c r="F71" s="126" t="s">
        <v>218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218</v>
      </c>
      <c r="F72" s="126" t="s">
        <v>218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218</v>
      </c>
      <c r="F73" s="126" t="s">
        <v>218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218</v>
      </c>
      <c r="F74" s="126" t="s">
        <v>218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218</v>
      </c>
      <c r="F75" s="126" t="s">
        <v>218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218</v>
      </c>
      <c r="F76" s="126" t="s">
        <v>218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218</v>
      </c>
      <c r="F77" s="126" t="s">
        <v>218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218</v>
      </c>
      <c r="F78" s="126" t="s">
        <v>218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218</v>
      </c>
      <c r="F79" s="126" t="s">
        <v>218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218</v>
      </c>
      <c r="F80" s="126" t="s">
        <v>218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218</v>
      </c>
      <c r="F81" s="126" t="s">
        <v>218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218</v>
      </c>
      <c r="F82" s="126" t="s">
        <v>218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218</v>
      </c>
      <c r="F83" s="126" t="s">
        <v>218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218</v>
      </c>
      <c r="F84" s="126" t="s">
        <v>218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218</v>
      </c>
      <c r="F85" s="126" t="s">
        <v>218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218</v>
      </c>
      <c r="F86" s="126" t="s">
        <v>218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218</v>
      </c>
      <c r="F87" s="126" t="s">
        <v>218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218</v>
      </c>
      <c r="F88" s="126" t="s">
        <v>218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218</v>
      </c>
      <c r="F89" s="126" t="s">
        <v>218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218</v>
      </c>
      <c r="F90" s="126" t="s">
        <v>218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218</v>
      </c>
      <c r="F91" s="126" t="s">
        <v>218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218</v>
      </c>
      <c r="F92" s="126" t="s">
        <v>218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218</v>
      </c>
      <c r="F93" s="126" t="s">
        <v>218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218</v>
      </c>
      <c r="F94" s="126" t="s">
        <v>218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218</v>
      </c>
      <c r="F95" s="126" t="s">
        <v>218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218</v>
      </c>
      <c r="F96" s="126" t="s">
        <v>218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218</v>
      </c>
      <c r="F97" s="126" t="s">
        <v>218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218</v>
      </c>
      <c r="F98" s="126" t="s">
        <v>218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218</v>
      </c>
      <c r="F99" s="126" t="s">
        <v>218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218</v>
      </c>
      <c r="F100" s="126" t="s">
        <v>218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218</v>
      </c>
      <c r="F101" s="126" t="s">
        <v>218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218</v>
      </c>
      <c r="F102" s="126" t="s">
        <v>218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218</v>
      </c>
      <c r="F103" s="126" t="s">
        <v>218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218</v>
      </c>
      <c r="F104" s="126" t="s">
        <v>218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218</v>
      </c>
      <c r="F105" s="126" t="s">
        <v>218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427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427</v>
      </c>
      <c r="AA105" s="133" t="s">
        <v>428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218</v>
      </c>
      <c r="F106" s="126" t="s">
        <v>218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427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427</v>
      </c>
      <c r="AA106" s="133" t="s">
        <v>429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218</v>
      </c>
      <c r="F107" s="126" t="s">
        <v>218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427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427</v>
      </c>
      <c r="AA107" s="133" t="s">
        <v>430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218</v>
      </c>
      <c r="F108" s="126" t="s">
        <v>218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427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427</v>
      </c>
      <c r="AA108" s="133" t="s">
        <v>431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218</v>
      </c>
      <c r="F109" s="126" t="s">
        <v>218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427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427</v>
      </c>
      <c r="AA109" s="133" t="s">
        <v>432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218</v>
      </c>
      <c r="F110" s="126" t="s">
        <v>218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427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427</v>
      </c>
      <c r="AA110" s="133" t="s">
        <v>433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218</v>
      </c>
      <c r="F111" s="126" t="s">
        <v>218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427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427</v>
      </c>
      <c r="AA111" s="133" t="s">
        <v>434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218</v>
      </c>
      <c r="F112" s="126" t="s">
        <v>218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427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435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218</v>
      </c>
      <c r="F113" s="126" t="s">
        <v>218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427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427</v>
      </c>
      <c r="AA113" s="133" t="s">
        <v>436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218</v>
      </c>
      <c r="F114" s="126" t="s">
        <v>218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427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427</v>
      </c>
      <c r="AA114" s="133" t="s">
        <v>437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218</v>
      </c>
      <c r="F115" s="126" t="s">
        <v>218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427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427</v>
      </c>
      <c r="AA115" s="133" t="s">
        <v>438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218</v>
      </c>
      <c r="F116" s="126" t="s">
        <v>218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427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427</v>
      </c>
      <c r="AA116" s="133" t="s">
        <v>439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218</v>
      </c>
      <c r="F117" s="126" t="s">
        <v>218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427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427</v>
      </c>
      <c r="AA117" s="133" t="s">
        <v>440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218</v>
      </c>
      <c r="F118" s="126" t="s">
        <v>218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427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427</v>
      </c>
      <c r="AA118" s="133" t="s">
        <v>441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218</v>
      </c>
      <c r="F119" s="126" t="s">
        <v>218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427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427</v>
      </c>
      <c r="AA119" s="133" t="s">
        <v>442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218</v>
      </c>
      <c r="F120" s="126" t="s">
        <v>218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427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427</v>
      </c>
      <c r="AA120" s="133" t="s">
        <v>443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218</v>
      </c>
      <c r="F121" s="126" t="s">
        <v>218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427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427</v>
      </c>
      <c r="AA121" s="133" t="s">
        <v>444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218</v>
      </c>
      <c r="F122" s="126" t="s">
        <v>218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218</v>
      </c>
      <c r="F123" s="126" t="s">
        <v>218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427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427</v>
      </c>
      <c r="AA123" s="133" t="s">
        <v>445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218</v>
      </c>
      <c r="F124" s="126" t="s">
        <v>218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427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427</v>
      </c>
      <c r="AA124" s="133" t="s">
        <v>446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218</v>
      </c>
      <c r="F125" s="126" t="s">
        <v>218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427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427</v>
      </c>
      <c r="AA125" s="133" t="s">
        <v>447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218</v>
      </c>
      <c r="F126" s="126" t="s">
        <v>218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427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427</v>
      </c>
      <c r="AA126" s="133" t="s">
        <v>448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218</v>
      </c>
      <c r="F127" s="126" t="s">
        <v>218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427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427</v>
      </c>
      <c r="AA127" s="133" t="s">
        <v>449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218</v>
      </c>
      <c r="F128" s="126" t="s">
        <v>218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218</v>
      </c>
      <c r="F129" s="126" t="s">
        <v>218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218</v>
      </c>
      <c r="F130" s="126" t="s">
        <v>218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218</v>
      </c>
      <c r="F131" s="126" t="s">
        <v>218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218</v>
      </c>
      <c r="F132" s="126" t="s">
        <v>218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218</v>
      </c>
      <c r="F133" s="126" t="s">
        <v>218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218</v>
      </c>
      <c r="F134" s="126" t="s">
        <v>218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218</v>
      </c>
      <c r="F135" s="126" t="s">
        <v>218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218</v>
      </c>
      <c r="F136" s="126" t="s">
        <v>218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218</v>
      </c>
      <c r="F137" s="126" t="s">
        <v>218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218</v>
      </c>
      <c r="F138" s="126" t="s">
        <v>218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218</v>
      </c>
      <c r="F139" s="126" t="s">
        <v>218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218</v>
      </c>
      <c r="F140" s="126" t="s">
        <v>218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218</v>
      </c>
      <c r="F141" s="126" t="s">
        <v>218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218</v>
      </c>
      <c r="F142" s="126" t="s">
        <v>218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218</v>
      </c>
      <c r="F143" s="126" t="s">
        <v>218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218</v>
      </c>
      <c r="F144" s="126" t="s">
        <v>218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218</v>
      </c>
      <c r="F145" s="126" t="s">
        <v>218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218</v>
      </c>
      <c r="F146" s="126" t="s">
        <v>218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218</v>
      </c>
      <c r="F147" s="126" t="s">
        <v>218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218</v>
      </c>
      <c r="F148" s="126" t="s">
        <v>218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218</v>
      </c>
      <c r="F149" s="126" t="s">
        <v>218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218</v>
      </c>
      <c r="F150" s="126" t="s">
        <v>218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218</v>
      </c>
      <c r="F151" s="126" t="s">
        <v>218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427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427</v>
      </c>
      <c r="AA151" s="352" t="s">
        <v>450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218</v>
      </c>
      <c r="F152" s="126" t="s">
        <v>218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427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427</v>
      </c>
      <c r="AA152" s="352" t="s">
        <v>451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218</v>
      </c>
      <c r="F153" s="126" t="s">
        <v>218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427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427</v>
      </c>
      <c r="AA153" s="352" t="s">
        <v>452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218</v>
      </c>
      <c r="F154" s="126" t="s">
        <v>218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427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427</v>
      </c>
      <c r="AA154" s="352" t="s">
        <v>453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218</v>
      </c>
      <c r="F155" s="126" t="s">
        <v>218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427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427</v>
      </c>
      <c r="AA155" s="352" t="s">
        <v>454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218</v>
      </c>
      <c r="F156" s="126" t="s">
        <v>218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218</v>
      </c>
      <c r="F157" s="126" t="s">
        <v>218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427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427</v>
      </c>
      <c r="AA157" s="352" t="s">
        <v>455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218</v>
      </c>
      <c r="F158" s="126" t="s">
        <v>218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427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427</v>
      </c>
      <c r="AA158" s="352" t="s">
        <v>456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218</v>
      </c>
      <c r="F159" s="126" t="s">
        <v>218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427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427</v>
      </c>
      <c r="AA159" s="352" t="s">
        <v>457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218</v>
      </c>
      <c r="F160" s="126" t="s">
        <v>218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218</v>
      </c>
      <c r="F161" s="126" t="s">
        <v>218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218</v>
      </c>
      <c r="F162" s="126" t="s">
        <v>218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218</v>
      </c>
      <c r="F163" s="126" t="s">
        <v>218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218</v>
      </c>
      <c r="F164" s="126" t="s">
        <v>218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218</v>
      </c>
      <c r="F165" s="126" t="s">
        <v>218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218</v>
      </c>
      <c r="F166" s="126" t="s">
        <v>218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218</v>
      </c>
      <c r="F167" s="126" t="s">
        <v>218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218</v>
      </c>
      <c r="F168" s="126" t="s">
        <v>218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218</v>
      </c>
      <c r="F169" s="126" t="s">
        <v>218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218</v>
      </c>
      <c r="F170" s="126" t="s">
        <v>218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218</v>
      </c>
      <c r="F171" s="126" t="s">
        <v>218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218</v>
      </c>
      <c r="F172" s="126" t="s">
        <v>218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218</v>
      </c>
      <c r="F173" s="126" t="s">
        <v>218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218</v>
      </c>
      <c r="F174" s="126" t="s">
        <v>218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218</v>
      </c>
      <c r="F175" s="126" t="s">
        <v>218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218</v>
      </c>
      <c r="F176" s="126" t="s">
        <v>218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218</v>
      </c>
      <c r="F177" s="126" t="s">
        <v>218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218</v>
      </c>
      <c r="F178" s="126" t="s">
        <v>218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218</v>
      </c>
      <c r="F179" s="126" t="s">
        <v>218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218</v>
      </c>
      <c r="F180" s="126" t="s">
        <v>218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218</v>
      </c>
      <c r="F181" s="126" t="s">
        <v>218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218</v>
      </c>
      <c r="F182" s="126" t="s">
        <v>218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218</v>
      </c>
      <c r="F183" s="126" t="s">
        <v>218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458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218</v>
      </c>
      <c r="F184" s="126" t="s">
        <v>218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459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218</v>
      </c>
      <c r="F185" s="126" t="s">
        <v>218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218</v>
      </c>
      <c r="F186" s="126" t="s">
        <v>218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218</v>
      </c>
      <c r="F187" s="126" t="s">
        <v>218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218</v>
      </c>
      <c r="F188" s="126" t="s">
        <v>218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218</v>
      </c>
      <c r="F189" s="126" t="s">
        <v>218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218</v>
      </c>
      <c r="F190" s="126" t="s">
        <v>218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218</v>
      </c>
      <c r="F191" s="126" t="s">
        <v>218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218</v>
      </c>
      <c r="F192" s="126" t="s">
        <v>218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218</v>
      </c>
      <c r="F193" s="126" t="s">
        <v>218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218</v>
      </c>
      <c r="F194" s="126" t="s">
        <v>218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218</v>
      </c>
      <c r="F195" s="126" t="s">
        <v>218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218</v>
      </c>
      <c r="F196" s="126" t="s">
        <v>218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218</v>
      </c>
      <c r="F197" s="126" t="s">
        <v>218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218</v>
      </c>
      <c r="F198" s="126" t="s">
        <v>218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218</v>
      </c>
      <c r="F199" s="126" t="s">
        <v>218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218</v>
      </c>
      <c r="F200" s="126" t="s">
        <v>218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218</v>
      </c>
      <c r="F201" s="126" t="s">
        <v>218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218</v>
      </c>
      <c r="F202" s="126" t="s">
        <v>218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218</v>
      </c>
      <c r="F203" s="126" t="s">
        <v>218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218</v>
      </c>
      <c r="F204" s="126" t="s">
        <v>218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218</v>
      </c>
      <c r="F205" s="126" t="s">
        <v>218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218</v>
      </c>
      <c r="F206" s="126" t="s">
        <v>218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218</v>
      </c>
      <c r="F207" s="126" t="s">
        <v>218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218</v>
      </c>
      <c r="F208" s="126" t="s">
        <v>218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218</v>
      </c>
      <c r="F209" s="126" t="s">
        <v>218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218</v>
      </c>
      <c r="F210" s="126" t="s">
        <v>218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218</v>
      </c>
      <c r="F211" s="126" t="s">
        <v>218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218</v>
      </c>
      <c r="F212" s="126" t="s">
        <v>218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218</v>
      </c>
      <c r="F213" s="126" t="s">
        <v>218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218</v>
      </c>
      <c r="F214" s="126" t="s">
        <v>218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218</v>
      </c>
      <c r="F215" s="126" t="s">
        <v>218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458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458</v>
      </c>
      <c r="AA215" s="133" t="s">
        <v>460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218</v>
      </c>
      <c r="F216" s="126" t="s">
        <v>218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458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458</v>
      </c>
      <c r="AA216" s="133" t="s">
        <v>461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218</v>
      </c>
      <c r="F217" s="126" t="s">
        <v>218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218</v>
      </c>
      <c r="F218" s="126" t="s">
        <v>218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218</v>
      </c>
      <c r="F219" s="126" t="s">
        <v>218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218</v>
      </c>
      <c r="F220" s="126" t="s">
        <v>218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218</v>
      </c>
      <c r="F221" s="126" t="s">
        <v>218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218</v>
      </c>
      <c r="F222" s="126" t="s">
        <v>218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218</v>
      </c>
      <c r="F223" s="126" t="s">
        <v>218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458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458</v>
      </c>
      <c r="AA223" s="133" t="s">
        <v>462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218</v>
      </c>
      <c r="F224" s="126" t="s">
        <v>218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458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458</v>
      </c>
      <c r="AA224" s="133" t="s">
        <v>463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218</v>
      </c>
      <c r="F225" s="126" t="s">
        <v>218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458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458</v>
      </c>
      <c r="AA225" s="133" t="s">
        <v>464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218</v>
      </c>
      <c r="F226" s="126" t="s">
        <v>218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458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458</v>
      </c>
      <c r="AA226" s="133" t="s">
        <v>465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218</v>
      </c>
      <c r="F227" s="126" t="s">
        <v>218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458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458</v>
      </c>
      <c r="AA227" s="133" t="s">
        <v>465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218</v>
      </c>
      <c r="F228" s="126" t="s">
        <v>218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458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458</v>
      </c>
      <c r="AA228" s="133" t="s">
        <v>461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218</v>
      </c>
      <c r="F229" s="126" t="s">
        <v>218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218</v>
      </c>
      <c r="F230" s="126" t="s">
        <v>218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458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458</v>
      </c>
      <c r="AA230" s="133" t="s">
        <v>466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218</v>
      </c>
      <c r="F231" s="126" t="s">
        <v>218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458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458</v>
      </c>
      <c r="AA231" s="133" t="s">
        <v>467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218</v>
      </c>
      <c r="F232" s="126" t="s">
        <v>218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458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458</v>
      </c>
      <c r="AA232" s="133" t="s">
        <v>468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218</v>
      </c>
      <c r="F233" s="126" t="s">
        <v>218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458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458</v>
      </c>
      <c r="AA233" s="133" t="s">
        <v>469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218</v>
      </c>
      <c r="F234" s="126" t="s">
        <v>218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458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458</v>
      </c>
      <c r="AA234" s="133" t="s">
        <v>470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218</v>
      </c>
      <c r="F235" s="126" t="s">
        <v>218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458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458</v>
      </c>
      <c r="AA235" s="133" t="s">
        <v>471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218</v>
      </c>
      <c r="F236" s="126" t="s">
        <v>218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458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458</v>
      </c>
      <c r="AA236" s="133" t="s">
        <v>470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218</v>
      </c>
      <c r="F237" s="126" t="s">
        <v>218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458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458</v>
      </c>
      <c r="AA237" s="133" t="s">
        <v>472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218</v>
      </c>
      <c r="F238" s="126" t="s">
        <v>218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458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458</v>
      </c>
      <c r="AA238" s="133" t="s">
        <v>473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218</v>
      </c>
      <c r="F239" s="126" t="s">
        <v>218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458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458</v>
      </c>
      <c r="AA239" s="133" t="s">
        <v>474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218</v>
      </c>
      <c r="F240" s="126" t="s">
        <v>218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458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458</v>
      </c>
      <c r="AA240" s="133" t="s">
        <v>475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218</v>
      </c>
      <c r="F241" s="126" t="s">
        <v>218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218</v>
      </c>
      <c r="F242" s="126" t="s">
        <v>218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458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458</v>
      </c>
      <c r="AA242" s="133" t="s">
        <v>476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218</v>
      </c>
      <c r="F243" s="126" t="s">
        <v>218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458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458</v>
      </c>
      <c r="AA243" s="133" t="s">
        <v>477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218</v>
      </c>
      <c r="F244" s="126" t="s">
        <v>218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458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458</v>
      </c>
      <c r="AA244" s="133" t="s">
        <v>478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218</v>
      </c>
      <c r="F245" s="126" t="s">
        <v>218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458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458</v>
      </c>
      <c r="AA245" s="133" t="s">
        <v>479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218</v>
      </c>
      <c r="F246" s="126" t="s">
        <v>218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458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458</v>
      </c>
      <c r="AA246" s="133" t="s">
        <v>480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218</v>
      </c>
      <c r="F247" s="126" t="s">
        <v>218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458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458</v>
      </c>
      <c r="AA247" s="133" t="s">
        <v>481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218</v>
      </c>
      <c r="F248" s="126" t="s">
        <v>218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218</v>
      </c>
      <c r="F249" s="126" t="s">
        <v>218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218</v>
      </c>
      <c r="F250" s="126" t="s">
        <v>218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218</v>
      </c>
      <c r="F251" s="126" t="s">
        <v>218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218</v>
      </c>
      <c r="F252" s="126" t="s">
        <v>218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218</v>
      </c>
      <c r="F253" s="126" t="s">
        <v>218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218</v>
      </c>
      <c r="F254" s="126" t="s">
        <v>218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218</v>
      </c>
      <c r="F255" s="126" t="s">
        <v>218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218</v>
      </c>
      <c r="F256" s="126" t="s">
        <v>218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218</v>
      </c>
      <c r="F257" s="126" t="s">
        <v>218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218</v>
      </c>
      <c r="F258" s="126" t="s">
        <v>218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218</v>
      </c>
      <c r="F259" s="126" t="s">
        <v>218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218</v>
      </c>
      <c r="F260" s="126" t="s">
        <v>218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218</v>
      </c>
      <c r="F261" s="126" t="s">
        <v>218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218</v>
      </c>
      <c r="F262" s="126" t="s">
        <v>218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218</v>
      </c>
      <c r="F263" s="126" t="s">
        <v>218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458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458</v>
      </c>
      <c r="AA263" s="133" t="s">
        <v>482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218</v>
      </c>
      <c r="F264" s="126" t="s">
        <v>218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458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458</v>
      </c>
      <c r="AA264" s="133" t="s">
        <v>483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218</v>
      </c>
      <c r="F265" s="126" t="s">
        <v>218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458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458</v>
      </c>
      <c r="AA265" s="133" t="s">
        <v>484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218</v>
      </c>
      <c r="F266" s="126" t="s">
        <v>218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458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458</v>
      </c>
      <c r="AA266" s="133" t="s">
        <v>485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218</v>
      </c>
      <c r="F267" s="126" t="s">
        <v>218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458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458</v>
      </c>
      <c r="AA267" s="133" t="s">
        <v>485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218</v>
      </c>
      <c r="F268" s="126" t="s">
        <v>218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458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458</v>
      </c>
      <c r="AA268" s="133" t="s">
        <v>486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218</v>
      </c>
      <c r="F269" s="126" t="s">
        <v>218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458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458</v>
      </c>
      <c r="AA269" s="133" t="s">
        <v>487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218</v>
      </c>
      <c r="F270" s="126" t="s">
        <v>218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458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458</v>
      </c>
      <c r="AA270" s="133" t="s">
        <v>487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218</v>
      </c>
      <c r="F271" s="126" t="s">
        <v>218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458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458</v>
      </c>
      <c r="AA271" s="133" t="s">
        <v>488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218</v>
      </c>
      <c r="F272" s="126" t="s">
        <v>218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458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458</v>
      </c>
      <c r="AA272" s="133" t="s">
        <v>489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218</v>
      </c>
      <c r="F273" s="126" t="s">
        <v>218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458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458</v>
      </c>
      <c r="AA273" s="133" t="s">
        <v>490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218</v>
      </c>
      <c r="F274" s="126" t="s">
        <v>218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458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458</v>
      </c>
      <c r="AA274" s="133" t="s">
        <v>491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218</v>
      </c>
      <c r="F275" s="126" t="s">
        <v>218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458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458</v>
      </c>
      <c r="AA275" s="133" t="s">
        <v>484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218</v>
      </c>
      <c r="F276" s="126" t="s">
        <v>218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218</v>
      </c>
      <c r="F277" s="126" t="s">
        <v>218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218</v>
      </c>
      <c r="F278" s="126" t="s">
        <v>218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218</v>
      </c>
      <c r="F279" s="126" t="s">
        <v>218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218</v>
      </c>
      <c r="F280" s="126" t="s">
        <v>218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218</v>
      </c>
      <c r="F281" s="126" t="s">
        <v>218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218</v>
      </c>
      <c r="F282" s="126" t="s">
        <v>218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218</v>
      </c>
      <c r="F283" s="126" t="s">
        <v>218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218</v>
      </c>
      <c r="F284" s="126" t="s">
        <v>218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218</v>
      </c>
      <c r="F285" s="126" t="s">
        <v>218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218</v>
      </c>
      <c r="F286" s="126" t="s">
        <v>218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218</v>
      </c>
      <c r="F287" s="126" t="s">
        <v>218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218</v>
      </c>
      <c r="F288" s="126" t="s">
        <v>218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218</v>
      </c>
      <c r="F289" s="126" t="s">
        <v>218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218</v>
      </c>
      <c r="F290" s="126" t="s">
        <v>218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218</v>
      </c>
      <c r="F291" s="126" t="s">
        <v>218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218</v>
      </c>
      <c r="F292" s="126" t="s">
        <v>218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218</v>
      </c>
      <c r="F293" s="126" t="s">
        <v>218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458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458</v>
      </c>
      <c r="AA293" s="133" t="s">
        <v>460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218</v>
      </c>
      <c r="F294" s="126" t="s">
        <v>218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458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458</v>
      </c>
      <c r="AA294" s="133" t="s">
        <v>492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218</v>
      </c>
      <c r="F295" s="126" t="s">
        <v>218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458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458</v>
      </c>
      <c r="AA295" s="133" t="s">
        <v>479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218</v>
      </c>
      <c r="F296" s="126" t="s">
        <v>218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458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458</v>
      </c>
      <c r="AA296" s="133" t="s">
        <v>493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218</v>
      </c>
      <c r="F297" s="126" t="s">
        <v>218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458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458</v>
      </c>
      <c r="AA297" s="133" t="s">
        <v>490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218</v>
      </c>
      <c r="F298" s="126" t="s">
        <v>218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218</v>
      </c>
      <c r="F299" s="126" t="s">
        <v>218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458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458</v>
      </c>
      <c r="AA299" s="133" t="s">
        <v>494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218</v>
      </c>
      <c r="F300" s="126" t="s">
        <v>218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458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458</v>
      </c>
      <c r="AA300" s="133" t="s">
        <v>495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218</v>
      </c>
      <c r="F301" s="126" t="s">
        <v>218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458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458</v>
      </c>
      <c r="AA301" s="133" t="s">
        <v>496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218</v>
      </c>
      <c r="F302" s="126" t="s">
        <v>218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218</v>
      </c>
      <c r="F303" s="126" t="s">
        <v>218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218</v>
      </c>
      <c r="F304" s="126" t="s">
        <v>218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458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458</v>
      </c>
      <c r="AA304" s="133" t="s">
        <v>497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218</v>
      </c>
      <c r="F305" s="126" t="s">
        <v>218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458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458</v>
      </c>
      <c r="AA305" s="133" t="s">
        <v>498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218</v>
      </c>
      <c r="F306" s="126" t="s">
        <v>218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218</v>
      </c>
      <c r="F307" s="126" t="s">
        <v>218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458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458</v>
      </c>
      <c r="AA307" s="133" t="s">
        <v>466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218</v>
      </c>
      <c r="F308" s="126" t="s">
        <v>218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458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458</v>
      </c>
      <c r="AA308" s="133" t="s">
        <v>476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218</v>
      </c>
      <c r="F309" s="126" t="s">
        <v>218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458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458</v>
      </c>
      <c r="AA309" s="133" t="s">
        <v>499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218</v>
      </c>
      <c r="F310" s="126" t="s">
        <v>218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218</v>
      </c>
      <c r="F311" s="126" t="s">
        <v>218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458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458</v>
      </c>
      <c r="AA311" s="133" t="s">
        <v>461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218</v>
      </c>
      <c r="F312" s="126" t="s">
        <v>218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458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458</v>
      </c>
      <c r="AA312" s="133" t="s">
        <v>475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218</v>
      </c>
      <c r="F313" s="126" t="s">
        <v>218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458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458</v>
      </c>
      <c r="AA313" s="133" t="s">
        <v>500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218</v>
      </c>
      <c r="F314" s="126" t="s">
        <v>218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458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458</v>
      </c>
      <c r="AA314" s="133" t="s">
        <v>496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218</v>
      </c>
      <c r="F315" s="126" t="s">
        <v>218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458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458</v>
      </c>
      <c r="AA315" s="133" t="s">
        <v>495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218</v>
      </c>
      <c r="F316" s="126" t="s">
        <v>218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218</v>
      </c>
      <c r="F317" s="126" t="s">
        <v>218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218</v>
      </c>
      <c r="F318" s="126" t="s">
        <v>218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218</v>
      </c>
      <c r="F319" s="126" t="s">
        <v>218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218</v>
      </c>
      <c r="F320" s="126" t="s">
        <v>218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218</v>
      </c>
      <c r="F321" s="126" t="s">
        <v>218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453125" customWidth="1"/>
    <col min="7" max="7" width="1" customWidth="1"/>
    <col min="9" max="9" width="1.45312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45312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45312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5" width="9.45312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501</v>
      </c>
      <c r="D1" s="11" t="s">
        <v>304</v>
      </c>
      <c r="F1" s="11" t="s">
        <v>376</v>
      </c>
      <c r="H1" s="11" t="s">
        <v>374</v>
      </c>
      <c r="J1" s="11" t="s">
        <v>502</v>
      </c>
      <c r="L1" s="11" t="s">
        <v>503</v>
      </c>
      <c r="N1" s="12" t="s">
        <v>503</v>
      </c>
      <c r="O1" s="12" t="s">
        <v>504</v>
      </c>
      <c r="P1" s="12" t="s">
        <v>203</v>
      </c>
      <c r="Q1" s="139" t="s">
        <v>505</v>
      </c>
      <c r="R1" s="12" t="s">
        <v>506</v>
      </c>
      <c r="S1" s="12" t="s">
        <v>507</v>
      </c>
      <c r="T1" s="12" t="s">
        <v>508</v>
      </c>
      <c r="U1" s="139" t="s">
        <v>509</v>
      </c>
      <c r="V1" s="139" t="s">
        <v>510</v>
      </c>
      <c r="X1" s="12" t="s">
        <v>511</v>
      </c>
      <c r="Z1" s="12" t="s">
        <v>213</v>
      </c>
      <c r="AB1" s="12" t="s">
        <v>512</v>
      </c>
      <c r="AE1" s="353" t="s">
        <v>504</v>
      </c>
      <c r="AF1" s="353" t="s">
        <v>513</v>
      </c>
      <c r="AG1" s="353" t="s">
        <v>514</v>
      </c>
      <c r="AH1" s="353" t="s">
        <v>515</v>
      </c>
      <c r="AI1" s="353" t="s">
        <v>516</v>
      </c>
      <c r="AJ1" s="353" t="s">
        <v>517</v>
      </c>
      <c r="AM1" s="353" t="s">
        <v>518</v>
      </c>
      <c r="AN1" s="353" t="s">
        <v>519</v>
      </c>
      <c r="AO1" s="353" t="s">
        <v>203</v>
      </c>
      <c r="AP1" s="353" t="s">
        <v>505</v>
      </c>
      <c r="AQ1" s="353" t="s">
        <v>506</v>
      </c>
    </row>
    <row r="2" spans="2:47">
      <c r="B2" t="s">
        <v>300</v>
      </c>
      <c r="D2" t="s">
        <v>294</v>
      </c>
      <c r="F2" t="s">
        <v>313</v>
      </c>
      <c r="H2" t="s">
        <v>337</v>
      </c>
      <c r="J2" t="s">
        <v>520</v>
      </c>
      <c r="L2" t="s">
        <v>521</v>
      </c>
      <c r="N2" s="2" t="s">
        <v>522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523</v>
      </c>
      <c r="U2" s="5" t="s">
        <v>524</v>
      </c>
      <c r="V2" s="1" t="s">
        <v>525</v>
      </c>
      <c r="X2" s="2" t="s">
        <v>376</v>
      </c>
      <c r="Z2" t="s">
        <v>526</v>
      </c>
      <c r="AE2" t="s">
        <v>35</v>
      </c>
      <c r="AF2" t="s">
        <v>527</v>
      </c>
      <c r="AH2">
        <v>19.45</v>
      </c>
      <c r="AI2">
        <v>29.05</v>
      </c>
      <c r="AJ2" s="278">
        <v>45688</v>
      </c>
      <c r="AM2" t="s">
        <v>528</v>
      </c>
      <c r="AP2" s="4">
        <v>0</v>
      </c>
      <c r="AQ2" s="239">
        <f>AP2/$AU$2</f>
        <v>0</v>
      </c>
      <c r="AT2" t="s">
        <v>529</v>
      </c>
      <c r="AU2">
        <v>100</v>
      </c>
    </row>
    <row r="3" spans="2:47">
      <c r="B3" t="s">
        <v>293</v>
      </c>
      <c r="D3" t="s">
        <v>299</v>
      </c>
      <c r="F3" t="s">
        <v>316</v>
      </c>
      <c r="H3" t="s">
        <v>344</v>
      </c>
      <c r="J3" t="s">
        <v>327</v>
      </c>
      <c r="L3" t="s">
        <v>530</v>
      </c>
      <c r="N3" s="2" t="s">
        <v>531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523</v>
      </c>
      <c r="U3" s="5" t="s">
        <v>524</v>
      </c>
      <c r="V3" s="1" t="s">
        <v>525</v>
      </c>
      <c r="X3" s="2" t="s">
        <v>349</v>
      </c>
      <c r="Z3" t="s">
        <v>298</v>
      </c>
      <c r="AB3" t="s">
        <v>532</v>
      </c>
      <c r="AC3" s="4">
        <v>135000</v>
      </c>
      <c r="AE3" t="s">
        <v>36</v>
      </c>
      <c r="AF3" s="354" t="s">
        <v>533</v>
      </c>
      <c r="AH3">
        <v>7.53</v>
      </c>
      <c r="AI3" s="141">
        <v>10.165500000000002</v>
      </c>
      <c r="AJ3" s="278">
        <v>45688</v>
      </c>
      <c r="AM3" t="s">
        <v>534</v>
      </c>
      <c r="AP3" s="4">
        <v>100</v>
      </c>
      <c r="AQ3" s="239">
        <f t="shared" ref="AQ3:AQ5" si="2">AP3/$AU$2</f>
        <v>1</v>
      </c>
    </row>
    <row r="4" spans="2:47">
      <c r="B4" t="s">
        <v>302</v>
      </c>
      <c r="D4" t="s">
        <v>535</v>
      </c>
      <c r="F4" t="s">
        <v>320</v>
      </c>
      <c r="H4" t="s">
        <v>326</v>
      </c>
      <c r="J4" t="s">
        <v>357</v>
      </c>
      <c r="L4" t="s">
        <v>536</v>
      </c>
      <c r="N4" s="2" t="s">
        <v>537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523</v>
      </c>
      <c r="U4" s="5" t="s">
        <v>524</v>
      </c>
      <c r="V4" s="1" t="s">
        <v>525</v>
      </c>
      <c r="X4" s="2" t="s">
        <v>328</v>
      </c>
      <c r="AB4" t="s">
        <v>538</v>
      </c>
      <c r="AC4" s="4">
        <f ca="1">_xlfn.XLOOKUP(TODAY()-1,Input_Raw!$A:$A,Input_Raw!$AU:$AU)*1000</f>
        <v>39210</v>
      </c>
      <c r="AF4" s="354"/>
      <c r="AI4" s="141"/>
      <c r="AM4" t="s">
        <v>525</v>
      </c>
      <c r="AP4" s="4">
        <v>100</v>
      </c>
      <c r="AQ4" s="239">
        <f>AP4/$AU$2</f>
        <v>1</v>
      </c>
    </row>
    <row r="5" spans="2:47">
      <c r="B5" t="s">
        <v>303</v>
      </c>
      <c r="D5" t="s">
        <v>539</v>
      </c>
      <c r="F5" t="s">
        <v>322</v>
      </c>
      <c r="H5" t="s">
        <v>352</v>
      </c>
      <c r="J5" t="s">
        <v>348</v>
      </c>
      <c r="L5" t="s">
        <v>540</v>
      </c>
      <c r="N5" s="2" t="s">
        <v>541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523</v>
      </c>
      <c r="U5" s="5" t="s">
        <v>524</v>
      </c>
      <c r="V5" s="1" t="s">
        <v>525</v>
      </c>
      <c r="X5" s="2" t="s">
        <v>374</v>
      </c>
      <c r="AF5" s="354"/>
      <c r="AI5" s="141"/>
      <c r="AM5" t="s">
        <v>524</v>
      </c>
      <c r="AP5" s="4">
        <v>100</v>
      </c>
      <c r="AQ5" s="239">
        <f t="shared" si="2"/>
        <v>1</v>
      </c>
    </row>
    <row r="6" spans="2:47">
      <c r="H6" t="s">
        <v>361</v>
      </c>
      <c r="L6" t="s">
        <v>542</v>
      </c>
      <c r="N6" s="2" t="s">
        <v>543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523</v>
      </c>
      <c r="U6" s="5" t="s">
        <v>524</v>
      </c>
      <c r="V6" s="1" t="s">
        <v>525</v>
      </c>
      <c r="X6" s="2" t="s">
        <v>304</v>
      </c>
      <c r="AF6" s="354"/>
      <c r="AI6" s="141"/>
    </row>
    <row r="7" spans="2:47">
      <c r="H7" t="s">
        <v>331</v>
      </c>
      <c r="L7" t="s">
        <v>544</v>
      </c>
      <c r="N7" s="2" t="s">
        <v>545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523</v>
      </c>
      <c r="U7" s="5" t="s">
        <v>524</v>
      </c>
      <c r="V7" s="1" t="s">
        <v>525</v>
      </c>
      <c r="X7" s="2" t="s">
        <v>295</v>
      </c>
      <c r="AI7" s="141"/>
      <c r="AP7" s="4"/>
      <c r="AQ7" s="239"/>
    </row>
    <row r="8" spans="2:47">
      <c r="H8" t="s">
        <v>378</v>
      </c>
      <c r="L8" t="s">
        <v>546</v>
      </c>
      <c r="N8" s="2" t="s">
        <v>547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523</v>
      </c>
      <c r="U8" s="5" t="s">
        <v>524</v>
      </c>
      <c r="V8" s="1" t="s">
        <v>525</v>
      </c>
      <c r="X8" s="2" t="s">
        <v>345</v>
      </c>
      <c r="AP8" s="4"/>
      <c r="AQ8" s="239"/>
    </row>
    <row r="9" spans="2:47">
      <c r="H9" t="s">
        <v>548</v>
      </c>
      <c r="L9" t="s">
        <v>549</v>
      </c>
      <c r="N9" s="2" t="s">
        <v>550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523</v>
      </c>
      <c r="U9" s="5" t="s">
        <v>524</v>
      </c>
      <c r="V9" s="1" t="s">
        <v>525</v>
      </c>
      <c r="X9" s="2" t="s">
        <v>307</v>
      </c>
      <c r="AP9" s="4"/>
      <c r="AQ9" s="239"/>
    </row>
    <row r="10" spans="2:47">
      <c r="H10" t="s">
        <v>551</v>
      </c>
      <c r="L10" t="s">
        <v>552</v>
      </c>
      <c r="N10" s="2" t="s">
        <v>553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523</v>
      </c>
      <c r="U10" s="5" t="s">
        <v>524</v>
      </c>
      <c r="V10" s="1" t="s">
        <v>525</v>
      </c>
      <c r="X10" s="2" t="s">
        <v>554</v>
      </c>
      <c r="AP10" s="4"/>
      <c r="AQ10" s="239"/>
    </row>
    <row r="11" spans="2:47">
      <c r="N11" s="2" t="s">
        <v>555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523</v>
      </c>
      <c r="U11" s="5" t="s">
        <v>524</v>
      </c>
      <c r="V11" s="1" t="s">
        <v>525</v>
      </c>
      <c r="X11" s="2" t="s">
        <v>556</v>
      </c>
      <c r="AP11" s="4"/>
      <c r="AQ11" s="239"/>
    </row>
    <row r="12" spans="2:47">
      <c r="N12" s="2" t="s">
        <v>557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523</v>
      </c>
      <c r="U12" s="5" t="s">
        <v>524</v>
      </c>
      <c r="V12" s="1" t="s">
        <v>525</v>
      </c>
      <c r="X12" s="2" t="s">
        <v>377</v>
      </c>
      <c r="AP12" s="4"/>
      <c r="AQ12" s="239"/>
    </row>
    <row r="13" spans="2:47">
      <c r="N13" s="2" t="s">
        <v>558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523</v>
      </c>
      <c r="U13" s="5" t="s">
        <v>524</v>
      </c>
      <c r="V13" s="1" t="s">
        <v>525</v>
      </c>
      <c r="X13" s="2" t="s">
        <v>559</v>
      </c>
    </row>
    <row r="14" spans="2:47">
      <c r="N14" s="2" t="s">
        <v>560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523</v>
      </c>
      <c r="U14" s="5" t="s">
        <v>524</v>
      </c>
      <c r="V14" s="1" t="s">
        <v>525</v>
      </c>
      <c r="X14" s="2" t="s">
        <v>561</v>
      </c>
      <c r="AE14" s="353" t="s">
        <v>562</v>
      </c>
      <c r="AF14" s="353"/>
      <c r="AG14" s="353"/>
      <c r="AH14" s="353">
        <f>SUM(AH2:AH13)</f>
        <v>26.98</v>
      </c>
      <c r="AI14" s="353">
        <f>SUM(AI2:AI13)</f>
        <v>39.215500000000006</v>
      </c>
      <c r="AJ14" s="353"/>
    </row>
    <row r="15" spans="2:47">
      <c r="N15" s="2" t="s">
        <v>563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523</v>
      </c>
      <c r="U15" s="5" t="s">
        <v>524</v>
      </c>
      <c r="V15" s="1" t="s">
        <v>525</v>
      </c>
      <c r="X15" s="2" t="s">
        <v>564</v>
      </c>
    </row>
    <row r="16" spans="2:47">
      <c r="N16" s="2" t="s">
        <v>565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523</v>
      </c>
      <c r="U16" s="5" t="s">
        <v>524</v>
      </c>
      <c r="V16" s="1" t="s">
        <v>525</v>
      </c>
      <c r="X16" s="2" t="s">
        <v>566</v>
      </c>
    </row>
    <row r="17" spans="14:39">
      <c r="N17" s="2" t="s">
        <v>567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523</v>
      </c>
      <c r="U17" s="5" t="s">
        <v>524</v>
      </c>
      <c r="V17" s="1" t="s">
        <v>525</v>
      </c>
      <c r="X17" s="2" t="s">
        <v>568</v>
      </c>
      <c r="AM17" s="276"/>
    </row>
    <row r="18" spans="14:39">
      <c r="N18" s="2" t="s">
        <v>569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523</v>
      </c>
      <c r="U18" s="5" t="s">
        <v>524</v>
      </c>
      <c r="V18" s="1" t="s">
        <v>525</v>
      </c>
      <c r="X18" s="2" t="s">
        <v>570</v>
      </c>
    </row>
    <row r="19" spans="14:39">
      <c r="N19" s="2" t="s">
        <v>571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523</v>
      </c>
      <c r="U19" s="5" t="s">
        <v>524</v>
      </c>
      <c r="V19" s="1" t="s">
        <v>525</v>
      </c>
      <c r="X19" s="2" t="s">
        <v>572</v>
      </c>
    </row>
    <row r="20" spans="14:39">
      <c r="N20" s="2" t="s">
        <v>573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523</v>
      </c>
      <c r="U20" s="5" t="s">
        <v>524</v>
      </c>
      <c r="V20" s="1" t="s">
        <v>525</v>
      </c>
      <c r="X20" s="2" t="s">
        <v>375</v>
      </c>
    </row>
    <row r="21" spans="14:39">
      <c r="N21" s="2" t="s">
        <v>574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523</v>
      </c>
      <c r="U21" s="5" t="s">
        <v>524</v>
      </c>
      <c r="V21" s="1" t="s">
        <v>525</v>
      </c>
      <c r="X21" s="2" t="s">
        <v>575</v>
      </c>
    </row>
    <row r="22" spans="14:39">
      <c r="N22" s="2" t="s">
        <v>576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523</v>
      </c>
      <c r="U22" s="5" t="s">
        <v>524</v>
      </c>
      <c r="V22" s="1" t="s">
        <v>525</v>
      </c>
    </row>
    <row r="23" spans="14:39">
      <c r="N23" s="2" t="s">
        <v>577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523</v>
      </c>
      <c r="U23" s="5" t="s">
        <v>524</v>
      </c>
      <c r="V23" s="1" t="s">
        <v>525</v>
      </c>
    </row>
    <row r="24" spans="14:39">
      <c r="N24" s="2" t="s">
        <v>578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523</v>
      </c>
      <c r="U24" s="5" t="s">
        <v>524</v>
      </c>
      <c r="V24" s="1" t="s">
        <v>525</v>
      </c>
    </row>
    <row r="25" spans="14:39">
      <c r="N25" s="2" t="s">
        <v>579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523</v>
      </c>
      <c r="U25" s="5" t="s">
        <v>524</v>
      </c>
      <c r="V25" s="1" t="s">
        <v>525</v>
      </c>
    </row>
    <row r="26" spans="14:39">
      <c r="N26" s="2" t="s">
        <v>160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523</v>
      </c>
      <c r="U26" s="5" t="s">
        <v>524</v>
      </c>
      <c r="V26" s="1" t="s">
        <v>525</v>
      </c>
    </row>
    <row r="27" spans="14:39">
      <c r="N27" s="2" t="s">
        <v>161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523</v>
      </c>
      <c r="U27" s="5" t="s">
        <v>524</v>
      </c>
      <c r="V27" s="1" t="s">
        <v>525</v>
      </c>
    </row>
    <row r="28" spans="14:39">
      <c r="N28" s="2" t="s">
        <v>162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523</v>
      </c>
      <c r="U28" s="5" t="s">
        <v>524</v>
      </c>
      <c r="V28" s="1" t="s">
        <v>525</v>
      </c>
    </row>
    <row r="29" spans="14:39">
      <c r="N29" s="2" t="s">
        <v>163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523</v>
      </c>
      <c r="U29" s="5" t="s">
        <v>524</v>
      </c>
      <c r="V29" s="1" t="s">
        <v>525</v>
      </c>
    </row>
    <row r="30" spans="14:39">
      <c r="N30" s="2" t="s">
        <v>164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523</v>
      </c>
      <c r="U30" s="5" t="s">
        <v>524</v>
      </c>
      <c r="V30" s="1" t="s">
        <v>525</v>
      </c>
    </row>
    <row r="31" spans="14:39">
      <c r="N31" s="2" t="s">
        <v>165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523</v>
      </c>
      <c r="U31" s="5" t="s">
        <v>524</v>
      </c>
      <c r="V31" s="1" t="s">
        <v>525</v>
      </c>
    </row>
    <row r="32" spans="14:39">
      <c r="N32" s="2" t="s">
        <v>166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523</v>
      </c>
      <c r="U32" s="5" t="s">
        <v>524</v>
      </c>
      <c r="V32" s="1" t="s">
        <v>525</v>
      </c>
    </row>
    <row r="33" spans="14:22">
      <c r="N33" s="2" t="s">
        <v>580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523</v>
      </c>
      <c r="U33" s="5" t="s">
        <v>524</v>
      </c>
      <c r="V33" s="1" t="s">
        <v>525</v>
      </c>
    </row>
    <row r="34" spans="14:22">
      <c r="N34" s="2" t="s">
        <v>581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523</v>
      </c>
      <c r="U34" s="5" t="s">
        <v>524</v>
      </c>
      <c r="V34" s="1" t="s">
        <v>525</v>
      </c>
    </row>
    <row r="35" spans="14:22">
      <c r="N35" s="2" t="s">
        <v>582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523</v>
      </c>
      <c r="U35" s="5" t="s">
        <v>524</v>
      </c>
      <c r="V35" s="1" t="s">
        <v>525</v>
      </c>
    </row>
    <row r="36" spans="14:22">
      <c r="N36" s="2" t="s">
        <v>583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523</v>
      </c>
      <c r="U36" s="5" t="s">
        <v>524</v>
      </c>
      <c r="V36" s="1" t="s">
        <v>525</v>
      </c>
    </row>
    <row r="37" spans="14:22">
      <c r="N37" s="2" t="s">
        <v>584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523</v>
      </c>
      <c r="U37" s="5" t="s">
        <v>524</v>
      </c>
      <c r="V37" s="1" t="s">
        <v>525</v>
      </c>
    </row>
    <row r="38" spans="14:22">
      <c r="N38" s="2" t="s">
        <v>585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523</v>
      </c>
      <c r="U38" s="5" t="s">
        <v>524</v>
      </c>
      <c r="V38" s="1" t="s">
        <v>525</v>
      </c>
    </row>
    <row r="39" spans="14:22">
      <c r="N39" s="2" t="s">
        <v>586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523</v>
      </c>
      <c r="U39" s="5" t="s">
        <v>524</v>
      </c>
      <c r="V39" s="1" t="s">
        <v>525</v>
      </c>
    </row>
    <row r="40" spans="14:22">
      <c r="N40" s="2" t="s">
        <v>587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523</v>
      </c>
      <c r="U40" s="5" t="s">
        <v>524</v>
      </c>
      <c r="V40" s="1" t="s">
        <v>525</v>
      </c>
    </row>
    <row r="41" spans="14:22">
      <c r="N41" s="2" t="s">
        <v>588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523</v>
      </c>
      <c r="U41" s="5" t="s">
        <v>524</v>
      </c>
      <c r="V41" s="1" t="s">
        <v>525</v>
      </c>
    </row>
    <row r="42" spans="14:22">
      <c r="N42" s="2" t="s">
        <v>589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523</v>
      </c>
      <c r="U42" s="5" t="s">
        <v>524</v>
      </c>
      <c r="V42" s="1" t="s">
        <v>525</v>
      </c>
    </row>
    <row r="43" spans="14:22">
      <c r="N43" s="2" t="s">
        <v>590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523</v>
      </c>
      <c r="U43" s="5" t="s">
        <v>524</v>
      </c>
      <c r="V43" s="1" t="s">
        <v>525</v>
      </c>
    </row>
    <row r="44" spans="14:22">
      <c r="N44" s="2" t="s">
        <v>591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523</v>
      </c>
      <c r="U44" s="5" t="s">
        <v>524</v>
      </c>
      <c r="V44" s="1" t="s">
        <v>525</v>
      </c>
    </row>
    <row r="45" spans="14:22">
      <c r="N45" s="2" t="s">
        <v>592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523</v>
      </c>
      <c r="U45" s="5" t="s">
        <v>524</v>
      </c>
      <c r="V45" s="1" t="s">
        <v>525</v>
      </c>
    </row>
    <row r="46" spans="14:22">
      <c r="N46" s="2" t="s">
        <v>593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523</v>
      </c>
      <c r="U46" s="5" t="s">
        <v>524</v>
      </c>
      <c r="V46" s="1" t="s">
        <v>525</v>
      </c>
    </row>
    <row r="47" spans="14:22">
      <c r="N47" s="2" t="s">
        <v>594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523</v>
      </c>
      <c r="U47" s="5" t="s">
        <v>524</v>
      </c>
      <c r="V47" s="1" t="s">
        <v>525</v>
      </c>
    </row>
    <row r="48" spans="14:22">
      <c r="N48" s="2" t="s">
        <v>595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523</v>
      </c>
      <c r="U48" s="5" t="s">
        <v>524</v>
      </c>
      <c r="V48" s="1" t="s">
        <v>525</v>
      </c>
    </row>
    <row r="49" spans="14:22">
      <c r="N49" s="2" t="s">
        <v>596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523</v>
      </c>
      <c r="U49" s="5" t="s">
        <v>524</v>
      </c>
      <c r="V49" s="1" t="s">
        <v>525</v>
      </c>
    </row>
    <row r="50" spans="14:22">
      <c r="N50" s="2" t="s">
        <v>597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523</v>
      </c>
      <c r="U50" s="5" t="s">
        <v>524</v>
      </c>
      <c r="V50" s="1" t="s">
        <v>525</v>
      </c>
    </row>
    <row r="51" spans="14:22">
      <c r="N51" s="2" t="s">
        <v>598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523</v>
      </c>
      <c r="U51" s="5" t="s">
        <v>524</v>
      </c>
      <c r="V51" s="1" t="s">
        <v>525</v>
      </c>
    </row>
    <row r="52" spans="14:22">
      <c r="N52" s="2" t="s">
        <v>599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523</v>
      </c>
      <c r="U52" s="5" t="s">
        <v>524</v>
      </c>
      <c r="V52" s="1" t="s">
        <v>525</v>
      </c>
    </row>
    <row r="53" spans="14:22">
      <c r="N53" s="2" t="s">
        <v>600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523</v>
      </c>
      <c r="U53" s="5" t="s">
        <v>524</v>
      </c>
      <c r="V53" s="1" t="s">
        <v>525</v>
      </c>
    </row>
    <row r="54" spans="14:22">
      <c r="N54" s="2" t="s">
        <v>601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523</v>
      </c>
      <c r="U54" s="5" t="s">
        <v>524</v>
      </c>
      <c r="V54" s="1" t="s">
        <v>525</v>
      </c>
    </row>
    <row r="55" spans="14:22">
      <c r="N55" s="2" t="s">
        <v>602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523</v>
      </c>
      <c r="U55" s="5" t="s">
        <v>524</v>
      </c>
      <c r="V55" s="1" t="s">
        <v>525</v>
      </c>
    </row>
    <row r="56" spans="14:22">
      <c r="N56" s="2" t="s">
        <v>603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523</v>
      </c>
      <c r="U56" s="5" t="s">
        <v>524</v>
      </c>
      <c r="V56" s="1" t="s">
        <v>525</v>
      </c>
    </row>
    <row r="57" spans="14:22">
      <c r="N57" s="2" t="s">
        <v>604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523</v>
      </c>
      <c r="U57" s="5" t="s">
        <v>524</v>
      </c>
      <c r="V57" s="1" t="s">
        <v>525</v>
      </c>
    </row>
    <row r="58" spans="14:22">
      <c r="N58" s="2" t="s">
        <v>605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523</v>
      </c>
      <c r="U58" s="5" t="s">
        <v>524</v>
      </c>
      <c r="V58" s="1" t="s">
        <v>525</v>
      </c>
    </row>
    <row r="59" spans="14:22">
      <c r="N59" s="2" t="s">
        <v>606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523</v>
      </c>
      <c r="U59" s="5" t="s">
        <v>524</v>
      </c>
      <c r="V59" s="1" t="s">
        <v>525</v>
      </c>
    </row>
    <row r="60" spans="14:22">
      <c r="N60" s="2" t="s">
        <v>607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523</v>
      </c>
      <c r="U60" s="5" t="s">
        <v>524</v>
      </c>
      <c r="V60" s="1" t="s">
        <v>525</v>
      </c>
    </row>
    <row r="61" spans="14:22">
      <c r="N61" s="2" t="s">
        <v>608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523</v>
      </c>
      <c r="U61" s="5" t="s">
        <v>524</v>
      </c>
      <c r="V61" s="1" t="s">
        <v>525</v>
      </c>
    </row>
    <row r="62" spans="14:22">
      <c r="N62" s="2" t="s">
        <v>609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523</v>
      </c>
      <c r="U62" s="5" t="s">
        <v>524</v>
      </c>
      <c r="V62" s="1" t="s">
        <v>525</v>
      </c>
    </row>
    <row r="63" spans="14:22">
      <c r="N63" s="2" t="s">
        <v>610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523</v>
      </c>
      <c r="U63" s="5" t="s">
        <v>524</v>
      </c>
      <c r="V63" s="1" t="s">
        <v>525</v>
      </c>
    </row>
    <row r="64" spans="14:22">
      <c r="N64" s="2" t="s">
        <v>611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523</v>
      </c>
      <c r="U64" s="5" t="s">
        <v>524</v>
      </c>
      <c r="V64" s="1" t="s">
        <v>525</v>
      </c>
    </row>
    <row r="65" spans="14:22">
      <c r="N65" s="2" t="s">
        <v>612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523</v>
      </c>
      <c r="U65" s="5" t="s">
        <v>524</v>
      </c>
      <c r="V65" s="1" t="s">
        <v>525</v>
      </c>
    </row>
    <row r="66" spans="14:22">
      <c r="N66" s="2" t="s">
        <v>613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523</v>
      </c>
      <c r="U66" s="5" t="s">
        <v>524</v>
      </c>
      <c r="V66" s="1" t="s">
        <v>525</v>
      </c>
    </row>
    <row r="67" spans="14:22">
      <c r="N67" s="2" t="s">
        <v>614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523</v>
      </c>
      <c r="U67" s="5" t="s">
        <v>524</v>
      </c>
      <c r="V67" s="1" t="s">
        <v>525</v>
      </c>
    </row>
    <row r="68" spans="14:22">
      <c r="N68" s="2" t="s">
        <v>615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523</v>
      </c>
      <c r="U68" s="5" t="s">
        <v>524</v>
      </c>
      <c r="V68" s="1" t="s">
        <v>525</v>
      </c>
    </row>
    <row r="69" spans="14:22">
      <c r="N69" s="2" t="s">
        <v>616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523</v>
      </c>
      <c r="U69" s="5" t="s">
        <v>524</v>
      </c>
      <c r="V69" s="1" t="s">
        <v>525</v>
      </c>
    </row>
    <row r="70" spans="14:22">
      <c r="N70" s="2" t="s">
        <v>617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523</v>
      </c>
      <c r="U70" s="5" t="s">
        <v>524</v>
      </c>
      <c r="V70" s="1" t="s">
        <v>525</v>
      </c>
    </row>
    <row r="71" spans="14:22">
      <c r="N71" s="2" t="s">
        <v>618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523</v>
      </c>
      <c r="U71" s="5" t="s">
        <v>524</v>
      </c>
      <c r="V71" s="1" t="s">
        <v>525</v>
      </c>
    </row>
    <row r="72" spans="14:22">
      <c r="N72" s="2" t="s">
        <v>619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523</v>
      </c>
      <c r="U72" s="5" t="s">
        <v>524</v>
      </c>
      <c r="V72" s="1" t="s">
        <v>525</v>
      </c>
    </row>
    <row r="73" spans="14:22">
      <c r="N73" s="2" t="s">
        <v>620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523</v>
      </c>
      <c r="U73" s="5" t="s">
        <v>524</v>
      </c>
      <c r="V73" s="1" t="s">
        <v>525</v>
      </c>
    </row>
    <row r="74" spans="14:22">
      <c r="N74" s="2" t="s">
        <v>621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523</v>
      </c>
      <c r="U74" s="5" t="s">
        <v>524</v>
      </c>
      <c r="V74" s="1" t="s">
        <v>525</v>
      </c>
    </row>
    <row r="75" spans="14:22">
      <c r="N75" s="2" t="s">
        <v>622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523</v>
      </c>
      <c r="U75" s="5" t="s">
        <v>524</v>
      </c>
      <c r="V75" s="1" t="s">
        <v>525</v>
      </c>
    </row>
    <row r="76" spans="14:22">
      <c r="N76" s="2" t="s">
        <v>623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523</v>
      </c>
      <c r="U76" s="5" t="s">
        <v>524</v>
      </c>
      <c r="V76" s="1" t="s">
        <v>525</v>
      </c>
    </row>
    <row r="77" spans="14:22">
      <c r="N77" s="2" t="s">
        <v>624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523</v>
      </c>
      <c r="U77" s="5" t="s">
        <v>524</v>
      </c>
      <c r="V77" s="1" t="s">
        <v>525</v>
      </c>
    </row>
    <row r="78" spans="14:22">
      <c r="N78" s="2" t="s">
        <v>625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523</v>
      </c>
      <c r="U78" s="5" t="s">
        <v>524</v>
      </c>
      <c r="V78" s="1" t="s">
        <v>525</v>
      </c>
    </row>
    <row r="79" spans="14:22">
      <c r="N79" s="2" t="s">
        <v>626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523</v>
      </c>
      <c r="U79" s="5" t="s">
        <v>524</v>
      </c>
      <c r="V79" s="1" t="s">
        <v>525</v>
      </c>
    </row>
    <row r="80" spans="14:22">
      <c r="N80" s="2" t="s">
        <v>627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523</v>
      </c>
      <c r="U80" s="5" t="s">
        <v>524</v>
      </c>
      <c r="V80" s="1" t="s">
        <v>525</v>
      </c>
    </row>
    <row r="81" spans="14:22">
      <c r="N81" s="2" t="s">
        <v>628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523</v>
      </c>
      <c r="U81" s="5" t="s">
        <v>524</v>
      </c>
      <c r="V81" s="1" t="s">
        <v>525</v>
      </c>
    </row>
    <row r="82" spans="14:22">
      <c r="N82" s="2" t="s">
        <v>629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523</v>
      </c>
      <c r="U82" s="5" t="s">
        <v>524</v>
      </c>
      <c r="V82" s="1" t="s">
        <v>525</v>
      </c>
    </row>
    <row r="83" spans="14:22">
      <c r="N83" s="2" t="s">
        <v>630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523</v>
      </c>
      <c r="U83" s="5" t="s">
        <v>524</v>
      </c>
      <c r="V83" s="1" t="s">
        <v>525</v>
      </c>
    </row>
    <row r="84" spans="14:22">
      <c r="N84" s="2" t="s">
        <v>631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523</v>
      </c>
      <c r="U84" s="5" t="s">
        <v>524</v>
      </c>
      <c r="V84" s="1" t="s">
        <v>525</v>
      </c>
    </row>
    <row r="85" spans="14:22">
      <c r="N85" s="2" t="s">
        <v>632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523</v>
      </c>
      <c r="U85" s="5" t="s">
        <v>524</v>
      </c>
      <c r="V85" s="1" t="s">
        <v>525</v>
      </c>
    </row>
    <row r="86" spans="14:22">
      <c r="N86" s="2" t="s">
        <v>633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523</v>
      </c>
      <c r="U86" s="5" t="s">
        <v>524</v>
      </c>
      <c r="V86" s="1" t="s">
        <v>525</v>
      </c>
    </row>
    <row r="87" spans="14:22">
      <c r="N87" s="2" t="s">
        <v>634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523</v>
      </c>
      <c r="U87" s="5" t="s">
        <v>524</v>
      </c>
      <c r="V87" s="1" t="s">
        <v>525</v>
      </c>
    </row>
    <row r="88" spans="14:22">
      <c r="N88" s="2" t="s">
        <v>635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523</v>
      </c>
      <c r="U88" s="5" t="s">
        <v>524</v>
      </c>
      <c r="V88" s="1" t="s">
        <v>525</v>
      </c>
    </row>
    <row r="89" spans="14:22">
      <c r="N89" s="2" t="s">
        <v>636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523</v>
      </c>
      <c r="U89" s="5" t="s">
        <v>524</v>
      </c>
      <c r="V89" s="1" t="s">
        <v>525</v>
      </c>
    </row>
    <row r="90" spans="14:22">
      <c r="N90" s="2" t="s">
        <v>637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523</v>
      </c>
      <c r="U90" s="5" t="s">
        <v>524</v>
      </c>
      <c r="V90" s="1" t="s">
        <v>525</v>
      </c>
    </row>
    <row r="91" spans="14:22">
      <c r="N91" s="2" t="s">
        <v>638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523</v>
      </c>
      <c r="U91" s="5" t="s">
        <v>524</v>
      </c>
      <c r="V91" s="1" t="s">
        <v>525</v>
      </c>
    </row>
    <row r="92" spans="14:22">
      <c r="N92" s="2" t="s">
        <v>639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523</v>
      </c>
      <c r="U92" s="5" t="s">
        <v>524</v>
      </c>
      <c r="V92" s="1" t="s">
        <v>525</v>
      </c>
    </row>
    <row r="93" spans="14:22">
      <c r="N93" s="2" t="s">
        <v>640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523</v>
      </c>
      <c r="U93" s="5" t="s">
        <v>524</v>
      </c>
      <c r="V93" s="1" t="s">
        <v>525</v>
      </c>
    </row>
    <row r="94" spans="14:22">
      <c r="N94" s="2" t="s">
        <v>641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523</v>
      </c>
      <c r="U94" s="5" t="s">
        <v>524</v>
      </c>
      <c r="V94" s="1" t="s">
        <v>525</v>
      </c>
    </row>
    <row r="95" spans="14:22">
      <c r="N95" s="2" t="s">
        <v>642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523</v>
      </c>
      <c r="U95" s="5" t="s">
        <v>524</v>
      </c>
      <c r="V95" s="1" t="s">
        <v>525</v>
      </c>
    </row>
    <row r="96" spans="14:22">
      <c r="N96" s="2" t="s">
        <v>643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523</v>
      </c>
      <c r="U96" s="5" t="s">
        <v>524</v>
      </c>
      <c r="V96" s="1" t="s">
        <v>525</v>
      </c>
    </row>
    <row r="97" spans="14:22">
      <c r="N97" s="2" t="s">
        <v>644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523</v>
      </c>
      <c r="U97" s="5" t="s">
        <v>524</v>
      </c>
      <c r="V97" s="1" t="s">
        <v>525</v>
      </c>
    </row>
    <row r="98" spans="14:22">
      <c r="N98" s="2" t="s">
        <v>645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523</v>
      </c>
      <c r="U98" s="5" t="s">
        <v>524</v>
      </c>
      <c r="V98" s="1" t="s">
        <v>525</v>
      </c>
    </row>
    <row r="99" spans="14:22">
      <c r="N99" s="2" t="s">
        <v>646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523</v>
      </c>
      <c r="U99" s="5" t="s">
        <v>524</v>
      </c>
      <c r="V99" s="1" t="s">
        <v>525</v>
      </c>
    </row>
    <row r="100" spans="14:22">
      <c r="N100" s="2" t="s">
        <v>647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523</v>
      </c>
      <c r="U100" s="5" t="s">
        <v>524</v>
      </c>
      <c r="V100" s="1" t="s">
        <v>525</v>
      </c>
    </row>
    <row r="101" spans="14:22">
      <c r="N101" s="2" t="s">
        <v>648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523</v>
      </c>
      <c r="U101" s="5" t="s">
        <v>524</v>
      </c>
      <c r="V101" s="1" t="s">
        <v>525</v>
      </c>
    </row>
    <row r="102" spans="14:22">
      <c r="N102" s="2" t="s">
        <v>649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523</v>
      </c>
      <c r="U102" s="5" t="s">
        <v>524</v>
      </c>
      <c r="V102" s="1" t="s">
        <v>525</v>
      </c>
    </row>
    <row r="103" spans="14:22">
      <c r="N103" s="2" t="s">
        <v>650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523</v>
      </c>
      <c r="U103" s="5" t="s">
        <v>524</v>
      </c>
      <c r="V103" s="1" t="s">
        <v>525</v>
      </c>
    </row>
    <row r="104" spans="14:22">
      <c r="N104" s="2" t="s">
        <v>651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523</v>
      </c>
      <c r="U104" s="5" t="s">
        <v>524</v>
      </c>
      <c r="V104" s="1" t="s">
        <v>525</v>
      </c>
    </row>
    <row r="105" spans="14:22">
      <c r="N105" s="2" t="s">
        <v>652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523</v>
      </c>
      <c r="U105" s="5" t="s">
        <v>524</v>
      </c>
      <c r="V105" s="1" t="s">
        <v>525</v>
      </c>
    </row>
    <row r="106" spans="14:22">
      <c r="N106" s="2" t="s">
        <v>653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523</v>
      </c>
      <c r="U106" s="5" t="s">
        <v>524</v>
      </c>
      <c r="V106" s="1" t="s">
        <v>525</v>
      </c>
    </row>
    <row r="107" spans="14:22">
      <c r="N107" s="2" t="s">
        <v>654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523</v>
      </c>
      <c r="U107" s="5" t="s">
        <v>524</v>
      </c>
      <c r="V107" s="1" t="s">
        <v>525</v>
      </c>
    </row>
    <row r="108" spans="14:22">
      <c r="N108" s="2" t="s">
        <v>655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523</v>
      </c>
      <c r="U108" s="5" t="s">
        <v>524</v>
      </c>
      <c r="V108" s="1" t="s">
        <v>525</v>
      </c>
    </row>
    <row r="109" spans="14:22">
      <c r="N109" s="2" t="s">
        <v>656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523</v>
      </c>
      <c r="U109" s="5" t="s">
        <v>524</v>
      </c>
      <c r="V109" s="1" t="s">
        <v>525</v>
      </c>
    </row>
    <row r="110" spans="14:22">
      <c r="N110" s="2" t="s">
        <v>657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523</v>
      </c>
      <c r="U110" s="5" t="s">
        <v>524</v>
      </c>
      <c r="V110" s="1" t="s">
        <v>525</v>
      </c>
    </row>
    <row r="111" spans="14:22">
      <c r="N111" s="2" t="s">
        <v>658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523</v>
      </c>
      <c r="U111" s="5" t="s">
        <v>524</v>
      </c>
      <c r="V111" s="1" t="s">
        <v>525</v>
      </c>
    </row>
    <row r="112" spans="14:22">
      <c r="N112" s="2" t="s">
        <v>659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523</v>
      </c>
      <c r="U112" s="5" t="s">
        <v>524</v>
      </c>
      <c r="V112" s="1" t="s">
        <v>525</v>
      </c>
    </row>
    <row r="113" spans="14:22">
      <c r="N113" s="2" t="s">
        <v>660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523</v>
      </c>
      <c r="U113" s="5" t="s">
        <v>524</v>
      </c>
      <c r="V113" s="1" t="s">
        <v>525</v>
      </c>
    </row>
    <row r="114" spans="14:22">
      <c r="N114" s="2" t="s">
        <v>661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523</v>
      </c>
      <c r="U114" s="5" t="s">
        <v>524</v>
      </c>
      <c r="V114" s="1" t="s">
        <v>525</v>
      </c>
    </row>
    <row r="115" spans="14:22">
      <c r="N115" s="2" t="s">
        <v>662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523</v>
      </c>
      <c r="U115" s="5" t="s">
        <v>524</v>
      </c>
      <c r="V115" s="1" t="s">
        <v>525</v>
      </c>
    </row>
    <row r="116" spans="14:22">
      <c r="N116" s="2" t="s">
        <v>663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523</v>
      </c>
      <c r="U116" s="5" t="s">
        <v>524</v>
      </c>
      <c r="V116" s="1" t="s">
        <v>525</v>
      </c>
    </row>
    <row r="117" spans="14:22">
      <c r="N117" s="2" t="s">
        <v>664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523</v>
      </c>
      <c r="U117" s="5" t="s">
        <v>524</v>
      </c>
      <c r="V117" s="1" t="s">
        <v>525</v>
      </c>
    </row>
    <row r="118" spans="14:22">
      <c r="N118" s="2" t="s">
        <v>665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523</v>
      </c>
      <c r="U118" s="5" t="s">
        <v>524</v>
      </c>
      <c r="V118" s="1" t="s">
        <v>525</v>
      </c>
    </row>
    <row r="119" spans="14:22">
      <c r="N119" s="2" t="s">
        <v>666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523</v>
      </c>
      <c r="U119" s="5" t="s">
        <v>524</v>
      </c>
      <c r="V119" s="1" t="s">
        <v>525</v>
      </c>
    </row>
    <row r="120" spans="14:22">
      <c r="N120" s="2" t="s">
        <v>667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523</v>
      </c>
      <c r="U120" s="5" t="s">
        <v>524</v>
      </c>
      <c r="V120" s="1" t="s">
        <v>525</v>
      </c>
    </row>
    <row r="121" spans="14:22">
      <c r="N121" s="2" t="s">
        <v>668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523</v>
      </c>
      <c r="U121" s="5" t="s">
        <v>524</v>
      </c>
      <c r="V121" s="1" t="s">
        <v>525</v>
      </c>
    </row>
    <row r="122" spans="14:22">
      <c r="N122" s="2" t="s">
        <v>669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523</v>
      </c>
      <c r="U122" s="5" t="s">
        <v>524</v>
      </c>
      <c r="V122" s="1" t="s">
        <v>525</v>
      </c>
    </row>
    <row r="123" spans="14:22">
      <c r="N123" s="2" t="s">
        <v>670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523</v>
      </c>
      <c r="U123" s="5" t="s">
        <v>524</v>
      </c>
      <c r="V123" s="1" t="s">
        <v>525</v>
      </c>
    </row>
    <row r="124" spans="14:22">
      <c r="N124" s="2" t="s">
        <v>671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523</v>
      </c>
      <c r="U124" s="5" t="s">
        <v>524</v>
      </c>
      <c r="V124" s="1" t="s">
        <v>525</v>
      </c>
    </row>
    <row r="125" spans="14:22">
      <c r="N125" s="2" t="s">
        <v>672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523</v>
      </c>
      <c r="U125" s="5" t="s">
        <v>524</v>
      </c>
      <c r="V125" s="1" t="s">
        <v>525</v>
      </c>
    </row>
    <row r="126" spans="14:22">
      <c r="N126" s="2" t="s">
        <v>673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523</v>
      </c>
      <c r="U126" s="5" t="s">
        <v>524</v>
      </c>
      <c r="V126" s="1" t="s">
        <v>525</v>
      </c>
    </row>
    <row r="127" spans="14:22">
      <c r="N127" s="2" t="s">
        <v>674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523</v>
      </c>
      <c r="U127" s="5" t="s">
        <v>524</v>
      </c>
      <c r="V127" s="1" t="s">
        <v>525</v>
      </c>
    </row>
    <row r="128" spans="14:22">
      <c r="N128" s="2" t="s">
        <v>675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523</v>
      </c>
      <c r="U128" s="5" t="s">
        <v>524</v>
      </c>
      <c r="V128" s="1" t="s">
        <v>525</v>
      </c>
    </row>
    <row r="129" spans="14:22">
      <c r="N129" s="2" t="s">
        <v>676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523</v>
      </c>
      <c r="U129" s="5" t="s">
        <v>524</v>
      </c>
      <c r="V129" s="1" t="s">
        <v>525</v>
      </c>
    </row>
    <row r="130" spans="14:22">
      <c r="N130" s="2" t="s">
        <v>677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523</v>
      </c>
      <c r="U130" s="5" t="s">
        <v>524</v>
      </c>
      <c r="V130" s="1" t="s">
        <v>525</v>
      </c>
    </row>
    <row r="131" spans="14:22">
      <c r="N131" s="2" t="s">
        <v>678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523</v>
      </c>
      <c r="U131" s="5" t="s">
        <v>524</v>
      </c>
      <c r="V131" s="1" t="s">
        <v>525</v>
      </c>
    </row>
    <row r="132" spans="14:22">
      <c r="N132" s="2" t="s">
        <v>679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523</v>
      </c>
      <c r="U132" s="5" t="s">
        <v>524</v>
      </c>
      <c r="V132" s="1" t="s">
        <v>525</v>
      </c>
    </row>
    <row r="133" spans="14:22">
      <c r="N133" s="2" t="s">
        <v>680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523</v>
      </c>
      <c r="U133" s="5" t="s">
        <v>524</v>
      </c>
      <c r="V133" s="1" t="s">
        <v>525</v>
      </c>
    </row>
    <row r="134" spans="14:22">
      <c r="N134" s="2" t="s">
        <v>681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523</v>
      </c>
      <c r="U134" s="5" t="s">
        <v>524</v>
      </c>
      <c r="V134" s="1" t="s">
        <v>525</v>
      </c>
    </row>
    <row r="135" spans="14:22">
      <c r="N135" s="2" t="s">
        <v>682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523</v>
      </c>
      <c r="U135" s="5" t="s">
        <v>524</v>
      </c>
      <c r="V135" s="1" t="s">
        <v>525</v>
      </c>
    </row>
    <row r="136" spans="14:22">
      <c r="N136" s="2" t="s">
        <v>683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523</v>
      </c>
      <c r="U136" s="5" t="s">
        <v>524</v>
      </c>
      <c r="V136" s="1" t="s">
        <v>525</v>
      </c>
    </row>
    <row r="137" spans="14:22">
      <c r="N137" s="2" t="s">
        <v>684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523</v>
      </c>
      <c r="U137" s="5" t="s">
        <v>524</v>
      </c>
      <c r="V137" s="1" t="s">
        <v>525</v>
      </c>
    </row>
    <row r="138" spans="14:22">
      <c r="N138" s="2" t="s">
        <v>685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523</v>
      </c>
      <c r="U138" s="5" t="s">
        <v>524</v>
      </c>
      <c r="V138" s="1" t="s">
        <v>525</v>
      </c>
    </row>
    <row r="139" spans="14:22">
      <c r="N139" s="2" t="s">
        <v>686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523</v>
      </c>
      <c r="U139" s="5" t="s">
        <v>524</v>
      </c>
      <c r="V139" s="1" t="s">
        <v>525</v>
      </c>
    </row>
    <row r="140" spans="14:22">
      <c r="N140" s="2" t="s">
        <v>687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523</v>
      </c>
      <c r="U140" s="5" t="s">
        <v>524</v>
      </c>
      <c r="V140" s="1" t="s">
        <v>525</v>
      </c>
    </row>
    <row r="141" spans="14:22">
      <c r="N141" s="2" t="s">
        <v>688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523</v>
      </c>
      <c r="U141" s="5" t="s">
        <v>524</v>
      </c>
      <c r="V141" s="1" t="s">
        <v>525</v>
      </c>
    </row>
    <row r="142" spans="14:22">
      <c r="N142" s="2" t="s">
        <v>689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523</v>
      </c>
      <c r="U142" s="5" t="s">
        <v>524</v>
      </c>
      <c r="V142" s="1" t="s">
        <v>525</v>
      </c>
    </row>
    <row r="143" spans="14:22">
      <c r="N143" s="2" t="s">
        <v>690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523</v>
      </c>
      <c r="U143" s="5" t="s">
        <v>524</v>
      </c>
      <c r="V143" s="1" t="s">
        <v>525</v>
      </c>
    </row>
    <row r="144" spans="14:22">
      <c r="N144" s="2" t="s">
        <v>691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523</v>
      </c>
      <c r="U144" s="5" t="s">
        <v>524</v>
      </c>
      <c r="V144" s="1" t="s">
        <v>525</v>
      </c>
    </row>
    <row r="145" spans="14:22">
      <c r="N145" s="2" t="s">
        <v>692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523</v>
      </c>
      <c r="U145" s="5" t="s">
        <v>524</v>
      </c>
      <c r="V145" s="1" t="s">
        <v>525</v>
      </c>
    </row>
    <row r="146" spans="14:22">
      <c r="N146" s="2" t="s">
        <v>693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523</v>
      </c>
      <c r="U146" s="5" t="s">
        <v>524</v>
      </c>
      <c r="V146" s="1" t="s">
        <v>525</v>
      </c>
    </row>
    <row r="147" spans="14:22">
      <c r="N147" s="2" t="s">
        <v>694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523</v>
      </c>
      <c r="U147" s="5" t="s">
        <v>524</v>
      </c>
      <c r="V147" s="1" t="s">
        <v>525</v>
      </c>
    </row>
    <row r="148" spans="14:22">
      <c r="N148" s="2" t="s">
        <v>695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523</v>
      </c>
      <c r="U148" s="5" t="s">
        <v>524</v>
      </c>
      <c r="V148" s="1" t="s">
        <v>525</v>
      </c>
    </row>
    <row r="149" spans="14:22">
      <c r="N149" s="2" t="s">
        <v>696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523</v>
      </c>
      <c r="U149" s="5" t="s">
        <v>524</v>
      </c>
      <c r="V149" s="1" t="s">
        <v>525</v>
      </c>
    </row>
    <row r="150" spans="14:22">
      <c r="N150" s="2" t="s">
        <v>697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523</v>
      </c>
      <c r="U150" s="5" t="s">
        <v>524</v>
      </c>
      <c r="V150" s="1" t="s">
        <v>525</v>
      </c>
    </row>
    <row r="151" spans="14:22">
      <c r="N151" s="2" t="s">
        <v>698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523</v>
      </c>
      <c r="U151" s="5" t="s">
        <v>524</v>
      </c>
      <c r="V151" s="1" t="s">
        <v>525</v>
      </c>
    </row>
    <row r="152" spans="14:22">
      <c r="N152" s="2" t="s">
        <v>699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523</v>
      </c>
      <c r="U152" s="5" t="s">
        <v>524</v>
      </c>
      <c r="V152" s="1" t="s">
        <v>525</v>
      </c>
    </row>
    <row r="153" spans="14:22">
      <c r="N153" s="2" t="s">
        <v>700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523</v>
      </c>
      <c r="U153" s="5" t="s">
        <v>524</v>
      </c>
      <c r="V153" s="1" t="s">
        <v>525</v>
      </c>
    </row>
    <row r="154" spans="14:22">
      <c r="N154" s="2" t="s">
        <v>701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523</v>
      </c>
      <c r="U154" s="5" t="s">
        <v>524</v>
      </c>
      <c r="V154" s="1" t="s">
        <v>525</v>
      </c>
    </row>
    <row r="155" spans="14:22">
      <c r="N155" s="2" t="s">
        <v>702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523</v>
      </c>
      <c r="U155" s="5" t="s">
        <v>524</v>
      </c>
      <c r="V155" s="1" t="s">
        <v>525</v>
      </c>
    </row>
    <row r="156" spans="14:22">
      <c r="N156" s="2" t="s">
        <v>703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523</v>
      </c>
      <c r="U156" s="5" t="s">
        <v>524</v>
      </c>
      <c r="V156" s="1" t="s">
        <v>525</v>
      </c>
    </row>
    <row r="157" spans="14:22">
      <c r="N157" s="2" t="s">
        <v>704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523</v>
      </c>
      <c r="U157" s="5" t="s">
        <v>524</v>
      </c>
      <c r="V157" s="1" t="s">
        <v>525</v>
      </c>
    </row>
    <row r="158" spans="14:22">
      <c r="N158" s="2" t="s">
        <v>705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523</v>
      </c>
      <c r="U158" s="5" t="s">
        <v>524</v>
      </c>
      <c r="V158" s="1" t="s">
        <v>525</v>
      </c>
    </row>
    <row r="159" spans="14:22">
      <c r="N159" s="2" t="s">
        <v>706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523</v>
      </c>
      <c r="U159" s="5" t="s">
        <v>524</v>
      </c>
      <c r="V159" s="1" t="s">
        <v>525</v>
      </c>
    </row>
    <row r="160" spans="14:22">
      <c r="N160" s="2" t="s">
        <v>707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523</v>
      </c>
      <c r="U160" s="5" t="s">
        <v>524</v>
      </c>
      <c r="V160" s="1" t="s">
        <v>525</v>
      </c>
    </row>
    <row r="161" spans="14:22">
      <c r="N161" s="2" t="s">
        <v>708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523</v>
      </c>
      <c r="U161" s="5" t="s">
        <v>524</v>
      </c>
      <c r="V161" s="1" t="s">
        <v>525</v>
      </c>
    </row>
    <row r="162" spans="14:22">
      <c r="N162" s="2" t="s">
        <v>709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523</v>
      </c>
      <c r="U162" s="5" t="s">
        <v>524</v>
      </c>
      <c r="V162" s="1" t="s">
        <v>525</v>
      </c>
    </row>
    <row r="163" spans="14:22">
      <c r="N163" s="2" t="s">
        <v>710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523</v>
      </c>
      <c r="U163" s="5" t="s">
        <v>524</v>
      </c>
      <c r="V163" s="1" t="s">
        <v>525</v>
      </c>
    </row>
    <row r="164" spans="14:22">
      <c r="N164" s="2" t="s">
        <v>711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523</v>
      </c>
      <c r="U164" s="5" t="s">
        <v>524</v>
      </c>
      <c r="V164" s="1" t="s">
        <v>525</v>
      </c>
    </row>
    <row r="165" spans="14:22">
      <c r="N165" s="2" t="s">
        <v>712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523</v>
      </c>
      <c r="U165" s="5" t="s">
        <v>524</v>
      </c>
      <c r="V165" s="1" t="s">
        <v>525</v>
      </c>
    </row>
    <row r="166" spans="14:22">
      <c r="N166" s="2" t="s">
        <v>713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523</v>
      </c>
      <c r="U166" s="5" t="s">
        <v>524</v>
      </c>
      <c r="V166" s="1" t="s">
        <v>525</v>
      </c>
    </row>
    <row r="167" spans="14:22">
      <c r="N167" s="2" t="s">
        <v>714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523</v>
      </c>
      <c r="U167" s="5" t="s">
        <v>524</v>
      </c>
      <c r="V167" s="1" t="s">
        <v>525</v>
      </c>
    </row>
    <row r="168" spans="14:22">
      <c r="N168" s="2" t="s">
        <v>715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523</v>
      </c>
      <c r="U168" s="5" t="s">
        <v>524</v>
      </c>
      <c r="V168" s="1" t="s">
        <v>525</v>
      </c>
    </row>
    <row r="169" spans="14:22">
      <c r="N169" s="2" t="s">
        <v>716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523</v>
      </c>
      <c r="U169" s="5" t="s">
        <v>524</v>
      </c>
      <c r="V169" s="1" t="s">
        <v>525</v>
      </c>
    </row>
    <row r="170" spans="14:22">
      <c r="N170" s="2" t="s">
        <v>717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523</v>
      </c>
      <c r="U170" s="5" t="s">
        <v>524</v>
      </c>
      <c r="V170" s="1" t="s">
        <v>525</v>
      </c>
    </row>
    <row r="171" spans="14:22">
      <c r="N171" s="2" t="s">
        <v>718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523</v>
      </c>
      <c r="U171" s="5" t="s">
        <v>524</v>
      </c>
      <c r="V171" s="1" t="s">
        <v>525</v>
      </c>
    </row>
    <row r="172" spans="14:22">
      <c r="N172" s="2" t="s">
        <v>719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523</v>
      </c>
      <c r="U172" s="5" t="s">
        <v>524</v>
      </c>
      <c r="V172" s="1" t="s">
        <v>525</v>
      </c>
    </row>
    <row r="173" spans="14:22">
      <c r="N173" s="2" t="s">
        <v>720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523</v>
      </c>
      <c r="U173" s="5" t="s">
        <v>524</v>
      </c>
      <c r="V173" s="1" t="s">
        <v>525</v>
      </c>
    </row>
    <row r="174" spans="14:22">
      <c r="N174" s="2" t="s">
        <v>721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523</v>
      </c>
      <c r="U174" s="5" t="s">
        <v>524</v>
      </c>
      <c r="V174" s="1" t="s">
        <v>525</v>
      </c>
    </row>
    <row r="175" spans="14:22">
      <c r="N175" s="2" t="s">
        <v>722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523</v>
      </c>
      <c r="U175" s="5" t="s">
        <v>524</v>
      </c>
      <c r="V175" s="1" t="s">
        <v>525</v>
      </c>
    </row>
    <row r="176" spans="14:22">
      <c r="N176" s="2" t="s">
        <v>723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523</v>
      </c>
      <c r="U176" s="5" t="s">
        <v>524</v>
      </c>
      <c r="V176" s="1" t="s">
        <v>525</v>
      </c>
    </row>
    <row r="177" spans="14:22">
      <c r="N177" s="2" t="s">
        <v>724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523</v>
      </c>
      <c r="U177" s="5" t="s">
        <v>524</v>
      </c>
      <c r="V177" s="1" t="s">
        <v>525</v>
      </c>
    </row>
    <row r="178" spans="14:22">
      <c r="N178" s="2" t="s">
        <v>725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523</v>
      </c>
      <c r="U178" s="5" t="s">
        <v>524</v>
      </c>
      <c r="V178" s="1" t="s">
        <v>525</v>
      </c>
    </row>
    <row r="179" spans="14:22">
      <c r="N179" s="2" t="s">
        <v>726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523</v>
      </c>
      <c r="U179" s="5" t="s">
        <v>524</v>
      </c>
      <c r="V179" s="1" t="s">
        <v>525</v>
      </c>
    </row>
    <row r="180" spans="14:22">
      <c r="N180" s="2" t="s">
        <v>727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523</v>
      </c>
      <c r="U180" s="5" t="s">
        <v>524</v>
      </c>
      <c r="V180" s="1" t="s">
        <v>525</v>
      </c>
    </row>
    <row r="181" spans="14:22">
      <c r="N181" s="2" t="s">
        <v>728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523</v>
      </c>
      <c r="U181" s="5" t="s">
        <v>524</v>
      </c>
      <c r="V181" s="1" t="s">
        <v>525</v>
      </c>
    </row>
    <row r="182" spans="14:22">
      <c r="N182" s="2" t="s">
        <v>729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523</v>
      </c>
      <c r="U182" s="5" t="s">
        <v>524</v>
      </c>
      <c r="V182" s="1" t="s">
        <v>525</v>
      </c>
    </row>
    <row r="183" spans="14:22">
      <c r="N183" s="2" t="s">
        <v>730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523</v>
      </c>
      <c r="U183" s="5" t="s">
        <v>524</v>
      </c>
      <c r="V183" s="1" t="s">
        <v>525</v>
      </c>
    </row>
    <row r="184" spans="14:22">
      <c r="N184" s="2" t="s">
        <v>731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523</v>
      </c>
      <c r="U184" s="5" t="s">
        <v>524</v>
      </c>
      <c r="V184" s="1" t="s">
        <v>525</v>
      </c>
    </row>
    <row r="185" spans="14:22">
      <c r="N185" s="2" t="s">
        <v>732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523</v>
      </c>
      <c r="U185" s="5" t="s">
        <v>524</v>
      </c>
      <c r="V185" s="1" t="s">
        <v>525</v>
      </c>
    </row>
    <row r="186" spans="14:22">
      <c r="N186" s="2" t="s">
        <v>733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523</v>
      </c>
      <c r="U186" s="5" t="s">
        <v>524</v>
      </c>
      <c r="V186" s="1" t="s">
        <v>525</v>
      </c>
    </row>
    <row r="187" spans="14:22">
      <c r="N187" s="2" t="s">
        <v>734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523</v>
      </c>
      <c r="U187" s="5" t="s">
        <v>524</v>
      </c>
      <c r="V187" s="1" t="s">
        <v>525</v>
      </c>
    </row>
    <row r="188" spans="14:22">
      <c r="N188" s="2" t="s">
        <v>735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523</v>
      </c>
      <c r="U188" s="5" t="s">
        <v>524</v>
      </c>
      <c r="V188" s="1" t="s">
        <v>525</v>
      </c>
    </row>
    <row r="189" spans="14:22">
      <c r="N189" s="2" t="s">
        <v>520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327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357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348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348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521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530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536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540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542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544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546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549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552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Sachin Gupta</cp:lastModifiedBy>
  <cp:revision/>
  <dcterms:created xsi:type="dcterms:W3CDTF">2022-12-28T09:03:00Z</dcterms:created>
  <dcterms:modified xsi:type="dcterms:W3CDTF">2025-07-16T04:35:12Z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