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F:\OneDrive - Sterling And Wilson\Desktop\10 MW O2 Power Kunigal_19.08.2023\ClientDGR 14.08.2022\2025\August-2025\04-08-2025\"/>
    </mc:Choice>
  </mc:AlternateContent>
  <xr:revisionPtr revIDLastSave="0" documentId="13_ncr:1_{0E7195FD-1FE1-42E6-ACFB-A6FB907E0AD4}" xr6:coauthVersionLast="47" xr6:coauthVersionMax="47" xr10:uidLastSave="{00000000-0000-0000-0000-000000000000}"/>
  <bookViews>
    <workbookView xWindow="-120" yWindow="-120" windowWidth="20730" windowHeight="11160" tabRatio="852" xr2:uid="{00000000-000D-0000-FFFF-FFFF00000000}"/>
  </bookViews>
  <sheets>
    <sheet name="Daily Dashboard" sheetId="13" r:id="rId1"/>
    <sheet name="CMS_Data" sheetId="18" r:id="rId2"/>
    <sheet name="Annual KPI" sheetId="12" r:id="rId3"/>
    <sheet name="Monthly KPI" sheetId="10" r:id="rId4"/>
    <sheet name="Daily KPI" sheetId="19" r:id="rId5"/>
    <sheet name="Raw Data" sheetId="1" r:id="rId6"/>
    <sheet name="JMR" sheetId="21" r:id="rId7"/>
    <sheet name="Modelling New" sheetId="20" state="hidden" r:id="rId8"/>
    <sheet name="Inv_SY" sheetId="6" r:id="rId9"/>
    <sheet name="Tracker_BD" sheetId="4" r:id="rId10"/>
    <sheet name="Inv_SY_Dev" sheetId="7" r:id="rId11"/>
    <sheet name="Plant BD" sheetId="23" r:id="rId12"/>
    <sheet name="Grid BD" sheetId="24" r:id="rId13"/>
    <sheet name="Mod_CL" sheetId="14" r:id="rId14"/>
    <sheet name="Grass_Cutting" sheetId="15" r:id="rId15"/>
    <sheet name="Spare_Consumable" sheetId="16" r:id="rId16"/>
    <sheet name="Curtailment records" sheetId="22" r:id="rId17"/>
    <sheet name="Basic Data" sheetId="2" state="hidden" r:id="rId18"/>
  </sheets>
  <externalReferences>
    <externalReference r:id="rId19"/>
  </externalReferences>
  <definedNames>
    <definedName name="LB_End_Date">#REF!</definedName>
    <definedName name="LB_Start_D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23" l="1"/>
  <c r="AM38" i="23"/>
  <c r="AM39" i="23"/>
  <c r="AM40" i="23"/>
  <c r="AM41" i="23"/>
  <c r="AM42" i="23"/>
  <c r="V42" i="23"/>
  <c r="C42" i="23"/>
  <c r="D42" i="23"/>
  <c r="G42" i="23"/>
  <c r="H42" i="23"/>
  <c r="I42" i="23"/>
  <c r="J42" i="23"/>
  <c r="K42" i="23" s="1"/>
  <c r="U42" i="23"/>
  <c r="AE42" i="23"/>
  <c r="AF42" i="23"/>
  <c r="AG42" i="23"/>
  <c r="AH42" i="23"/>
  <c r="C1224" i="15"/>
  <c r="G1224" i="15"/>
  <c r="Q1224" i="15"/>
  <c r="H1224" i="15"/>
  <c r="A1635" i="16"/>
  <c r="A1636" i="16" s="1"/>
  <c r="AC124" i="4"/>
  <c r="AD124" i="4"/>
  <c r="AC125" i="4"/>
  <c r="AD125" i="4"/>
  <c r="AI125" i="4" s="1"/>
  <c r="G125" i="4"/>
  <c r="I125" i="4"/>
  <c r="J125" i="4"/>
  <c r="K125" i="4" s="1"/>
  <c r="AA125" i="4"/>
  <c r="AB125" i="4"/>
  <c r="G124" i="4"/>
  <c r="I124" i="4"/>
  <c r="J124" i="4"/>
  <c r="AA124" i="4"/>
  <c r="AB124" i="4"/>
  <c r="AI124" i="4"/>
  <c r="AK42" i="23" l="1"/>
  <c r="K124" i="4"/>
  <c r="F132" i="1" l="1"/>
  <c r="H132" i="1"/>
  <c r="AB132" i="1"/>
  <c r="AC132" i="1"/>
  <c r="AE132" i="1" s="1"/>
  <c r="AD132" i="1"/>
  <c r="AF132" i="1"/>
  <c r="AG132" i="1" s="1"/>
  <c r="AI132" i="1"/>
  <c r="E7" i="21"/>
  <c r="E8" i="21"/>
  <c r="E9" i="21"/>
  <c r="E10" i="21"/>
  <c r="E11" i="21"/>
  <c r="E12" i="21"/>
  <c r="E13" i="21"/>
  <c r="G11" i="21"/>
  <c r="G12" i="21"/>
  <c r="G13" i="21"/>
  <c r="H7" i="21"/>
  <c r="H8" i="21"/>
  <c r="H9" i="21"/>
  <c r="H10" i="21"/>
  <c r="H11" i="21"/>
  <c r="H12" i="21"/>
  <c r="H13" i="21"/>
  <c r="I11" i="21"/>
  <c r="I12" i="21"/>
  <c r="I13" i="21"/>
  <c r="J7" i="21"/>
  <c r="J8" i="21"/>
  <c r="J9" i="21"/>
  <c r="J10" i="21"/>
  <c r="J11" i="21"/>
  <c r="J12" i="21"/>
  <c r="J13" i="21"/>
  <c r="V34" i="23"/>
  <c r="V35" i="23"/>
  <c r="V36" i="23"/>
  <c r="V37" i="23"/>
  <c r="V38" i="23"/>
  <c r="V39" i="23"/>
  <c r="V40" i="23"/>
  <c r="V41" i="23"/>
  <c r="C41" i="23"/>
  <c r="D41" i="23"/>
  <c r="G41" i="23"/>
  <c r="H41" i="23"/>
  <c r="I41" i="23"/>
  <c r="J41" i="23"/>
  <c r="K41" i="23" s="1"/>
  <c r="U41" i="23"/>
  <c r="AE41" i="23"/>
  <c r="AF41" i="23"/>
  <c r="AG41" i="23"/>
  <c r="AH41" i="23"/>
  <c r="AK41" i="23" s="1"/>
  <c r="E6" i="21" l="1"/>
  <c r="H6" i="21"/>
  <c r="J6" i="21"/>
  <c r="A1633" i="16"/>
  <c r="A1634" i="16" s="1"/>
  <c r="Q1222" i="15"/>
  <c r="Q1223" i="15"/>
  <c r="G1223" i="15"/>
  <c r="H1223" i="15"/>
  <c r="C1223" i="15" s="1"/>
  <c r="G1222" i="15"/>
  <c r="H1222" i="15"/>
  <c r="C1222" i="15" s="1"/>
  <c r="G1221" i="15"/>
  <c r="H1221" i="15"/>
  <c r="C1221" i="15" s="1"/>
  <c r="Q1221" i="15"/>
  <c r="G1220" i="15"/>
  <c r="H1220" i="15"/>
  <c r="C1220" i="15" s="1"/>
  <c r="Q1220" i="15"/>
  <c r="C40" i="23"/>
  <c r="D40" i="23"/>
  <c r="G40" i="23"/>
  <c r="I40" i="23"/>
  <c r="J40" i="23"/>
  <c r="U40" i="23"/>
  <c r="AE40" i="23"/>
  <c r="AF40" i="23"/>
  <c r="AG40" i="23"/>
  <c r="AH40" i="23"/>
  <c r="AK40" i="23" s="1"/>
  <c r="J1218" i="6"/>
  <c r="Q1218" i="6" s="1"/>
  <c r="K1218" i="6"/>
  <c r="L1218" i="6"/>
  <c r="M1218" i="6"/>
  <c r="N1218" i="6"/>
  <c r="O1218" i="6"/>
  <c r="J1219" i="6"/>
  <c r="K1219" i="6"/>
  <c r="L1219" i="6"/>
  <c r="M1219" i="6"/>
  <c r="N1219" i="6"/>
  <c r="O1219" i="6"/>
  <c r="U1218" i="7" s="1"/>
  <c r="Q1219" i="6"/>
  <c r="T1218" i="7" s="1"/>
  <c r="J1220" i="6"/>
  <c r="K1220" i="6"/>
  <c r="L1220" i="6"/>
  <c r="M1220" i="6"/>
  <c r="N1220" i="6"/>
  <c r="O1220" i="6"/>
  <c r="J1221" i="6"/>
  <c r="K1221" i="6"/>
  <c r="L1221" i="6"/>
  <c r="M1221" i="6"/>
  <c r="N1221" i="6"/>
  <c r="O1221" i="6"/>
  <c r="J1222" i="6"/>
  <c r="K1222" i="6"/>
  <c r="L1222" i="6"/>
  <c r="M1222" i="6"/>
  <c r="N1222" i="6"/>
  <c r="O1222" i="6"/>
  <c r="Q1222" i="6"/>
  <c r="P1221" i="7" s="1"/>
  <c r="J1223" i="6"/>
  <c r="K1223" i="6"/>
  <c r="L1223" i="6"/>
  <c r="M1223" i="6"/>
  <c r="Q1223" i="6" s="1"/>
  <c r="N1223" i="6"/>
  <c r="O1223" i="6"/>
  <c r="J1224" i="6"/>
  <c r="Q1224" i="6" s="1"/>
  <c r="P1223" i="7" s="1"/>
  <c r="K1224" i="6"/>
  <c r="L1224" i="6"/>
  <c r="M1224" i="6"/>
  <c r="S1223" i="7" s="1"/>
  <c r="N1224" i="6"/>
  <c r="O1224" i="6"/>
  <c r="J1225" i="6"/>
  <c r="Q1225" i="6" s="1"/>
  <c r="K1225" i="6"/>
  <c r="Q1224" i="7" s="1"/>
  <c r="L1225" i="6"/>
  <c r="M1225" i="6"/>
  <c r="N1225" i="6"/>
  <c r="O1225" i="6"/>
  <c r="J1226" i="6"/>
  <c r="K1226" i="6"/>
  <c r="L1226" i="6"/>
  <c r="M1226" i="6"/>
  <c r="N1226" i="6"/>
  <c r="O1226" i="6"/>
  <c r="Q1226" i="6"/>
  <c r="P1225" i="7" s="1"/>
  <c r="J1227" i="6"/>
  <c r="K1227" i="6"/>
  <c r="L1227" i="6"/>
  <c r="M1227" i="6"/>
  <c r="N1227" i="6"/>
  <c r="O1227" i="6"/>
  <c r="J1228" i="6"/>
  <c r="Q1228" i="6" s="1"/>
  <c r="K1228" i="6"/>
  <c r="L1228" i="6"/>
  <c r="M1228" i="6"/>
  <c r="N1228" i="6"/>
  <c r="O1228" i="6"/>
  <c r="J1229" i="6"/>
  <c r="Q1229" i="6" s="1"/>
  <c r="K1229" i="6"/>
  <c r="L1229" i="6"/>
  <c r="M1229" i="6"/>
  <c r="N1229" i="6"/>
  <c r="O1229" i="6"/>
  <c r="J1230" i="6"/>
  <c r="K1230" i="6"/>
  <c r="L1230" i="6"/>
  <c r="M1230" i="6"/>
  <c r="N1230" i="6"/>
  <c r="O1230" i="6"/>
  <c r="Q1230" i="6"/>
  <c r="J1231" i="6"/>
  <c r="K1231" i="6"/>
  <c r="L1231" i="6"/>
  <c r="M1231" i="6"/>
  <c r="P1231" i="6" s="1"/>
  <c r="N1231" i="6"/>
  <c r="O1231" i="6"/>
  <c r="Q1218" i="7"/>
  <c r="AA122" i="4"/>
  <c r="AB122" i="4"/>
  <c r="AC122" i="4"/>
  <c r="AA123" i="4"/>
  <c r="AB123" i="4"/>
  <c r="AC123" i="4"/>
  <c r="AD122" i="4"/>
  <c r="AI122" i="4" s="1"/>
  <c r="AD123" i="4"/>
  <c r="AI123" i="4" s="1"/>
  <c r="I122" i="4"/>
  <c r="I123" i="4"/>
  <c r="J122" i="4"/>
  <c r="J123" i="4"/>
  <c r="F131" i="1"/>
  <c r="H131" i="1"/>
  <c r="AB131" i="1"/>
  <c r="AC131" i="1"/>
  <c r="AD131" i="1"/>
  <c r="AF131" i="1"/>
  <c r="AG131" i="1" s="1"/>
  <c r="AI131" i="1"/>
  <c r="F128" i="1"/>
  <c r="F129" i="1"/>
  <c r="F130" i="1"/>
  <c r="H128" i="1"/>
  <c r="H129" i="1"/>
  <c r="H130" i="1"/>
  <c r="AB128" i="1"/>
  <c r="AB129" i="1"/>
  <c r="AB130" i="1"/>
  <c r="AC128" i="1"/>
  <c r="AC129" i="1"/>
  <c r="AC130" i="1"/>
  <c r="AD128" i="1"/>
  <c r="AD129" i="1"/>
  <c r="AD130" i="1"/>
  <c r="AF128" i="1"/>
  <c r="AG128" i="1" s="1"/>
  <c r="AF129" i="1"/>
  <c r="AG129" i="1" s="1"/>
  <c r="AF130" i="1"/>
  <c r="AG130" i="1" s="1"/>
  <c r="AI128" i="1"/>
  <c r="AI129" i="1"/>
  <c r="AI130" i="1"/>
  <c r="AE2" i="24"/>
  <c r="AE3" i="24"/>
  <c r="AE4" i="24"/>
  <c r="AE5" i="24"/>
  <c r="AE6" i="24"/>
  <c r="AE7" i="24"/>
  <c r="AE8" i="24"/>
  <c r="AE9" i="24"/>
  <c r="AE10" i="24"/>
  <c r="AE11" i="24"/>
  <c r="AE12" i="24"/>
  <c r="AE13" i="24"/>
  <c r="AE14" i="24"/>
  <c r="AE15" i="24"/>
  <c r="H40" i="23" l="1"/>
  <c r="P1222" i="7"/>
  <c r="U1222" i="7"/>
  <c r="Q1222" i="7"/>
  <c r="T1224" i="7"/>
  <c r="U1224" i="7"/>
  <c r="P1217" i="7"/>
  <c r="S1217" i="7"/>
  <c r="R1218" i="7"/>
  <c r="P1228" i="6"/>
  <c r="Q1227" i="6"/>
  <c r="Q1220" i="6"/>
  <c r="P1219" i="7" s="1"/>
  <c r="AE129" i="1"/>
  <c r="P1229" i="6"/>
  <c r="S1224" i="7"/>
  <c r="S1222" i="7"/>
  <c r="S1221" i="7"/>
  <c r="R1222" i="7"/>
  <c r="S1225" i="7"/>
  <c r="P1230" i="6"/>
  <c r="R1224" i="7"/>
  <c r="P1222" i="6"/>
  <c r="L1221" i="7" s="1"/>
  <c r="S1218" i="7"/>
  <c r="K40" i="23"/>
  <c r="AE131" i="1"/>
  <c r="K123" i="4"/>
  <c r="L1219" i="7"/>
  <c r="Q1231" i="6"/>
  <c r="Q1221" i="6"/>
  <c r="S1220" i="7" s="1"/>
  <c r="R1225" i="7"/>
  <c r="P1224" i="7"/>
  <c r="T1222" i="7"/>
  <c r="R1221" i="7"/>
  <c r="P1218" i="7"/>
  <c r="P1226" i="6"/>
  <c r="M1225" i="7" s="1"/>
  <c r="P1225" i="6"/>
  <c r="P1223" i="6"/>
  <c r="P1221" i="6"/>
  <c r="P1220" i="6"/>
  <c r="P1219" i="6"/>
  <c r="P1218" i="6"/>
  <c r="R1219" i="7"/>
  <c r="P1227" i="6"/>
  <c r="P1224" i="6"/>
  <c r="U1225" i="7"/>
  <c r="Q1225" i="7"/>
  <c r="U1223" i="7"/>
  <c r="Q1223" i="7"/>
  <c r="U1221" i="7"/>
  <c r="Q1221" i="7"/>
  <c r="U1219" i="7"/>
  <c r="Q1219" i="7"/>
  <c r="U1217" i="7"/>
  <c r="Q1217" i="7"/>
  <c r="R1223" i="7"/>
  <c r="R1217" i="7"/>
  <c r="T1225" i="7"/>
  <c r="T1223" i="7"/>
  <c r="T1221" i="7"/>
  <c r="T1219" i="7"/>
  <c r="T1217" i="7"/>
  <c r="K122" i="4"/>
  <c r="AE128" i="1"/>
  <c r="AE130" i="1"/>
  <c r="X2" i="24"/>
  <c r="X3" i="24"/>
  <c r="X4" i="24"/>
  <c r="X5" i="24"/>
  <c r="X6" i="24"/>
  <c r="X7" i="24"/>
  <c r="X8" i="24"/>
  <c r="X9" i="24"/>
  <c r="X10" i="24"/>
  <c r="X11" i="24"/>
  <c r="X12" i="24"/>
  <c r="X13" i="24"/>
  <c r="X14" i="24"/>
  <c r="X15" i="24"/>
  <c r="I3" i="24"/>
  <c r="J3" i="24"/>
  <c r="I4" i="24"/>
  <c r="J4" i="24"/>
  <c r="I5" i="24"/>
  <c r="J5" i="24"/>
  <c r="I6" i="24"/>
  <c r="J6" i="24"/>
  <c r="I7" i="24"/>
  <c r="J7" i="24"/>
  <c r="I8" i="24"/>
  <c r="J8" i="24"/>
  <c r="I9" i="24"/>
  <c r="J9" i="24"/>
  <c r="I10" i="24"/>
  <c r="J10" i="24"/>
  <c r="I11" i="24"/>
  <c r="J11" i="24"/>
  <c r="I12" i="24"/>
  <c r="J12" i="24"/>
  <c r="I13" i="24"/>
  <c r="J13" i="24"/>
  <c r="I14" i="24"/>
  <c r="J14" i="24"/>
  <c r="I15" i="24"/>
  <c r="J15" i="24"/>
  <c r="J2" i="24"/>
  <c r="I2" i="24"/>
  <c r="Z15" i="24"/>
  <c r="Y15" i="24"/>
  <c r="G15" i="24"/>
  <c r="H15" i="24" s="1"/>
  <c r="D15" i="24"/>
  <c r="C15" i="24"/>
  <c r="Z14" i="24"/>
  <c r="Y14" i="24"/>
  <c r="AC14" i="24" s="1"/>
  <c r="G14" i="24"/>
  <c r="D14" i="24"/>
  <c r="C14" i="24"/>
  <c r="Z13" i="24"/>
  <c r="Y13" i="24"/>
  <c r="G13" i="24"/>
  <c r="H13" i="24" s="1"/>
  <c r="D13" i="24"/>
  <c r="C13" i="24"/>
  <c r="Z12" i="24"/>
  <c r="Y12" i="24"/>
  <c r="H12" i="24"/>
  <c r="G12" i="24"/>
  <c r="D12" i="24"/>
  <c r="C12" i="24"/>
  <c r="Z11" i="24"/>
  <c r="Y11" i="24"/>
  <c r="G11" i="24"/>
  <c r="D11" i="24"/>
  <c r="C11" i="24"/>
  <c r="Z10" i="24"/>
  <c r="Y10" i="24"/>
  <c r="G10" i="24"/>
  <c r="H10" i="24" s="1"/>
  <c r="D10" i="24"/>
  <c r="C10" i="24"/>
  <c r="Z9" i="24"/>
  <c r="Y9" i="24"/>
  <c r="G9" i="24"/>
  <c r="D9" i="24"/>
  <c r="C9" i="24"/>
  <c r="Z8" i="24"/>
  <c r="Y8" i="24"/>
  <c r="AC8" i="24" s="1"/>
  <c r="H8" i="24"/>
  <c r="G8" i="24"/>
  <c r="D8" i="24"/>
  <c r="C8" i="24"/>
  <c r="Z7" i="24"/>
  <c r="Y7" i="24"/>
  <c r="G7" i="24"/>
  <c r="D7" i="24"/>
  <c r="C7" i="24"/>
  <c r="Z6" i="24"/>
  <c r="Y6" i="24"/>
  <c r="AC6" i="24" s="1"/>
  <c r="G6" i="24"/>
  <c r="D6" i="24"/>
  <c r="C6" i="24"/>
  <c r="Z5" i="24"/>
  <c r="Y5" i="24"/>
  <c r="AC5" i="24" s="1"/>
  <c r="G5" i="24"/>
  <c r="H5" i="24" s="1"/>
  <c r="D5" i="24"/>
  <c r="C5" i="24"/>
  <c r="Z4" i="24"/>
  <c r="Y4" i="24"/>
  <c r="AC4" i="24" s="1"/>
  <c r="G4" i="24"/>
  <c r="H4" i="24" s="1"/>
  <c r="D4" i="24"/>
  <c r="C4" i="24"/>
  <c r="A4" i="24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Z3" i="24"/>
  <c r="Y3" i="24"/>
  <c r="G3" i="24"/>
  <c r="H3" i="24" s="1"/>
  <c r="D3" i="24"/>
  <c r="C3" i="24"/>
  <c r="A3" i="24"/>
  <c r="Z2" i="24"/>
  <c r="Y2" i="24"/>
  <c r="AC2" i="24"/>
  <c r="H2" i="24"/>
  <c r="G2" i="24"/>
  <c r="D2" i="24"/>
  <c r="C2" i="24"/>
  <c r="V2" i="23"/>
  <c r="V3" i="23"/>
  <c r="V4" i="23"/>
  <c r="V5" i="23"/>
  <c r="V6" i="23"/>
  <c r="V7" i="23"/>
  <c r="V8" i="23"/>
  <c r="V9" i="23"/>
  <c r="V10" i="23"/>
  <c r="V11" i="23"/>
  <c r="V12" i="23"/>
  <c r="V13" i="23"/>
  <c r="V14" i="23"/>
  <c r="V15" i="23"/>
  <c r="V16" i="23"/>
  <c r="V17" i="23"/>
  <c r="V18" i="23"/>
  <c r="V19" i="23"/>
  <c r="V20" i="23"/>
  <c r="V21" i="23"/>
  <c r="V22" i="23"/>
  <c r="V23" i="23"/>
  <c r="V24" i="23"/>
  <c r="V25" i="23"/>
  <c r="V26" i="23"/>
  <c r="V27" i="23"/>
  <c r="V28" i="23"/>
  <c r="V29" i="23"/>
  <c r="V30" i="23"/>
  <c r="V31" i="23"/>
  <c r="V32" i="23"/>
  <c r="V33" i="23"/>
  <c r="U2" i="23"/>
  <c r="U3" i="23"/>
  <c r="U4" i="23"/>
  <c r="U5" i="23"/>
  <c r="U6" i="23"/>
  <c r="U7" i="23"/>
  <c r="U8" i="23"/>
  <c r="U9" i="23"/>
  <c r="U10" i="23"/>
  <c r="U11" i="23"/>
  <c r="U12" i="23"/>
  <c r="U13" i="23"/>
  <c r="U14" i="23"/>
  <c r="U15" i="23"/>
  <c r="U16" i="23"/>
  <c r="U17" i="23"/>
  <c r="U18" i="23"/>
  <c r="U19" i="23"/>
  <c r="U20" i="23"/>
  <c r="U21" i="23"/>
  <c r="U22" i="23"/>
  <c r="U23" i="23"/>
  <c r="U24" i="23"/>
  <c r="U25" i="23"/>
  <c r="U26" i="23"/>
  <c r="U27" i="23"/>
  <c r="U28" i="23"/>
  <c r="U29" i="23"/>
  <c r="U30" i="23"/>
  <c r="U31" i="23"/>
  <c r="U32" i="23"/>
  <c r="U33" i="23"/>
  <c r="U34" i="23"/>
  <c r="U35" i="23"/>
  <c r="U36" i="23"/>
  <c r="U37" i="23"/>
  <c r="U38" i="23"/>
  <c r="U39" i="23"/>
  <c r="J2" i="23"/>
  <c r="J3" i="23"/>
  <c r="J4" i="23"/>
  <c r="J5" i="23"/>
  <c r="J6" i="23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I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AH39" i="23"/>
  <c r="AG39" i="23"/>
  <c r="AF39" i="23"/>
  <c r="AE39" i="23"/>
  <c r="G39" i="23"/>
  <c r="D39" i="23"/>
  <c r="C39" i="23"/>
  <c r="AH38" i="23"/>
  <c r="AG38" i="23"/>
  <c r="AF38" i="23"/>
  <c r="AE38" i="23"/>
  <c r="G38" i="23"/>
  <c r="D38" i="23"/>
  <c r="C38" i="23"/>
  <c r="AH37" i="23"/>
  <c r="AG37" i="23"/>
  <c r="AF37" i="23"/>
  <c r="AE37" i="23"/>
  <c r="G37" i="23"/>
  <c r="D37" i="23"/>
  <c r="C37" i="23"/>
  <c r="AH36" i="23"/>
  <c r="AG36" i="23"/>
  <c r="AF36" i="23"/>
  <c r="AE36" i="23"/>
  <c r="G36" i="23"/>
  <c r="D36" i="23"/>
  <c r="C36" i="23"/>
  <c r="AH35" i="23"/>
  <c r="AG35" i="23"/>
  <c r="AF35" i="23"/>
  <c r="AE35" i="23"/>
  <c r="G35" i="23"/>
  <c r="D35" i="23"/>
  <c r="C35" i="23"/>
  <c r="AH34" i="23"/>
  <c r="AG34" i="23"/>
  <c r="AF34" i="23"/>
  <c r="AE34" i="23"/>
  <c r="G34" i="23"/>
  <c r="H34" i="23" s="1"/>
  <c r="D34" i="23"/>
  <c r="C34" i="23"/>
  <c r="AH33" i="23"/>
  <c r="AG33" i="23"/>
  <c r="AF33" i="23"/>
  <c r="AE33" i="23"/>
  <c r="G33" i="23"/>
  <c r="H33" i="23" s="1"/>
  <c r="D33" i="23"/>
  <c r="C33" i="23"/>
  <c r="AH32" i="23"/>
  <c r="AG32" i="23"/>
  <c r="AF32" i="23"/>
  <c r="AE32" i="23"/>
  <c r="G32" i="23"/>
  <c r="H32" i="23" s="1"/>
  <c r="D32" i="23"/>
  <c r="C32" i="23"/>
  <c r="AH31" i="23"/>
  <c r="AG31" i="23"/>
  <c r="AF31" i="23"/>
  <c r="AE31" i="23"/>
  <c r="G31" i="23"/>
  <c r="H31" i="23" s="1"/>
  <c r="D31" i="23"/>
  <c r="C31" i="23"/>
  <c r="AH30" i="23"/>
  <c r="AG30" i="23"/>
  <c r="AF30" i="23"/>
  <c r="AE30" i="23"/>
  <c r="G30" i="23"/>
  <c r="H30" i="23" s="1"/>
  <c r="D30" i="23"/>
  <c r="C30" i="23"/>
  <c r="AH29" i="23"/>
  <c r="AG29" i="23"/>
  <c r="AF29" i="23"/>
  <c r="AE29" i="23"/>
  <c r="G29" i="23"/>
  <c r="H29" i="23" s="1"/>
  <c r="D29" i="23"/>
  <c r="C29" i="23"/>
  <c r="AH28" i="23"/>
  <c r="AG28" i="23"/>
  <c r="AF28" i="23"/>
  <c r="AE28" i="23"/>
  <c r="G28" i="23"/>
  <c r="H28" i="23" s="1"/>
  <c r="D28" i="23"/>
  <c r="C28" i="23"/>
  <c r="AH27" i="23"/>
  <c r="AG27" i="23"/>
  <c r="AF27" i="23"/>
  <c r="AE27" i="23"/>
  <c r="G27" i="23"/>
  <c r="H27" i="23" s="1"/>
  <c r="D27" i="23"/>
  <c r="C27" i="23"/>
  <c r="AH26" i="23"/>
  <c r="AG26" i="23"/>
  <c r="AF26" i="23"/>
  <c r="AE26" i="23"/>
  <c r="G26" i="23"/>
  <c r="H26" i="23" s="1"/>
  <c r="D26" i="23"/>
  <c r="C26" i="23"/>
  <c r="AH25" i="23"/>
  <c r="AG25" i="23"/>
  <c r="AF25" i="23"/>
  <c r="AE25" i="23"/>
  <c r="G25" i="23"/>
  <c r="H25" i="23" s="1"/>
  <c r="D25" i="23"/>
  <c r="C25" i="23"/>
  <c r="AH24" i="23"/>
  <c r="AG24" i="23"/>
  <c r="AF24" i="23"/>
  <c r="AE24" i="23"/>
  <c r="G24" i="23"/>
  <c r="H24" i="23" s="1"/>
  <c r="D24" i="23"/>
  <c r="C24" i="23"/>
  <c r="AH23" i="23"/>
  <c r="AG23" i="23"/>
  <c r="AF23" i="23"/>
  <c r="AE23" i="23"/>
  <c r="G23" i="23"/>
  <c r="H23" i="23" s="1"/>
  <c r="D23" i="23"/>
  <c r="C23" i="23"/>
  <c r="AH22" i="23"/>
  <c r="AG22" i="23"/>
  <c r="AF22" i="23"/>
  <c r="AE22" i="23"/>
  <c r="G22" i="23"/>
  <c r="H22" i="23" s="1"/>
  <c r="D22" i="23"/>
  <c r="C22" i="23"/>
  <c r="AH21" i="23"/>
  <c r="AG21" i="23"/>
  <c r="AF21" i="23"/>
  <c r="AE21" i="23"/>
  <c r="G21" i="23"/>
  <c r="H21" i="23" s="1"/>
  <c r="D21" i="23"/>
  <c r="C21" i="23"/>
  <c r="AH20" i="23"/>
  <c r="AG20" i="23"/>
  <c r="AF20" i="23"/>
  <c r="AE20" i="23"/>
  <c r="G20" i="23"/>
  <c r="H20" i="23" s="1"/>
  <c r="D20" i="23"/>
  <c r="C20" i="23"/>
  <c r="AH19" i="23"/>
  <c r="AG19" i="23"/>
  <c r="AF19" i="23"/>
  <c r="AE19" i="23"/>
  <c r="G19" i="23"/>
  <c r="H19" i="23" s="1"/>
  <c r="D19" i="23"/>
  <c r="C19" i="23"/>
  <c r="AH18" i="23"/>
  <c r="AG18" i="23"/>
  <c r="AF18" i="23"/>
  <c r="AE18" i="23"/>
  <c r="G18" i="23"/>
  <c r="H18" i="23" s="1"/>
  <c r="D18" i="23"/>
  <c r="C18" i="23"/>
  <c r="AH17" i="23"/>
  <c r="AG17" i="23"/>
  <c r="AF17" i="23"/>
  <c r="AE17" i="23"/>
  <c r="G17" i="23"/>
  <c r="H17" i="23" s="1"/>
  <c r="D17" i="23"/>
  <c r="C17" i="23"/>
  <c r="AH16" i="23"/>
  <c r="AG16" i="23"/>
  <c r="AF16" i="23"/>
  <c r="AE16" i="23"/>
  <c r="G16" i="23"/>
  <c r="H16" i="23" s="1"/>
  <c r="D16" i="23"/>
  <c r="C16" i="23"/>
  <c r="AH15" i="23"/>
  <c r="AG15" i="23"/>
  <c r="AF15" i="23"/>
  <c r="AE15" i="23"/>
  <c r="G15" i="23"/>
  <c r="H15" i="23" s="1"/>
  <c r="D15" i="23"/>
  <c r="C15" i="23"/>
  <c r="AH14" i="23"/>
  <c r="AG14" i="23"/>
  <c r="AF14" i="23"/>
  <c r="AE14" i="23"/>
  <c r="G14" i="23"/>
  <c r="H14" i="23" s="1"/>
  <c r="D14" i="23"/>
  <c r="C14" i="23"/>
  <c r="AH13" i="23"/>
  <c r="AG13" i="23"/>
  <c r="AF13" i="23"/>
  <c r="AE13" i="23"/>
  <c r="G13" i="23"/>
  <c r="H13" i="23" s="1"/>
  <c r="D13" i="23"/>
  <c r="C13" i="23"/>
  <c r="AH12" i="23"/>
  <c r="AG12" i="23"/>
  <c r="AF12" i="23"/>
  <c r="AE12" i="23"/>
  <c r="G12" i="23"/>
  <c r="H12" i="23" s="1"/>
  <c r="D12" i="23"/>
  <c r="C12" i="23"/>
  <c r="AH11" i="23"/>
  <c r="AG11" i="23"/>
  <c r="AF11" i="23"/>
  <c r="AE11" i="23"/>
  <c r="G11" i="23"/>
  <c r="H11" i="23" s="1"/>
  <c r="D11" i="23"/>
  <c r="C11" i="23"/>
  <c r="AH10" i="23"/>
  <c r="AG10" i="23"/>
  <c r="AF10" i="23"/>
  <c r="AE10" i="23"/>
  <c r="G10" i="23"/>
  <c r="H10" i="23" s="1"/>
  <c r="D10" i="23"/>
  <c r="C10" i="23"/>
  <c r="AH9" i="23"/>
  <c r="AG9" i="23"/>
  <c r="AF9" i="23"/>
  <c r="AE9" i="23"/>
  <c r="G9" i="23"/>
  <c r="H9" i="23" s="1"/>
  <c r="D9" i="23"/>
  <c r="C9" i="23"/>
  <c r="AH8" i="23"/>
  <c r="AG8" i="23"/>
  <c r="AF8" i="23"/>
  <c r="AE8" i="23"/>
  <c r="G8" i="23"/>
  <c r="H8" i="23" s="1"/>
  <c r="D8" i="23"/>
  <c r="C8" i="23"/>
  <c r="AH7" i="23"/>
  <c r="AG7" i="23"/>
  <c r="AF7" i="23"/>
  <c r="AE7" i="23"/>
  <c r="G7" i="23"/>
  <c r="H7" i="23" s="1"/>
  <c r="D7" i="23"/>
  <c r="C7" i="23"/>
  <c r="AH6" i="23"/>
  <c r="AG6" i="23"/>
  <c r="AF6" i="23"/>
  <c r="AE6" i="23"/>
  <c r="G6" i="23"/>
  <c r="H6" i="23" s="1"/>
  <c r="D6" i="23"/>
  <c r="C6" i="23"/>
  <c r="AH5" i="23"/>
  <c r="AG5" i="23"/>
  <c r="AF5" i="23"/>
  <c r="AE5" i="23"/>
  <c r="G5" i="23"/>
  <c r="H5" i="23" s="1"/>
  <c r="D5" i="23"/>
  <c r="C5" i="23"/>
  <c r="AH4" i="23"/>
  <c r="AG4" i="23"/>
  <c r="AF4" i="23"/>
  <c r="AE4" i="23"/>
  <c r="G4" i="23"/>
  <c r="H4" i="23" s="1"/>
  <c r="D4" i="23"/>
  <c r="C4" i="23"/>
  <c r="AH3" i="23"/>
  <c r="AG3" i="23"/>
  <c r="AF3" i="23"/>
  <c r="AE3" i="23"/>
  <c r="G3" i="23"/>
  <c r="H3" i="23" s="1"/>
  <c r="D3" i="23"/>
  <c r="C3" i="23"/>
  <c r="A3" i="23"/>
  <c r="A4" i="23" s="1"/>
  <c r="A5" i="23" s="1"/>
  <c r="A6" i="23" s="1"/>
  <c r="A7" i="23" s="1"/>
  <c r="A8" i="23" s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H2" i="23"/>
  <c r="AG2" i="23"/>
  <c r="AF2" i="23"/>
  <c r="AE2" i="23"/>
  <c r="G2" i="23"/>
  <c r="H2" i="23" s="1"/>
  <c r="D2" i="23"/>
  <c r="C2" i="23"/>
  <c r="AV2" i="19"/>
  <c r="AV3" i="19"/>
  <c r="AV4" i="19"/>
  <c r="AV5" i="19"/>
  <c r="AV6" i="19"/>
  <c r="AV7" i="19"/>
  <c r="AV8" i="19"/>
  <c r="AV9" i="19"/>
  <c r="AV10" i="19"/>
  <c r="AV11" i="19"/>
  <c r="AV12" i="19"/>
  <c r="AV13" i="19"/>
  <c r="AV14" i="19"/>
  <c r="AV15" i="19"/>
  <c r="AV16" i="19"/>
  <c r="AV17" i="19"/>
  <c r="AV18" i="19"/>
  <c r="AV19" i="19"/>
  <c r="AV20" i="19"/>
  <c r="AV21" i="19"/>
  <c r="AV22" i="19"/>
  <c r="AV23" i="19"/>
  <c r="AV24" i="19"/>
  <c r="AV25" i="19"/>
  <c r="AV26" i="19"/>
  <c r="AV27" i="19"/>
  <c r="AV28" i="19"/>
  <c r="AV29" i="19"/>
  <c r="AV30" i="19"/>
  <c r="AV31" i="19"/>
  <c r="AV32" i="19"/>
  <c r="AV33" i="19"/>
  <c r="AV34" i="19"/>
  <c r="AV35" i="19"/>
  <c r="AV36" i="19"/>
  <c r="AV37" i="19"/>
  <c r="AV38" i="19"/>
  <c r="AV39" i="19"/>
  <c r="AV40" i="19"/>
  <c r="AV41" i="19"/>
  <c r="AV42" i="19"/>
  <c r="AV43" i="19"/>
  <c r="AV44" i="19"/>
  <c r="AV45" i="19"/>
  <c r="AV46" i="19"/>
  <c r="AV47" i="19"/>
  <c r="AV48" i="19"/>
  <c r="AV49" i="19"/>
  <c r="AV50" i="19"/>
  <c r="AV51" i="19"/>
  <c r="AV52" i="19"/>
  <c r="AV53" i="19"/>
  <c r="AV54" i="19"/>
  <c r="AV55" i="19"/>
  <c r="AV56" i="19"/>
  <c r="AV57" i="19"/>
  <c r="AV58" i="19"/>
  <c r="AV59" i="19"/>
  <c r="AV60" i="19"/>
  <c r="AV61" i="19"/>
  <c r="AV62" i="19"/>
  <c r="AV63" i="19"/>
  <c r="AV64" i="19"/>
  <c r="AV65" i="19"/>
  <c r="AV66" i="19"/>
  <c r="AV67" i="19"/>
  <c r="AV68" i="19"/>
  <c r="AV69" i="19"/>
  <c r="AV70" i="19"/>
  <c r="AV71" i="19"/>
  <c r="AV72" i="19"/>
  <c r="AV73" i="19"/>
  <c r="AV74" i="19"/>
  <c r="AV75" i="19"/>
  <c r="AV76" i="19"/>
  <c r="AV77" i="19"/>
  <c r="AV78" i="19"/>
  <c r="AV79" i="19"/>
  <c r="AV80" i="19"/>
  <c r="AV81" i="19"/>
  <c r="AV82" i="19"/>
  <c r="AV83" i="19"/>
  <c r="AV84" i="19"/>
  <c r="AV85" i="19"/>
  <c r="AV86" i="19"/>
  <c r="AV87" i="19"/>
  <c r="AV88" i="19"/>
  <c r="AV89" i="19"/>
  <c r="AV90" i="19"/>
  <c r="AV91" i="19"/>
  <c r="AV92" i="19"/>
  <c r="AV93" i="19"/>
  <c r="AV94" i="19"/>
  <c r="AV95" i="19"/>
  <c r="AV96" i="19"/>
  <c r="AV97" i="19"/>
  <c r="AV98" i="19"/>
  <c r="AV99" i="19"/>
  <c r="AV100" i="19"/>
  <c r="AV101" i="19"/>
  <c r="AV102" i="19"/>
  <c r="AV103" i="19"/>
  <c r="AV104" i="19"/>
  <c r="AV105" i="19"/>
  <c r="AV106" i="19"/>
  <c r="AV107" i="19"/>
  <c r="AV108" i="19"/>
  <c r="AV109" i="19"/>
  <c r="AV110" i="19"/>
  <c r="AV111" i="19"/>
  <c r="AV112" i="19"/>
  <c r="AV113" i="19"/>
  <c r="AV114" i="19"/>
  <c r="AV115" i="19"/>
  <c r="AV116" i="19"/>
  <c r="AV117" i="19"/>
  <c r="AV118" i="19"/>
  <c r="AV119" i="19"/>
  <c r="AV120" i="19"/>
  <c r="AV121" i="19"/>
  <c r="AV122" i="19"/>
  <c r="AV123" i="19"/>
  <c r="AV124" i="19"/>
  <c r="AV125" i="19"/>
  <c r="AV126" i="19"/>
  <c r="AV127" i="19"/>
  <c r="AV128" i="19"/>
  <c r="AV129" i="19"/>
  <c r="AV130" i="19"/>
  <c r="AV131" i="19"/>
  <c r="AV132" i="19"/>
  <c r="AV133" i="19"/>
  <c r="AV134" i="19"/>
  <c r="AV135" i="19"/>
  <c r="AV136" i="19"/>
  <c r="AV137" i="19"/>
  <c r="AV138" i="19"/>
  <c r="AV139" i="19"/>
  <c r="AV140" i="19"/>
  <c r="AV141" i="19"/>
  <c r="AV142" i="19"/>
  <c r="AV143" i="19"/>
  <c r="AV144" i="19"/>
  <c r="AV145" i="19"/>
  <c r="AV146" i="19"/>
  <c r="AV147" i="19"/>
  <c r="AV148" i="19"/>
  <c r="AV149" i="19"/>
  <c r="AV150" i="19"/>
  <c r="AV151" i="19"/>
  <c r="AV152" i="19"/>
  <c r="AV153" i="19"/>
  <c r="AV154" i="19"/>
  <c r="AV155" i="19"/>
  <c r="AV156" i="19"/>
  <c r="AV157" i="19"/>
  <c r="AV158" i="19"/>
  <c r="AV159" i="19"/>
  <c r="AV160" i="19"/>
  <c r="AV161" i="19"/>
  <c r="AV162" i="19"/>
  <c r="AV163" i="19"/>
  <c r="AV164" i="19"/>
  <c r="AV165" i="19"/>
  <c r="AV166" i="19"/>
  <c r="AV167" i="19"/>
  <c r="AV168" i="19"/>
  <c r="AV169" i="19"/>
  <c r="AV170" i="19"/>
  <c r="AV171" i="19"/>
  <c r="AV172" i="19"/>
  <c r="AV173" i="19"/>
  <c r="AV174" i="19"/>
  <c r="AV175" i="19"/>
  <c r="AV176" i="19"/>
  <c r="AV177" i="19"/>
  <c r="AV178" i="19"/>
  <c r="AV179" i="19"/>
  <c r="AV180" i="19"/>
  <c r="AV181" i="19"/>
  <c r="AV182" i="19"/>
  <c r="AV183" i="19"/>
  <c r="AV184" i="19"/>
  <c r="AV185" i="19"/>
  <c r="AV186" i="19"/>
  <c r="AV187" i="19"/>
  <c r="AV188" i="19"/>
  <c r="AV189" i="19"/>
  <c r="AV190" i="19"/>
  <c r="AV191" i="19"/>
  <c r="AV192" i="19"/>
  <c r="AV193" i="19"/>
  <c r="AV194" i="19"/>
  <c r="AV195" i="19"/>
  <c r="AV196" i="19"/>
  <c r="AV197" i="19"/>
  <c r="AV198" i="19"/>
  <c r="AV199" i="19"/>
  <c r="AV200" i="19"/>
  <c r="AV201" i="19"/>
  <c r="AV202" i="19"/>
  <c r="AV203" i="19"/>
  <c r="AV204" i="19"/>
  <c r="AV205" i="19"/>
  <c r="AV206" i="19"/>
  <c r="AV207" i="19"/>
  <c r="AV208" i="19"/>
  <c r="AV209" i="19"/>
  <c r="AV210" i="19"/>
  <c r="AV211" i="19"/>
  <c r="AV212" i="19"/>
  <c r="AV213" i="19"/>
  <c r="AV214" i="19"/>
  <c r="AV215" i="19"/>
  <c r="AV216" i="19"/>
  <c r="AV217" i="19"/>
  <c r="AV218" i="19"/>
  <c r="AV219" i="19"/>
  <c r="AV220" i="19"/>
  <c r="AV221" i="19"/>
  <c r="AV222" i="19"/>
  <c r="AV223" i="19"/>
  <c r="AV224" i="19"/>
  <c r="AV225" i="19"/>
  <c r="AV226" i="19"/>
  <c r="AV227" i="19"/>
  <c r="AV228" i="19"/>
  <c r="AV229" i="19"/>
  <c r="AV230" i="19"/>
  <c r="AV231" i="19"/>
  <c r="AV232" i="19"/>
  <c r="AV233" i="19"/>
  <c r="AV234" i="19"/>
  <c r="AV235" i="19"/>
  <c r="AV236" i="19"/>
  <c r="AV237" i="19"/>
  <c r="AV238" i="19"/>
  <c r="AV239" i="19"/>
  <c r="AV240" i="19"/>
  <c r="AV241" i="19"/>
  <c r="AV242" i="19"/>
  <c r="AV243" i="19"/>
  <c r="AV244" i="19"/>
  <c r="AV245" i="19"/>
  <c r="AV246" i="19"/>
  <c r="AV247" i="19"/>
  <c r="AV248" i="19"/>
  <c r="AV249" i="19"/>
  <c r="AV250" i="19"/>
  <c r="AV251" i="19"/>
  <c r="AV252" i="19"/>
  <c r="AV253" i="19"/>
  <c r="AV254" i="19"/>
  <c r="AV255" i="19"/>
  <c r="AV256" i="19"/>
  <c r="AV257" i="19"/>
  <c r="AV258" i="19"/>
  <c r="AV259" i="19"/>
  <c r="AV260" i="19"/>
  <c r="AV261" i="19"/>
  <c r="AV262" i="19"/>
  <c r="AV263" i="19"/>
  <c r="AV264" i="19"/>
  <c r="AV265" i="19"/>
  <c r="AV266" i="19"/>
  <c r="AV267" i="19"/>
  <c r="AV268" i="19"/>
  <c r="AV269" i="19"/>
  <c r="AV270" i="19"/>
  <c r="AV271" i="19"/>
  <c r="AV272" i="19"/>
  <c r="AV273" i="19"/>
  <c r="AV274" i="19"/>
  <c r="AV275" i="19"/>
  <c r="AV276" i="19"/>
  <c r="AV277" i="19"/>
  <c r="AV278" i="19"/>
  <c r="AV279" i="19"/>
  <c r="R6" i="22"/>
  <c r="O6" i="22"/>
  <c r="J6" i="22"/>
  <c r="K6" i="22" s="1"/>
  <c r="R5" i="22"/>
  <c r="O5" i="22"/>
  <c r="J5" i="22"/>
  <c r="K5" i="22" s="1"/>
  <c r="R4" i="22"/>
  <c r="O4" i="22"/>
  <c r="J4" i="22"/>
  <c r="K4" i="22" s="1"/>
  <c r="R3" i="22"/>
  <c r="O3" i="22"/>
  <c r="J3" i="22"/>
  <c r="K3" i="22" s="1"/>
  <c r="A3" i="22"/>
  <c r="A4" i="22" s="1"/>
  <c r="A5" i="22" s="1"/>
  <c r="A6" i="22" s="1"/>
  <c r="R2" i="22"/>
  <c r="O2" i="22"/>
  <c r="J2" i="22"/>
  <c r="K2" i="22" s="1"/>
  <c r="AT2" i="19"/>
  <c r="AT3" i="19"/>
  <c r="AT4" i="19"/>
  <c r="AT5" i="19"/>
  <c r="AT6" i="19"/>
  <c r="AT7" i="19"/>
  <c r="AT8" i="19"/>
  <c r="AT9" i="19"/>
  <c r="AT10" i="19"/>
  <c r="AT11" i="19"/>
  <c r="AT12" i="19"/>
  <c r="AT13" i="19"/>
  <c r="AT14" i="19"/>
  <c r="AT15" i="19"/>
  <c r="AT16" i="19"/>
  <c r="AT17" i="19"/>
  <c r="AT18" i="19"/>
  <c r="AT19" i="19"/>
  <c r="AT20" i="19"/>
  <c r="AT21" i="19"/>
  <c r="AT22" i="19"/>
  <c r="AT23" i="19"/>
  <c r="AT24" i="19"/>
  <c r="AT25" i="19"/>
  <c r="AT26" i="19"/>
  <c r="AT27" i="19"/>
  <c r="AT28" i="19"/>
  <c r="AT29" i="19"/>
  <c r="AT30" i="19"/>
  <c r="AT31" i="19"/>
  <c r="AT32" i="19"/>
  <c r="AT33" i="19"/>
  <c r="AT34" i="19"/>
  <c r="AT35" i="19"/>
  <c r="AT36" i="19"/>
  <c r="AT37" i="19"/>
  <c r="AT38" i="19"/>
  <c r="AT39" i="19"/>
  <c r="AT40" i="19"/>
  <c r="AT41" i="19"/>
  <c r="AT42" i="19"/>
  <c r="AT43" i="19"/>
  <c r="AT44" i="19"/>
  <c r="AT45" i="19"/>
  <c r="AT46" i="19"/>
  <c r="AT47" i="19"/>
  <c r="AT48" i="19"/>
  <c r="AT49" i="19"/>
  <c r="AT50" i="19"/>
  <c r="AT51" i="19"/>
  <c r="AT52" i="19"/>
  <c r="AT53" i="19"/>
  <c r="AT54" i="19"/>
  <c r="AT55" i="19"/>
  <c r="AT56" i="19"/>
  <c r="AT57" i="19"/>
  <c r="AT58" i="19"/>
  <c r="AT59" i="19"/>
  <c r="AT60" i="19"/>
  <c r="AT61" i="19"/>
  <c r="AT62" i="19"/>
  <c r="AT63" i="19"/>
  <c r="AT64" i="19"/>
  <c r="AT65" i="19"/>
  <c r="AT66" i="19"/>
  <c r="AT67" i="19"/>
  <c r="AT68" i="19"/>
  <c r="AT69" i="19"/>
  <c r="AT70" i="19"/>
  <c r="AT71" i="19"/>
  <c r="AT72" i="19"/>
  <c r="AT73" i="19"/>
  <c r="AT74" i="19"/>
  <c r="AT75" i="19"/>
  <c r="AT76" i="19"/>
  <c r="AT77" i="19"/>
  <c r="AT78" i="19"/>
  <c r="AT79" i="19"/>
  <c r="AT80" i="19"/>
  <c r="AT81" i="19"/>
  <c r="AT82" i="19"/>
  <c r="AT83" i="19"/>
  <c r="AT84" i="19"/>
  <c r="AT85" i="19"/>
  <c r="AT86" i="19"/>
  <c r="AT87" i="19"/>
  <c r="AT88" i="19"/>
  <c r="AT89" i="19"/>
  <c r="AT90" i="19"/>
  <c r="AT91" i="19"/>
  <c r="AT92" i="19"/>
  <c r="AT93" i="19"/>
  <c r="AT94" i="19"/>
  <c r="AT95" i="19"/>
  <c r="AT96" i="19"/>
  <c r="AT97" i="19"/>
  <c r="AT98" i="19"/>
  <c r="AT99" i="19"/>
  <c r="AT100" i="19"/>
  <c r="AT101" i="19"/>
  <c r="AT102" i="19"/>
  <c r="AT103" i="19"/>
  <c r="AT104" i="19"/>
  <c r="AT105" i="19"/>
  <c r="AT106" i="19"/>
  <c r="AT107" i="19"/>
  <c r="AT108" i="19"/>
  <c r="AT109" i="19"/>
  <c r="AT110" i="19"/>
  <c r="AT111" i="19"/>
  <c r="AT112" i="19"/>
  <c r="AT113" i="19"/>
  <c r="AT114" i="19"/>
  <c r="AT115" i="19"/>
  <c r="AT116" i="19"/>
  <c r="AT117" i="19"/>
  <c r="AT118" i="19"/>
  <c r="AT119" i="19"/>
  <c r="AT120" i="19"/>
  <c r="AT121" i="19"/>
  <c r="AT122" i="19"/>
  <c r="AT123" i="19"/>
  <c r="AT124" i="19"/>
  <c r="AT125" i="19"/>
  <c r="AT126" i="19"/>
  <c r="AT127" i="19"/>
  <c r="AT128" i="19"/>
  <c r="AT129" i="19"/>
  <c r="AT130" i="19"/>
  <c r="AT131" i="19"/>
  <c r="AT132" i="19"/>
  <c r="AT133" i="19"/>
  <c r="AT134" i="19"/>
  <c r="AT135" i="19"/>
  <c r="AT136" i="19"/>
  <c r="AT137" i="19"/>
  <c r="AT138" i="19"/>
  <c r="AT139" i="19"/>
  <c r="AT140" i="19"/>
  <c r="AT141" i="19"/>
  <c r="AT142" i="19"/>
  <c r="AT143" i="19"/>
  <c r="AT144" i="19"/>
  <c r="AT145" i="19"/>
  <c r="AT146" i="19"/>
  <c r="AT147" i="19"/>
  <c r="AT148" i="19"/>
  <c r="AT149" i="19"/>
  <c r="AT150" i="19"/>
  <c r="AT151" i="19"/>
  <c r="AT152" i="19"/>
  <c r="AT153" i="19"/>
  <c r="AT154" i="19"/>
  <c r="AT155" i="19"/>
  <c r="AT156" i="19"/>
  <c r="AT157" i="19"/>
  <c r="AT158" i="19"/>
  <c r="AT159" i="19"/>
  <c r="AT160" i="19"/>
  <c r="AT161" i="19"/>
  <c r="AT162" i="19"/>
  <c r="AT163" i="19"/>
  <c r="AT164" i="19"/>
  <c r="AT165" i="19"/>
  <c r="AT166" i="19"/>
  <c r="AT167" i="19"/>
  <c r="AT168" i="19"/>
  <c r="AT169" i="19"/>
  <c r="AT170" i="19"/>
  <c r="AT171" i="19"/>
  <c r="AT172" i="19"/>
  <c r="AT173" i="19"/>
  <c r="AT174" i="19"/>
  <c r="AT175" i="19"/>
  <c r="AT176" i="19"/>
  <c r="AT177" i="19"/>
  <c r="AT178" i="19"/>
  <c r="AT179" i="19"/>
  <c r="AT180" i="19"/>
  <c r="AT181" i="19"/>
  <c r="AT182" i="19"/>
  <c r="AT183" i="19"/>
  <c r="AT184" i="19"/>
  <c r="AT185" i="19"/>
  <c r="AT186" i="19"/>
  <c r="AT187" i="19"/>
  <c r="AT188" i="19"/>
  <c r="AT189" i="19"/>
  <c r="AT190" i="19"/>
  <c r="AT191" i="19"/>
  <c r="AT192" i="19"/>
  <c r="AT193" i="19"/>
  <c r="AT194" i="19"/>
  <c r="AT195" i="19"/>
  <c r="AT196" i="19"/>
  <c r="AT197" i="19"/>
  <c r="AT198" i="19"/>
  <c r="AT199" i="19"/>
  <c r="AT200" i="19"/>
  <c r="AT201" i="19"/>
  <c r="AT202" i="19"/>
  <c r="AT203" i="19"/>
  <c r="AT204" i="19"/>
  <c r="AT205" i="19"/>
  <c r="AT206" i="19"/>
  <c r="AT207" i="19"/>
  <c r="AT208" i="19"/>
  <c r="AT209" i="19"/>
  <c r="AT210" i="19"/>
  <c r="AT211" i="19"/>
  <c r="AT212" i="19"/>
  <c r="AT213" i="19"/>
  <c r="AT214" i="19"/>
  <c r="AT215" i="19"/>
  <c r="AT216" i="19"/>
  <c r="AT217" i="19"/>
  <c r="AT218" i="19"/>
  <c r="AT219" i="19"/>
  <c r="AT220" i="19"/>
  <c r="AT221" i="19"/>
  <c r="AT222" i="19"/>
  <c r="AT223" i="19"/>
  <c r="AT224" i="19"/>
  <c r="AT225" i="19"/>
  <c r="AT226" i="19"/>
  <c r="AT227" i="19"/>
  <c r="AT228" i="19"/>
  <c r="AT229" i="19"/>
  <c r="AT230" i="19"/>
  <c r="AT231" i="19"/>
  <c r="AT232" i="19"/>
  <c r="AT233" i="19"/>
  <c r="AT234" i="19"/>
  <c r="AT235" i="19"/>
  <c r="AT236" i="19"/>
  <c r="AT237" i="19"/>
  <c r="AT238" i="19"/>
  <c r="AT239" i="19"/>
  <c r="AT240" i="19"/>
  <c r="AT241" i="19"/>
  <c r="AT242" i="19"/>
  <c r="AT243" i="19"/>
  <c r="AT244" i="19"/>
  <c r="AT245" i="19"/>
  <c r="AT246" i="19"/>
  <c r="AT247" i="19"/>
  <c r="AT248" i="19"/>
  <c r="AT249" i="19"/>
  <c r="AT250" i="19"/>
  <c r="AT251" i="19"/>
  <c r="AT252" i="19"/>
  <c r="AT253" i="19"/>
  <c r="AT254" i="19"/>
  <c r="AT255" i="19"/>
  <c r="AT256" i="19"/>
  <c r="AT257" i="19"/>
  <c r="AT258" i="19"/>
  <c r="AT259" i="19"/>
  <c r="AT260" i="19"/>
  <c r="AT261" i="19"/>
  <c r="AT262" i="19"/>
  <c r="AT263" i="19"/>
  <c r="AT264" i="19"/>
  <c r="AT265" i="19"/>
  <c r="AT266" i="19"/>
  <c r="AT267" i="19"/>
  <c r="AT268" i="19"/>
  <c r="AT269" i="19"/>
  <c r="AT270" i="19"/>
  <c r="AT271" i="19"/>
  <c r="AT272" i="19"/>
  <c r="AT273" i="19"/>
  <c r="AT274" i="19"/>
  <c r="AT275" i="19"/>
  <c r="AT276" i="19"/>
  <c r="AT277" i="19"/>
  <c r="AT278" i="19"/>
  <c r="AT279" i="19"/>
  <c r="AU2" i="19"/>
  <c r="AU3" i="19"/>
  <c r="AU4" i="19"/>
  <c r="AU5" i="19"/>
  <c r="AU6" i="19"/>
  <c r="AU7" i="19"/>
  <c r="AU8" i="19"/>
  <c r="AU9" i="19"/>
  <c r="AU10" i="19"/>
  <c r="AU11" i="19"/>
  <c r="AU12" i="19"/>
  <c r="AU13" i="19"/>
  <c r="AU14" i="19"/>
  <c r="AU15" i="19"/>
  <c r="AU16" i="19"/>
  <c r="AU17" i="19"/>
  <c r="AU18" i="19"/>
  <c r="AU19" i="19"/>
  <c r="AU20" i="19"/>
  <c r="AU21" i="19"/>
  <c r="AU22" i="19"/>
  <c r="AU23" i="19"/>
  <c r="AU24" i="19"/>
  <c r="AU25" i="19"/>
  <c r="AU26" i="19"/>
  <c r="AU27" i="19"/>
  <c r="AU28" i="19"/>
  <c r="AU29" i="19"/>
  <c r="AU30" i="19"/>
  <c r="AU31" i="19"/>
  <c r="AU32" i="19"/>
  <c r="AU33" i="19"/>
  <c r="AU34" i="19"/>
  <c r="AU35" i="19"/>
  <c r="AU36" i="19"/>
  <c r="AU37" i="19"/>
  <c r="AU38" i="19"/>
  <c r="AU39" i="19"/>
  <c r="AU40" i="19"/>
  <c r="AU41" i="19"/>
  <c r="AU42" i="19"/>
  <c r="AU43" i="19"/>
  <c r="AU44" i="19"/>
  <c r="AU45" i="19"/>
  <c r="AU46" i="19"/>
  <c r="AU47" i="19"/>
  <c r="AU48" i="19"/>
  <c r="AU49" i="19"/>
  <c r="AU50" i="19"/>
  <c r="AU51" i="19"/>
  <c r="AU52" i="19"/>
  <c r="AU53" i="19"/>
  <c r="AU54" i="19"/>
  <c r="AU55" i="19"/>
  <c r="AU56" i="19"/>
  <c r="AU57" i="19"/>
  <c r="AU58" i="19"/>
  <c r="AU59" i="19"/>
  <c r="AU60" i="19"/>
  <c r="AU61" i="19"/>
  <c r="AU62" i="19"/>
  <c r="AU63" i="19"/>
  <c r="AU64" i="19"/>
  <c r="AU65" i="19"/>
  <c r="AU66" i="19"/>
  <c r="AU67" i="19"/>
  <c r="AU68" i="19"/>
  <c r="AU69" i="19"/>
  <c r="AU70" i="19"/>
  <c r="AU71" i="19"/>
  <c r="AU72" i="19"/>
  <c r="AU73" i="19"/>
  <c r="AU74" i="19"/>
  <c r="AU75" i="19"/>
  <c r="AU76" i="19"/>
  <c r="AU77" i="19"/>
  <c r="AU78" i="19"/>
  <c r="AU79" i="19"/>
  <c r="AU80" i="19"/>
  <c r="AU81" i="19"/>
  <c r="AU82" i="19"/>
  <c r="AU83" i="19"/>
  <c r="AU84" i="19"/>
  <c r="AU85" i="19"/>
  <c r="AU86" i="19"/>
  <c r="AU87" i="19"/>
  <c r="AU88" i="19"/>
  <c r="AU89" i="19"/>
  <c r="AU90" i="19"/>
  <c r="AU91" i="19"/>
  <c r="AU92" i="19"/>
  <c r="AU93" i="19"/>
  <c r="AU94" i="19"/>
  <c r="AU95" i="19"/>
  <c r="AU96" i="19"/>
  <c r="AU97" i="19"/>
  <c r="AU98" i="19"/>
  <c r="AU99" i="19"/>
  <c r="AU100" i="19"/>
  <c r="AU101" i="19"/>
  <c r="AU102" i="19"/>
  <c r="AU103" i="19"/>
  <c r="AU104" i="19"/>
  <c r="AU105" i="19"/>
  <c r="AU106" i="19"/>
  <c r="AU107" i="19"/>
  <c r="AU108" i="19"/>
  <c r="AU109" i="19"/>
  <c r="AU110" i="19"/>
  <c r="AU111" i="19"/>
  <c r="AU112" i="19"/>
  <c r="AU113" i="19"/>
  <c r="AU114" i="19"/>
  <c r="AU115" i="19"/>
  <c r="AU116" i="19"/>
  <c r="AU117" i="19"/>
  <c r="AU118" i="19"/>
  <c r="AU119" i="19"/>
  <c r="AU120" i="19"/>
  <c r="AU121" i="19"/>
  <c r="AU122" i="19"/>
  <c r="AU123" i="19"/>
  <c r="AU124" i="19"/>
  <c r="AU125" i="19"/>
  <c r="AU126" i="19"/>
  <c r="AU127" i="19"/>
  <c r="AU128" i="19"/>
  <c r="AU129" i="19"/>
  <c r="AU130" i="19"/>
  <c r="AU131" i="19"/>
  <c r="AU132" i="19"/>
  <c r="AU133" i="19"/>
  <c r="AU134" i="19"/>
  <c r="AU135" i="19"/>
  <c r="AU136" i="19"/>
  <c r="AU137" i="19"/>
  <c r="AU138" i="19"/>
  <c r="AU139" i="19"/>
  <c r="AU140" i="19"/>
  <c r="AU141" i="19"/>
  <c r="AU142" i="19"/>
  <c r="AU143" i="19"/>
  <c r="AU144" i="19"/>
  <c r="AU145" i="19"/>
  <c r="AU146" i="19"/>
  <c r="AU147" i="19"/>
  <c r="AU148" i="19"/>
  <c r="AU149" i="19"/>
  <c r="AU150" i="19"/>
  <c r="AU151" i="19"/>
  <c r="AU152" i="19"/>
  <c r="AU153" i="19"/>
  <c r="AU154" i="19"/>
  <c r="AU155" i="19"/>
  <c r="AU156" i="19"/>
  <c r="AU157" i="19"/>
  <c r="AU158" i="19"/>
  <c r="AU159" i="19"/>
  <c r="AU160" i="19"/>
  <c r="AU161" i="19"/>
  <c r="AU162" i="19"/>
  <c r="AU163" i="19"/>
  <c r="AU164" i="19"/>
  <c r="AU165" i="19"/>
  <c r="AU166" i="19"/>
  <c r="AU167" i="19"/>
  <c r="AU168" i="19"/>
  <c r="AU169" i="19"/>
  <c r="AU170" i="19"/>
  <c r="AU171" i="19"/>
  <c r="AU172" i="19"/>
  <c r="AU173" i="19"/>
  <c r="AU174" i="19"/>
  <c r="AU175" i="19"/>
  <c r="AU176" i="19"/>
  <c r="AU177" i="19"/>
  <c r="AU178" i="19"/>
  <c r="AU179" i="19"/>
  <c r="AU180" i="19"/>
  <c r="AU181" i="19"/>
  <c r="AU182" i="19"/>
  <c r="AU183" i="19"/>
  <c r="AU184" i="19"/>
  <c r="AU185" i="19"/>
  <c r="AU186" i="19"/>
  <c r="AU187" i="19"/>
  <c r="AU188" i="19"/>
  <c r="AU189" i="19"/>
  <c r="AU190" i="19"/>
  <c r="AU191" i="19"/>
  <c r="AU192" i="19"/>
  <c r="AU193" i="19"/>
  <c r="AU194" i="19"/>
  <c r="AU195" i="19"/>
  <c r="AU196" i="19"/>
  <c r="AU197" i="19"/>
  <c r="AU198" i="19"/>
  <c r="AU199" i="19"/>
  <c r="AU200" i="19"/>
  <c r="AU201" i="19"/>
  <c r="AU202" i="19"/>
  <c r="AU203" i="19"/>
  <c r="AU204" i="19"/>
  <c r="AU205" i="19"/>
  <c r="AU206" i="19"/>
  <c r="AU207" i="19"/>
  <c r="AU208" i="19"/>
  <c r="AU209" i="19"/>
  <c r="AU210" i="19"/>
  <c r="AU211" i="19"/>
  <c r="AU212" i="19"/>
  <c r="AU213" i="19"/>
  <c r="AU214" i="19"/>
  <c r="AU215" i="19"/>
  <c r="AU216" i="19"/>
  <c r="AU217" i="19"/>
  <c r="AU218" i="19"/>
  <c r="AU219" i="19"/>
  <c r="AU220" i="19"/>
  <c r="AU221" i="19"/>
  <c r="AU222" i="19"/>
  <c r="AU223" i="19"/>
  <c r="AU224" i="19"/>
  <c r="AU225" i="19"/>
  <c r="AU226" i="19"/>
  <c r="AU227" i="19"/>
  <c r="AU228" i="19"/>
  <c r="AU229" i="19"/>
  <c r="AU230" i="19"/>
  <c r="AU231" i="19"/>
  <c r="AU232" i="19"/>
  <c r="AU233" i="19"/>
  <c r="AU234" i="19"/>
  <c r="AU235" i="19"/>
  <c r="AU236" i="19"/>
  <c r="AU237" i="19"/>
  <c r="AU238" i="19"/>
  <c r="AU239" i="19"/>
  <c r="AU240" i="19"/>
  <c r="AU241" i="19"/>
  <c r="AU242" i="19"/>
  <c r="AU243" i="19"/>
  <c r="AU244" i="19"/>
  <c r="AU245" i="19"/>
  <c r="AU246" i="19"/>
  <c r="AU247" i="19"/>
  <c r="AU248" i="19"/>
  <c r="AU249" i="19"/>
  <c r="AU250" i="19"/>
  <c r="AU251" i="19"/>
  <c r="AU252" i="19"/>
  <c r="AU253" i="19"/>
  <c r="AU254" i="19"/>
  <c r="AU255" i="19"/>
  <c r="AU256" i="19"/>
  <c r="AU257" i="19"/>
  <c r="AU258" i="19"/>
  <c r="AU259" i="19"/>
  <c r="AU260" i="19"/>
  <c r="AU261" i="19"/>
  <c r="AU262" i="19"/>
  <c r="AU263" i="19"/>
  <c r="AU264" i="19"/>
  <c r="AU265" i="19"/>
  <c r="AU266" i="19"/>
  <c r="AU267" i="19"/>
  <c r="AU268" i="19"/>
  <c r="AU269" i="19"/>
  <c r="AU270" i="19"/>
  <c r="AU271" i="19"/>
  <c r="AU272" i="19"/>
  <c r="AU273" i="19"/>
  <c r="AU274" i="19"/>
  <c r="AU275" i="19"/>
  <c r="AU276" i="19"/>
  <c r="AU277" i="19"/>
  <c r="AU278" i="19"/>
  <c r="AU279" i="19"/>
  <c r="E2" i="21"/>
  <c r="E3" i="21"/>
  <c r="E4" i="21"/>
  <c r="E5" i="21"/>
  <c r="H35" i="23" l="1"/>
  <c r="AM35" i="23"/>
  <c r="H39" i="23"/>
  <c r="H37" i="23"/>
  <c r="H36" i="23"/>
  <c r="AM36" i="23"/>
  <c r="H38" i="23"/>
  <c r="P1226" i="7"/>
  <c r="U1226" i="7"/>
  <c r="Q1226" i="7"/>
  <c r="T1226" i="7"/>
  <c r="O1221" i="7"/>
  <c r="R1226" i="7"/>
  <c r="N1221" i="7"/>
  <c r="M1221" i="7"/>
  <c r="S1226" i="7"/>
  <c r="S1219" i="7"/>
  <c r="AK39" i="23"/>
  <c r="K11" i="24"/>
  <c r="K9" i="24"/>
  <c r="K5" i="24"/>
  <c r="AM2" i="23"/>
  <c r="L1217" i="7"/>
  <c r="O1217" i="7"/>
  <c r="N1217" i="7"/>
  <c r="N1222" i="7"/>
  <c r="M1222" i="7"/>
  <c r="O1222" i="7"/>
  <c r="L1222" i="7"/>
  <c r="M1217" i="7"/>
  <c r="L1225" i="7"/>
  <c r="N1223" i="7"/>
  <c r="O1223" i="7"/>
  <c r="N1218" i="7"/>
  <c r="O1218" i="7"/>
  <c r="L1218" i="7"/>
  <c r="M1218" i="7"/>
  <c r="N1224" i="7"/>
  <c r="O1224" i="7"/>
  <c r="L1224" i="7"/>
  <c r="M1224" i="7"/>
  <c r="U1220" i="7"/>
  <c r="T1220" i="7"/>
  <c r="P1220" i="7"/>
  <c r="Q1220" i="7"/>
  <c r="M1223" i="7"/>
  <c r="L1223" i="7"/>
  <c r="N1220" i="7"/>
  <c r="L1220" i="7"/>
  <c r="M1220" i="7"/>
  <c r="O1220" i="7"/>
  <c r="N1226" i="7"/>
  <c r="L1226" i="7"/>
  <c r="O1226" i="7"/>
  <c r="M1226" i="7"/>
  <c r="N1219" i="7"/>
  <c r="O1219" i="7"/>
  <c r="N1225" i="7"/>
  <c r="O1225" i="7"/>
  <c r="M1219" i="7"/>
  <c r="R1220" i="7"/>
  <c r="K12" i="23"/>
  <c r="K22" i="23"/>
  <c r="K31" i="23"/>
  <c r="K11" i="23"/>
  <c r="K3" i="23"/>
  <c r="K29" i="23"/>
  <c r="K21" i="23"/>
  <c r="K23" i="23"/>
  <c r="K15" i="23"/>
  <c r="K14" i="24"/>
  <c r="K8" i="24"/>
  <c r="AC9" i="24"/>
  <c r="AC10" i="24"/>
  <c r="AC7" i="24"/>
  <c r="K10" i="24"/>
  <c r="AC11" i="24"/>
  <c r="K2" i="24"/>
  <c r="AC13" i="24"/>
  <c r="AC3" i="24"/>
  <c r="K7" i="24"/>
  <c r="H11" i="24"/>
  <c r="AC12" i="24"/>
  <c r="AC15" i="24"/>
  <c r="H14" i="24"/>
  <c r="H6" i="24"/>
  <c r="K6" i="24"/>
  <c r="K4" i="24"/>
  <c r="K3" i="24"/>
  <c r="K13" i="24"/>
  <c r="K12" i="24"/>
  <c r="K15" i="24"/>
  <c r="H7" i="24"/>
  <c r="H9" i="24"/>
  <c r="K25" i="23"/>
  <c r="K16" i="23"/>
  <c r="K24" i="23"/>
  <c r="K37" i="23"/>
  <c r="K28" i="23"/>
  <c r="AK10" i="23"/>
  <c r="K4" i="23"/>
  <c r="K5" i="23"/>
  <c r="K7" i="23"/>
  <c r="K10" i="23"/>
  <c r="AK4" i="23"/>
  <c r="AK9" i="23"/>
  <c r="K39" i="23"/>
  <c r="AK20" i="23"/>
  <c r="K27" i="23"/>
  <c r="K36" i="23"/>
  <c r="K13" i="23"/>
  <c r="AK23" i="23"/>
  <c r="K35" i="23"/>
  <c r="AK13" i="23"/>
  <c r="AK35" i="23"/>
  <c r="AK19" i="23"/>
  <c r="AK24" i="23"/>
  <c r="AK12" i="23"/>
  <c r="AK31" i="23"/>
  <c r="K17" i="23"/>
  <c r="K19" i="23"/>
  <c r="K20" i="23"/>
  <c r="K33" i="23"/>
  <c r="K32" i="23"/>
  <c r="K2" i="23"/>
  <c r="K34" i="23"/>
  <c r="K8" i="23"/>
  <c r="K9" i="23"/>
  <c r="AK7" i="23"/>
  <c r="AK14" i="23"/>
  <c r="AK15" i="23"/>
  <c r="AK18" i="23"/>
  <c r="AK22" i="23"/>
  <c r="AK27" i="23"/>
  <c r="AK30" i="23"/>
  <c r="AK32" i="23"/>
  <c r="AK25" i="23"/>
  <c r="AK2" i="23"/>
  <c r="AK34" i="23"/>
  <c r="AK37" i="23"/>
  <c r="AK38" i="23"/>
  <c r="AK3" i="23"/>
  <c r="K14" i="23"/>
  <c r="AK11" i="23"/>
  <c r="AK5" i="23"/>
  <c r="K26" i="23"/>
  <c r="K6" i="23"/>
  <c r="AK8" i="23"/>
  <c r="K38" i="23"/>
  <c r="AK26" i="23"/>
  <c r="AK6" i="23"/>
  <c r="AK16" i="23"/>
  <c r="K18" i="23"/>
  <c r="AK28" i="23"/>
  <c r="K30" i="23"/>
  <c r="J5" i="21"/>
  <c r="H5" i="21"/>
  <c r="J4" i="21"/>
  <c r="H4" i="21"/>
  <c r="J3" i="21"/>
  <c r="H3" i="21"/>
  <c r="J2" i="21"/>
  <c r="H2" i="21"/>
  <c r="J1217" i="6"/>
  <c r="K1217" i="6"/>
  <c r="L1217" i="6"/>
  <c r="M1217" i="6"/>
  <c r="N1217" i="6"/>
  <c r="O1217" i="6"/>
  <c r="G1225" i="7"/>
  <c r="G1226" i="7"/>
  <c r="H1225" i="7"/>
  <c r="H1226" i="7"/>
  <c r="I1225" i="7"/>
  <c r="I1226" i="7"/>
  <c r="AC121" i="4"/>
  <c r="AD121" i="4"/>
  <c r="G121" i="4"/>
  <c r="I121" i="4"/>
  <c r="J121" i="4"/>
  <c r="AA121" i="4"/>
  <c r="AB121" i="4"/>
  <c r="AI121" i="4"/>
  <c r="K121" i="4" l="1"/>
  <c r="Q1217" i="6"/>
  <c r="P1216" i="7" s="1"/>
  <c r="AK36" i="23"/>
  <c r="AK33" i="23"/>
  <c r="AK21" i="23"/>
  <c r="AK17" i="23"/>
  <c r="AK29" i="23"/>
  <c r="J1218" i="7"/>
  <c r="K1218" i="7"/>
  <c r="J1219" i="7"/>
  <c r="K1219" i="7"/>
  <c r="P1217" i="6"/>
  <c r="M1216" i="7" s="1"/>
  <c r="U1216" i="7"/>
  <c r="Q1216" i="7"/>
  <c r="R1216" i="7"/>
  <c r="T1216" i="7"/>
  <c r="S1216" i="7" l="1"/>
  <c r="L1216" i="7"/>
  <c r="J1216" i="7"/>
  <c r="K1216" i="7"/>
  <c r="O1216" i="7"/>
  <c r="N1216" i="7"/>
  <c r="J1217" i="7"/>
  <c r="K1217" i="7"/>
  <c r="J1220" i="7"/>
  <c r="K1220" i="7"/>
  <c r="F127" i="1" l="1"/>
  <c r="H127" i="1"/>
  <c r="AB127" i="1"/>
  <c r="AC127" i="1"/>
  <c r="AD127" i="1"/>
  <c r="AF127" i="1"/>
  <c r="AG127" i="1" s="1"/>
  <c r="AI127" i="1"/>
  <c r="C1219" i="15"/>
  <c r="G1219" i="15"/>
  <c r="H1219" i="15"/>
  <c r="Q1219" i="15"/>
  <c r="Q1218" i="15"/>
  <c r="H1218" i="15"/>
  <c r="G1218" i="15"/>
  <c r="C1218" i="15"/>
  <c r="AE127" i="1" l="1"/>
  <c r="H126" i="1"/>
  <c r="AB126" i="1"/>
  <c r="AC126" i="1"/>
  <c r="AD126" i="1"/>
  <c r="AF126" i="1"/>
  <c r="AG126" i="1" s="1"/>
  <c r="AI126" i="1"/>
  <c r="F126" i="1"/>
  <c r="C1217" i="15"/>
  <c r="G1217" i="15"/>
  <c r="H1217" i="15"/>
  <c r="Q1217" i="15"/>
  <c r="F125" i="1"/>
  <c r="H125" i="1"/>
  <c r="AB125" i="1"/>
  <c r="AC125" i="1"/>
  <c r="AD125" i="1"/>
  <c r="AF125" i="1"/>
  <c r="AG125" i="1" s="1"/>
  <c r="AI125" i="1"/>
  <c r="AE126" i="1" l="1"/>
  <c r="AE125" i="1"/>
  <c r="J1215" i="6"/>
  <c r="K1215" i="6"/>
  <c r="L1215" i="6"/>
  <c r="M1215" i="6"/>
  <c r="N1215" i="6"/>
  <c r="O1215" i="6"/>
  <c r="J1216" i="6"/>
  <c r="K1216" i="6"/>
  <c r="L1216" i="6"/>
  <c r="M1216" i="6"/>
  <c r="P1216" i="6" s="1"/>
  <c r="N1216" i="6"/>
  <c r="O1216" i="6"/>
  <c r="C1216" i="15"/>
  <c r="AC120" i="4"/>
  <c r="AD120" i="4"/>
  <c r="AI120" i="4" s="1"/>
  <c r="G120" i="4"/>
  <c r="A120" i="4"/>
  <c r="A121" i="4" s="1"/>
  <c r="A122" i="4" s="1"/>
  <c r="A123" i="4" s="1"/>
  <c r="A124" i="4" s="1"/>
  <c r="A125" i="4" s="1"/>
  <c r="I120" i="4"/>
  <c r="J120" i="4"/>
  <c r="AA120" i="4"/>
  <c r="AB120" i="4"/>
  <c r="F124" i="1"/>
  <c r="H124" i="1"/>
  <c r="AB124" i="1"/>
  <c r="AC124" i="1"/>
  <c r="AD124" i="1"/>
  <c r="AF124" i="1"/>
  <c r="AG124" i="1" s="1"/>
  <c r="AI124" i="1"/>
  <c r="J1213" i="6"/>
  <c r="K1213" i="6"/>
  <c r="L1213" i="6"/>
  <c r="M1213" i="6"/>
  <c r="N1213" i="6"/>
  <c r="O1213" i="6"/>
  <c r="J1214" i="6"/>
  <c r="K1214" i="6"/>
  <c r="L1214" i="6"/>
  <c r="M1214" i="6"/>
  <c r="N1214" i="6"/>
  <c r="O1214" i="6"/>
  <c r="J1201" i="6"/>
  <c r="K1201" i="6"/>
  <c r="L1201" i="6"/>
  <c r="M1201" i="6"/>
  <c r="N1201" i="6"/>
  <c r="O1201" i="6"/>
  <c r="J1202" i="6"/>
  <c r="K1202" i="6"/>
  <c r="L1202" i="6"/>
  <c r="M1202" i="6"/>
  <c r="N1202" i="6"/>
  <c r="O1202" i="6"/>
  <c r="J1203" i="6"/>
  <c r="K1203" i="6"/>
  <c r="L1203" i="6"/>
  <c r="M1203" i="6"/>
  <c r="N1203" i="6"/>
  <c r="O1203" i="6"/>
  <c r="J1204" i="6"/>
  <c r="K1204" i="6"/>
  <c r="L1204" i="6"/>
  <c r="M1204" i="6"/>
  <c r="N1204" i="6"/>
  <c r="O1204" i="6"/>
  <c r="J1205" i="6"/>
  <c r="K1205" i="6"/>
  <c r="L1205" i="6"/>
  <c r="M1205" i="6"/>
  <c r="N1205" i="6"/>
  <c r="O1205" i="6"/>
  <c r="J1206" i="6"/>
  <c r="K1206" i="6"/>
  <c r="L1206" i="6"/>
  <c r="M1206" i="6"/>
  <c r="N1206" i="6"/>
  <c r="O1206" i="6"/>
  <c r="J1207" i="6"/>
  <c r="K1207" i="6"/>
  <c r="L1207" i="6"/>
  <c r="M1207" i="6"/>
  <c r="N1207" i="6"/>
  <c r="O1207" i="6"/>
  <c r="J1208" i="6"/>
  <c r="K1208" i="6"/>
  <c r="L1208" i="6"/>
  <c r="M1208" i="6"/>
  <c r="N1208" i="6"/>
  <c r="O1208" i="6"/>
  <c r="J1209" i="6"/>
  <c r="K1209" i="6"/>
  <c r="L1209" i="6"/>
  <c r="M1209" i="6"/>
  <c r="N1209" i="6"/>
  <c r="O1209" i="6"/>
  <c r="J1210" i="6"/>
  <c r="K1210" i="6"/>
  <c r="L1210" i="6"/>
  <c r="M1210" i="6"/>
  <c r="N1210" i="6"/>
  <c r="O1210" i="6"/>
  <c r="J1211" i="6"/>
  <c r="K1211" i="6"/>
  <c r="L1211" i="6"/>
  <c r="M1211" i="6"/>
  <c r="N1211" i="6"/>
  <c r="O1211" i="6"/>
  <c r="J1212" i="6"/>
  <c r="K1212" i="6"/>
  <c r="L1212" i="6"/>
  <c r="M1212" i="6"/>
  <c r="N1212" i="6"/>
  <c r="O1212" i="6"/>
  <c r="C1215" i="15"/>
  <c r="C1214" i="15"/>
  <c r="G1214" i="15"/>
  <c r="G1215" i="15"/>
  <c r="G1216" i="15"/>
  <c r="Q1214" i="15"/>
  <c r="Q1215" i="15"/>
  <c r="Q1216" i="15"/>
  <c r="H1214" i="15"/>
  <c r="H1215" i="15" s="1"/>
  <c r="H1216" i="15" s="1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H1209" i="7"/>
  <c r="H1210" i="7"/>
  <c r="H1211" i="7"/>
  <c r="H1212" i="7"/>
  <c r="H1213" i="7" s="1"/>
  <c r="H1214" i="7" s="1"/>
  <c r="H1215" i="7" s="1"/>
  <c r="H1216" i="7" s="1"/>
  <c r="H1217" i="7" s="1"/>
  <c r="H1218" i="7" s="1"/>
  <c r="H1219" i="7" s="1"/>
  <c r="H1220" i="7" s="1"/>
  <c r="H1221" i="7" s="1"/>
  <c r="H1222" i="7" s="1"/>
  <c r="H1223" i="7" s="1"/>
  <c r="H1224" i="7" s="1"/>
  <c r="F123" i="1"/>
  <c r="H123" i="1"/>
  <c r="AB123" i="1"/>
  <c r="AC123" i="1"/>
  <c r="AD123" i="1"/>
  <c r="AF123" i="1"/>
  <c r="AG123" i="1" s="1"/>
  <c r="AI123" i="1"/>
  <c r="C1216" i="14"/>
  <c r="C1215" i="14"/>
  <c r="C1214" i="14"/>
  <c r="C1213" i="14"/>
  <c r="G1213" i="14"/>
  <c r="G1214" i="14"/>
  <c r="G1215" i="14"/>
  <c r="G1216" i="14"/>
  <c r="Q1213" i="14"/>
  <c r="Q1214" i="14"/>
  <c r="Q1215" i="14"/>
  <c r="Q1216" i="14"/>
  <c r="H1213" i="14"/>
  <c r="H1214" i="14"/>
  <c r="H1215" i="14" s="1"/>
  <c r="H1216" i="14" s="1"/>
  <c r="F122" i="1"/>
  <c r="H122" i="1"/>
  <c r="AB122" i="1"/>
  <c r="AC122" i="1"/>
  <c r="AD122" i="1"/>
  <c r="AF122" i="1"/>
  <c r="AG122" i="1" s="1"/>
  <c r="AI122" i="1"/>
  <c r="Q1213" i="6" l="1"/>
  <c r="P1212" i="7" s="1"/>
  <c r="Q1215" i="6"/>
  <c r="Q1206" i="6"/>
  <c r="R1205" i="7" s="1"/>
  <c r="Q1202" i="6"/>
  <c r="Q1216" i="6"/>
  <c r="R1215" i="7" s="1"/>
  <c r="K120" i="4"/>
  <c r="Q1205" i="6"/>
  <c r="AE124" i="1"/>
  <c r="Q1204" i="6"/>
  <c r="AE123" i="1"/>
  <c r="Q1212" i="6"/>
  <c r="P1211" i="7" s="1"/>
  <c r="Q1205" i="7"/>
  <c r="P1203" i="6"/>
  <c r="Q1201" i="6"/>
  <c r="P1215" i="6"/>
  <c r="P1204" i="6"/>
  <c r="Q1203" i="6"/>
  <c r="P1214" i="7"/>
  <c r="Q1214" i="6"/>
  <c r="P1213" i="7" s="1"/>
  <c r="Q1208" i="6"/>
  <c r="T1207" i="7" s="1"/>
  <c r="P1205" i="6"/>
  <c r="P1201" i="6"/>
  <c r="U1205" i="7"/>
  <c r="Q1209" i="6"/>
  <c r="P1211" i="6"/>
  <c r="N1210" i="7" s="1"/>
  <c r="S1205" i="7"/>
  <c r="P1202" i="6"/>
  <c r="L1215" i="7"/>
  <c r="S1212" i="7"/>
  <c r="P1214" i="6"/>
  <c r="L1213" i="7" s="1"/>
  <c r="P1213" i="6"/>
  <c r="L1212" i="7" s="1"/>
  <c r="J1210" i="7"/>
  <c r="Q1207" i="6"/>
  <c r="P1212" i="6"/>
  <c r="L1211" i="7" s="1"/>
  <c r="P1210" i="6"/>
  <c r="M1209" i="7" s="1"/>
  <c r="P1209" i="6"/>
  <c r="P1208" i="6"/>
  <c r="P1207" i="6"/>
  <c r="P1206" i="6"/>
  <c r="Q1210" i="6"/>
  <c r="P1205" i="7"/>
  <c r="R1214" i="7"/>
  <c r="R1213" i="7"/>
  <c r="R1212" i="7"/>
  <c r="Q1215" i="7"/>
  <c r="U1212" i="7"/>
  <c r="Q1212" i="7"/>
  <c r="Q1211" i="6"/>
  <c r="T1205" i="7"/>
  <c r="T1215" i="7"/>
  <c r="T1214" i="7"/>
  <c r="T1212" i="7"/>
  <c r="T1211" i="7"/>
  <c r="J1221" i="7"/>
  <c r="AE122" i="1"/>
  <c r="Q1213" i="15"/>
  <c r="H1213" i="15"/>
  <c r="G1213" i="15"/>
  <c r="C1213" i="15"/>
  <c r="Q1212" i="14"/>
  <c r="H1212" i="14"/>
  <c r="G1212" i="14"/>
  <c r="C1212" i="14"/>
  <c r="K1221" i="7" l="1"/>
  <c r="Q1211" i="7"/>
  <c r="U1211" i="7"/>
  <c r="R1211" i="7"/>
  <c r="U1215" i="7"/>
  <c r="S1207" i="7"/>
  <c r="P1207" i="7"/>
  <c r="Q1207" i="7"/>
  <c r="T1213" i="7"/>
  <c r="Q1213" i="7"/>
  <c r="U1213" i="7"/>
  <c r="M1213" i="7"/>
  <c r="K1210" i="7"/>
  <c r="U1207" i="7"/>
  <c r="L1209" i="7"/>
  <c r="S1213" i="7"/>
  <c r="S1211" i="7"/>
  <c r="T1208" i="7"/>
  <c r="U1208" i="7"/>
  <c r="Q1208" i="7"/>
  <c r="S1214" i="7"/>
  <c r="R1208" i="7"/>
  <c r="Q1214" i="7"/>
  <c r="M1212" i="7"/>
  <c r="P1208" i="7"/>
  <c r="L1210" i="7"/>
  <c r="O1210" i="7"/>
  <c r="M1210" i="7"/>
  <c r="U1214" i="7"/>
  <c r="R1207" i="7"/>
  <c r="S1208" i="7"/>
  <c r="P1215" i="7"/>
  <c r="S1215" i="7"/>
  <c r="P1209" i="7"/>
  <c r="T1209" i="7"/>
  <c r="Q1209" i="7"/>
  <c r="U1209" i="7"/>
  <c r="R1209" i="7"/>
  <c r="S1209" i="7"/>
  <c r="N1214" i="7"/>
  <c r="O1214" i="7"/>
  <c r="J1214" i="7"/>
  <c r="K1214" i="7"/>
  <c r="J1205" i="7"/>
  <c r="N1205" i="7"/>
  <c r="K1205" i="7"/>
  <c r="O1205" i="7"/>
  <c r="M1205" i="7"/>
  <c r="L1205" i="7"/>
  <c r="N1209" i="7"/>
  <c r="O1209" i="7"/>
  <c r="K1209" i="7"/>
  <c r="J1209" i="7"/>
  <c r="M1211" i="7"/>
  <c r="M1214" i="7"/>
  <c r="J1208" i="7"/>
  <c r="N1208" i="7"/>
  <c r="K1208" i="7"/>
  <c r="O1208" i="7"/>
  <c r="L1208" i="7"/>
  <c r="M1208" i="7"/>
  <c r="T1206" i="7"/>
  <c r="U1206" i="7"/>
  <c r="P1206" i="7"/>
  <c r="Q1206" i="7"/>
  <c r="J1206" i="7"/>
  <c r="N1206" i="7"/>
  <c r="K1206" i="7"/>
  <c r="O1206" i="7"/>
  <c r="L1206" i="7"/>
  <c r="M1206" i="7"/>
  <c r="N1211" i="7"/>
  <c r="K1211" i="7"/>
  <c r="O1211" i="7"/>
  <c r="J1211" i="7"/>
  <c r="L1214" i="7"/>
  <c r="S1206" i="7"/>
  <c r="O1215" i="7"/>
  <c r="N1215" i="7"/>
  <c r="J1215" i="7"/>
  <c r="K1215" i="7"/>
  <c r="P1210" i="7"/>
  <c r="T1210" i="7"/>
  <c r="Q1210" i="7"/>
  <c r="U1210" i="7"/>
  <c r="R1210" i="7"/>
  <c r="S1210" i="7"/>
  <c r="N1212" i="7"/>
  <c r="K1212" i="7"/>
  <c r="O1212" i="7"/>
  <c r="J1212" i="7"/>
  <c r="J1207" i="7"/>
  <c r="N1207" i="7"/>
  <c r="K1207" i="7"/>
  <c r="O1207" i="7"/>
  <c r="L1207" i="7"/>
  <c r="M1207" i="7"/>
  <c r="N1213" i="7"/>
  <c r="K1213" i="7"/>
  <c r="O1213" i="7"/>
  <c r="J1213" i="7"/>
  <c r="R1206" i="7"/>
  <c r="M1215" i="7"/>
  <c r="H121" i="1"/>
  <c r="AB121" i="1"/>
  <c r="AC121" i="1"/>
  <c r="AD121" i="1"/>
  <c r="AF121" i="1"/>
  <c r="AG121" i="1" s="1"/>
  <c r="AI121" i="1"/>
  <c r="F121" i="1"/>
  <c r="AD119" i="4"/>
  <c r="AI119" i="4" s="1"/>
  <c r="AC119" i="4"/>
  <c r="I119" i="4"/>
  <c r="J119" i="4"/>
  <c r="AA119" i="4"/>
  <c r="AB119" i="4"/>
  <c r="G119" i="4"/>
  <c r="AD118" i="4"/>
  <c r="AC118" i="4"/>
  <c r="Q1212" i="15"/>
  <c r="H1212" i="15"/>
  <c r="G1212" i="15"/>
  <c r="C1212" i="15"/>
  <c r="K119" i="4" l="1"/>
  <c r="AE121" i="1"/>
  <c r="H120" i="1"/>
  <c r="AB120" i="1"/>
  <c r="AC120" i="1"/>
  <c r="AD120" i="1"/>
  <c r="AF120" i="1"/>
  <c r="AG120" i="1" s="1"/>
  <c r="AI120" i="1"/>
  <c r="F120" i="1"/>
  <c r="Q1211" i="15"/>
  <c r="H1211" i="15"/>
  <c r="G1211" i="15"/>
  <c r="C1211" i="15"/>
  <c r="AE120" i="1" l="1"/>
  <c r="Q1211" i="14"/>
  <c r="H1211" i="14"/>
  <c r="G1211" i="14"/>
  <c r="C1211" i="14"/>
  <c r="H119" i="1" l="1"/>
  <c r="AB119" i="1"/>
  <c r="AC119" i="1"/>
  <c r="AD119" i="1"/>
  <c r="AF119" i="1"/>
  <c r="AG119" i="1" s="1"/>
  <c r="AI119" i="1"/>
  <c r="F119" i="1"/>
  <c r="Q1210" i="15"/>
  <c r="H1210" i="15"/>
  <c r="G1210" i="15"/>
  <c r="C1210" i="15"/>
  <c r="Q1210" i="14"/>
  <c r="H1210" i="14"/>
  <c r="G1210" i="14"/>
  <c r="C1210" i="14"/>
  <c r="AE119" i="1" l="1"/>
  <c r="H118" i="1"/>
  <c r="AB118" i="1"/>
  <c r="AC118" i="1"/>
  <c r="AD118" i="1"/>
  <c r="AF118" i="1"/>
  <c r="AG118" i="1" s="1"/>
  <c r="AI118" i="1"/>
  <c r="F118" i="1"/>
  <c r="AE118" i="1" l="1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AA118" i="4"/>
  <c r="AB118" i="4"/>
  <c r="K118" i="4" l="1"/>
  <c r="H117" i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Q1207" i="15"/>
  <c r="H1207" i="15"/>
  <c r="G1207" i="15"/>
  <c r="C1207" i="15"/>
  <c r="Q1207" i="14"/>
  <c r="H1207" i="14"/>
  <c r="G1207" i="14"/>
  <c r="C1207" i="14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F114" i="1"/>
  <c r="H114" i="1"/>
  <c r="AB114" i="1"/>
  <c r="AC114" i="1"/>
  <c r="AD114" i="1"/>
  <c r="AF114" i="1"/>
  <c r="AG114" i="1" s="1"/>
  <c r="AI114" i="1"/>
  <c r="AE115" i="1" l="1"/>
  <c r="AE114" i="1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K116" i="4" s="1"/>
  <c r="AA116" i="4"/>
  <c r="AB116" i="4"/>
  <c r="F113" i="1" l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AE112" i="1" l="1"/>
  <c r="K1204" i="7"/>
  <c r="O1201" i="7"/>
  <c r="AE111" i="1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U1204" i="7"/>
  <c r="P1200" i="6"/>
  <c r="M1199" i="7" s="1"/>
  <c r="Q1199" i="6"/>
  <c r="N1204" i="7"/>
  <c r="T1203" i="7"/>
  <c r="R1203" i="7"/>
  <c r="U1203" i="7"/>
  <c r="S1203" i="7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S1199" i="7"/>
  <c r="T1195" i="7"/>
  <c r="P1199" i="7"/>
  <c r="U1196" i="7"/>
  <c r="R1204" i="7"/>
  <c r="Q1200" i="7"/>
  <c r="Q1201" i="7"/>
  <c r="R1201" i="7"/>
  <c r="P1203" i="7"/>
  <c r="R1196" i="7"/>
  <c r="U1200" i="7"/>
  <c r="U1201" i="7"/>
  <c r="S1201" i="7"/>
  <c r="T1199" i="7"/>
  <c r="S1200" i="7"/>
  <c r="K1199" i="7"/>
  <c r="J1199" i="7"/>
  <c r="P1204" i="7"/>
  <c r="T1204" i="7"/>
  <c r="O1199" i="7"/>
  <c r="Q1204" i="7"/>
  <c r="N1199" i="7"/>
  <c r="Q1199" i="7"/>
  <c r="U1199" i="7"/>
  <c r="S1204" i="7"/>
  <c r="J1203" i="7"/>
  <c r="M1203" i="7"/>
  <c r="O1203" i="7"/>
  <c r="L1203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Q1200" i="15" l="1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G1173" i="14"/>
  <c r="H1173" i="14"/>
  <c r="C1173" i="14" s="1"/>
  <c r="Q1173" i="14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AC91" i="4" l="1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C88" i="4" l="1"/>
  <c r="AD88" i="4"/>
  <c r="AI88" i="4" s="1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C86" i="4" l="1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C1164" i="14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J1232" i="6"/>
  <c r="J1233" i="6"/>
  <c r="J1234" i="6"/>
  <c r="J1235" i="6"/>
  <c r="J1236" i="6"/>
  <c r="J1237" i="6"/>
  <c r="K1232" i="6"/>
  <c r="K1233" i="6"/>
  <c r="K1234" i="6"/>
  <c r="K1235" i="6"/>
  <c r="K1236" i="6"/>
  <c r="K1237" i="6"/>
  <c r="L1232" i="6"/>
  <c r="L1233" i="6"/>
  <c r="L1234" i="6"/>
  <c r="L1235" i="6"/>
  <c r="L1236" i="6"/>
  <c r="L1237" i="6"/>
  <c r="M1232" i="6"/>
  <c r="M1233" i="6"/>
  <c r="M1234" i="6"/>
  <c r="M1235" i="6"/>
  <c r="M1236" i="6"/>
  <c r="M1237" i="6"/>
  <c r="N1232" i="6"/>
  <c r="N1233" i="6"/>
  <c r="N1234" i="6"/>
  <c r="N1235" i="6"/>
  <c r="N1236" i="6"/>
  <c r="N1237" i="6"/>
  <c r="O1232" i="6"/>
  <c r="O1233" i="6"/>
  <c r="O1234" i="6"/>
  <c r="O1235" i="6"/>
  <c r="O1236" i="6"/>
  <c r="O1237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P1233" i="6" l="1"/>
  <c r="P1235" i="6"/>
  <c r="K1222" i="7"/>
  <c r="M1186" i="7"/>
  <c r="Q1232" i="6"/>
  <c r="R1183" i="7"/>
  <c r="J1197" i="7"/>
  <c r="T1181" i="7"/>
  <c r="R1182" i="7"/>
  <c r="O1184" i="7"/>
  <c r="S1181" i="7"/>
  <c r="L1196" i="7"/>
  <c r="J1174" i="7"/>
  <c r="P1237" i="6"/>
  <c r="N1179" i="7"/>
  <c r="N1181" i="7"/>
  <c r="Q1233" i="6"/>
  <c r="Q1236" i="6"/>
  <c r="P1187" i="7"/>
  <c r="K1167" i="7"/>
  <c r="M1190" i="7"/>
  <c r="K1224" i="7"/>
  <c r="L1188" i="7"/>
  <c r="L1164" i="7"/>
  <c r="L1167" i="7"/>
  <c r="L1182" i="7"/>
  <c r="Q1234" i="6"/>
  <c r="U1185" i="7"/>
  <c r="P1234" i="6"/>
  <c r="K1185" i="7"/>
  <c r="P1232" i="6"/>
  <c r="Q1235" i="6"/>
  <c r="U1186" i="7"/>
  <c r="J1165" i="7"/>
  <c r="J1164" i="7"/>
  <c r="Q1184" i="7"/>
  <c r="P1236" i="6"/>
  <c r="N1187" i="7"/>
  <c r="J1175" i="7"/>
  <c r="J1163" i="7"/>
  <c r="S1180" i="7"/>
  <c r="O1183" i="7"/>
  <c r="O1165" i="7"/>
  <c r="K1173" i="7"/>
  <c r="Q1179" i="7"/>
  <c r="P1190" i="7"/>
  <c r="K1169" i="7"/>
  <c r="S1189" i="7"/>
  <c r="S1165" i="7"/>
  <c r="M1180" i="7"/>
  <c r="L1162" i="7"/>
  <c r="K1164" i="7"/>
  <c r="Q1237" i="6"/>
  <c r="J1167" i="7"/>
  <c r="U1188" i="7"/>
  <c r="O1189" i="7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K1223" i="7" l="1"/>
  <c r="J1223" i="7"/>
  <c r="K1225" i="7"/>
  <c r="J1222" i="7"/>
  <c r="J1226" i="7"/>
  <c r="J1225" i="7"/>
  <c r="J1224" i="7"/>
  <c r="K1226" i="7"/>
  <c r="K1196" i="7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 l="1"/>
  <c r="N1158" i="7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F61" i="1"/>
  <c r="H61" i="1"/>
  <c r="AB61" i="1"/>
  <c r="AC61" i="1"/>
  <c r="AD61" i="1"/>
  <c r="AF61" i="1"/>
  <c r="AG61" i="1" s="1"/>
  <c r="AI61" i="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AM34" i="23" l="1"/>
  <c r="AM27" i="23"/>
  <c r="AM28" i="23"/>
  <c r="AM29" i="23"/>
  <c r="AM30" i="23"/>
  <c r="AM31" i="23"/>
  <c r="AM32" i="23"/>
  <c r="AM33" i="23"/>
  <c r="P46" i="20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AM11" i="23" l="1"/>
  <c r="AM12" i="23"/>
  <c r="AM13" i="23"/>
  <c r="AM14" i="23"/>
  <c r="AM15" i="23"/>
  <c r="AM4" i="23"/>
  <c r="AM3" i="23"/>
  <c r="AM5" i="23"/>
  <c r="AM6" i="23"/>
  <c r="AM10" i="23"/>
  <c r="AM7" i="23"/>
  <c r="AM8" i="23"/>
  <c r="AM9" i="23"/>
  <c r="AM23" i="23"/>
  <c r="AM24" i="23"/>
  <c r="AM25" i="23"/>
  <c r="AM26" i="23"/>
  <c r="AM16" i="23"/>
  <c r="AM18" i="23"/>
  <c r="AM17" i="23"/>
  <c r="AM22" i="23"/>
  <c r="AM19" i="23"/>
  <c r="AM20" i="23"/>
  <c r="AM21" i="23"/>
  <c r="G1088" i="14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AA2" i="19" l="1"/>
  <c r="C64" i="14"/>
  <c r="H65" i="14"/>
  <c r="AF2" i="19"/>
  <c r="AR2" i="19"/>
  <c r="AD2" i="19"/>
  <c r="AH2" i="19"/>
  <c r="AG2" i="19"/>
  <c r="AB2" i="19"/>
  <c r="AC2" i="19"/>
  <c r="D3" i="19"/>
  <c r="AA3" i="19" s="1"/>
  <c r="E3" i="19"/>
  <c r="A4" i="19"/>
  <c r="B3" i="19"/>
  <c r="C3" i="19"/>
  <c r="R3" i="19" l="1"/>
  <c r="O3" i="19"/>
  <c r="R2" i="19"/>
  <c r="O2" i="19"/>
  <c r="AA4" i="19"/>
  <c r="C65" i="14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R4" i="19" l="1"/>
  <c r="O4" i="19"/>
  <c r="AA5" i="19"/>
  <c r="C66" i="14"/>
  <c r="H67" i="14"/>
  <c r="AF4" i="19"/>
  <c r="AR4" i="19"/>
  <c r="AD4" i="19"/>
  <c r="AE3" i="19"/>
  <c r="AH4" i="19"/>
  <c r="AG4" i="19"/>
  <c r="AB4" i="19"/>
  <c r="AC4" i="19"/>
  <c r="B5" i="19"/>
  <c r="C5" i="19"/>
  <c r="A6" i="19"/>
  <c r="D5" i="19"/>
  <c r="E5" i="19"/>
  <c r="R5" i="19" l="1"/>
  <c r="O5" i="19"/>
  <c r="D6" i="19"/>
  <c r="C67" i="14"/>
  <c r="H68" i="14"/>
  <c r="AF5" i="19"/>
  <c r="AR5" i="19"/>
  <c r="AD5" i="19"/>
  <c r="AE4" i="19"/>
  <c r="AG5" i="19"/>
  <c r="AH5" i="19"/>
  <c r="AB5" i="19"/>
  <c r="AC5" i="19"/>
  <c r="B6" i="19"/>
  <c r="C6" i="19"/>
  <c r="A7" i="19"/>
  <c r="E6" i="19"/>
  <c r="AD6" i="19" l="1"/>
  <c r="AR6" i="19"/>
  <c r="AF6" i="19"/>
  <c r="AA7" i="19"/>
  <c r="AA6" i="19"/>
  <c r="C68" i="14"/>
  <c r="H69" i="14"/>
  <c r="AE5" i="19"/>
  <c r="AG6" i="19"/>
  <c r="AH6" i="19"/>
  <c r="AB6" i="19"/>
  <c r="AC6" i="19"/>
  <c r="AE6" i="19" s="1"/>
  <c r="B7" i="19"/>
  <c r="C7" i="19"/>
  <c r="A8" i="19"/>
  <c r="D7" i="19"/>
  <c r="E7" i="19"/>
  <c r="O7" i="19" l="1"/>
  <c r="R7" i="19"/>
  <c r="R6" i="19"/>
  <c r="O6" i="19"/>
  <c r="C69" i="14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AA8" i="19" l="1"/>
  <c r="C70" i="14"/>
  <c r="H71" i="14"/>
  <c r="AF8" i="19"/>
  <c r="AR8" i="19"/>
  <c r="AD8" i="19"/>
  <c r="AE7" i="19"/>
  <c r="AH8" i="19"/>
  <c r="AG8" i="19"/>
  <c r="AB8" i="19"/>
  <c r="AC8" i="19"/>
  <c r="D9" i="19"/>
  <c r="AA9" i="19" s="1"/>
  <c r="E9" i="19"/>
  <c r="B9" i="19"/>
  <c r="C9" i="19"/>
  <c r="A10" i="19"/>
  <c r="R9" i="19" l="1"/>
  <c r="O9" i="19"/>
  <c r="R8" i="19"/>
  <c r="O8" i="19"/>
  <c r="C71" i="14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AA10" i="19" s="1"/>
  <c r="R10" i="19" l="1"/>
  <c r="O10" i="19"/>
  <c r="C72" i="14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AA11" i="19" s="1"/>
  <c r="E11" i="19"/>
  <c r="B11" i="19"/>
  <c r="R11" i="19" l="1"/>
  <c r="O11" i="19"/>
  <c r="C73" i="14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AA12" i="19" s="1"/>
  <c r="E12" i="19"/>
  <c r="R12" i="19" l="1"/>
  <c r="O12" i="19"/>
  <c r="C74" i="14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AA13" i="19" s="1"/>
  <c r="R13" i="19" l="1"/>
  <c r="O13" i="19"/>
  <c r="C75" i="14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A14" i="19" s="1"/>
  <c r="A15" i="19"/>
  <c r="E14" i="19"/>
  <c r="R14" i="19" l="1"/>
  <c r="O14" i="19"/>
  <c r="C76" i="14"/>
  <c r="H77" i="14"/>
  <c r="AF14" i="19"/>
  <c r="AR14" i="19"/>
  <c r="AD14" i="19"/>
  <c r="AE13" i="19"/>
  <c r="AH14" i="19"/>
  <c r="AG14" i="19"/>
  <c r="AB14" i="19"/>
  <c r="AC14" i="19"/>
  <c r="D15" i="19"/>
  <c r="AA15" i="19" s="1"/>
  <c r="E15" i="19"/>
  <c r="C15" i="19"/>
  <c r="A16" i="19"/>
  <c r="B15" i="19"/>
  <c r="R15" i="19" l="1"/>
  <c r="O15" i="19"/>
  <c r="C77" i="14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AA16" i="19" s="1"/>
  <c r="R16" i="19" l="1"/>
  <c r="O16" i="19"/>
  <c r="C78" i="14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AA17" i="19" s="1"/>
  <c r="E17" i="19"/>
  <c r="B17" i="19"/>
  <c r="R17" i="19" l="1"/>
  <c r="O17" i="19"/>
  <c r="C79" i="14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AA18" i="19" s="1"/>
  <c r="E18" i="19"/>
  <c r="R18" i="19" l="1"/>
  <c r="O18" i="19"/>
  <c r="C80" i="14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AA19" i="19" s="1"/>
  <c r="R19" i="19" l="1"/>
  <c r="O19" i="19"/>
  <c r="C81" i="14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AA20" i="19" s="1"/>
  <c r="R20" i="19" l="1"/>
  <c r="O20" i="19"/>
  <c r="C82" i="14"/>
  <c r="H83" i="14"/>
  <c r="AF20" i="19"/>
  <c r="AR20" i="19"/>
  <c r="AD20" i="19"/>
  <c r="AE19" i="19"/>
  <c r="AH20" i="19"/>
  <c r="AG20" i="19"/>
  <c r="AB20" i="19"/>
  <c r="AC20" i="19"/>
  <c r="D21" i="19"/>
  <c r="AA21" i="19" s="1"/>
  <c r="E21" i="19"/>
  <c r="B21" i="19"/>
  <c r="C21" i="19"/>
  <c r="A22" i="19"/>
  <c r="R21" i="19" l="1"/>
  <c r="O21" i="19"/>
  <c r="C83" i="14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AA22" i="19" s="1"/>
  <c r="Q860" i="15"/>
  <c r="R22" i="19" l="1"/>
  <c r="O22" i="19"/>
  <c r="C84" i="14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AA23" i="19" s="1"/>
  <c r="O23" i="19" l="1"/>
  <c r="R23" i="19"/>
  <c r="AA24" i="19"/>
  <c r="C85" i="14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R24" i="19" l="1"/>
  <c r="O24" i="19"/>
  <c r="C86" i="14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AA25" i="19" s="1"/>
  <c r="R25" i="19" l="1"/>
  <c r="O25" i="19"/>
  <c r="C87" i="14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AA26" i="19" s="1"/>
  <c r="E26" i="19"/>
  <c r="A27" i="19"/>
  <c r="R26" i="19" l="1"/>
  <c r="O26" i="19"/>
  <c r="AA27" i="19"/>
  <c r="C88" i="14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R27" i="19" l="1"/>
  <c r="O27" i="19"/>
  <c r="C89" i="14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AA28" i="19" s="1"/>
  <c r="E28" i="19"/>
  <c r="R28" i="19" l="1"/>
  <c r="O28" i="19"/>
  <c r="C90" i="14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AA29" i="19" s="1"/>
  <c r="C29" i="19"/>
  <c r="R29" i="19" l="1"/>
  <c r="O29" i="19"/>
  <c r="C91" i="14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AA30" i="19" s="1"/>
  <c r="B30" i="19"/>
  <c r="E30" i="19"/>
  <c r="R30" i="19" l="1"/>
  <c r="O30" i="19"/>
  <c r="C92" i="14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AA31" i="19" s="1"/>
  <c r="E31" i="19"/>
  <c r="A32" i="19"/>
  <c r="O31" i="19" l="1"/>
  <c r="R31" i="19"/>
  <c r="C93" i="14"/>
  <c r="H94" i="14"/>
  <c r="AF31" i="19"/>
  <c r="AR31" i="19"/>
  <c r="AD31" i="19"/>
  <c r="AE30" i="19"/>
  <c r="AH31" i="19"/>
  <c r="AG31" i="19"/>
  <c r="AB31" i="19"/>
  <c r="AC31" i="19"/>
  <c r="D32" i="19"/>
  <c r="AA32" i="19" s="1"/>
  <c r="E32" i="19"/>
  <c r="B32" i="19"/>
  <c r="C32" i="19"/>
  <c r="A33" i="19"/>
  <c r="R32" i="19" l="1"/>
  <c r="O32" i="19"/>
  <c r="C94" i="14"/>
  <c r="H95" i="14"/>
  <c r="AF32" i="19"/>
  <c r="AR32" i="19"/>
  <c r="AD32" i="19"/>
  <c r="AE31" i="19"/>
  <c r="AH32" i="19"/>
  <c r="AG32" i="19"/>
  <c r="AB32" i="19"/>
  <c r="AC32" i="19"/>
  <c r="D33" i="19"/>
  <c r="AA33" i="19" s="1"/>
  <c r="E33" i="19"/>
  <c r="A34" i="19"/>
  <c r="B33" i="19"/>
  <c r="C33" i="19"/>
  <c r="O33" i="19" l="1"/>
  <c r="R33" i="19"/>
  <c r="C95" i="14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AA34" i="19" s="1"/>
  <c r="E34" i="19"/>
  <c r="R34" i="19" l="1"/>
  <c r="O34" i="19"/>
  <c r="C96" i="14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AA35" i="19" s="1"/>
  <c r="O35" i="19" l="1"/>
  <c r="R35" i="19"/>
  <c r="C97" i="14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AA36" i="19" s="1"/>
  <c r="B36" i="19"/>
  <c r="E36" i="19"/>
  <c r="O36" i="19" l="1"/>
  <c r="R36" i="19"/>
  <c r="C98" i="14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AA37" i="19" s="1"/>
  <c r="E37" i="19"/>
  <c r="A38" i="19"/>
  <c r="R37" i="19" l="1"/>
  <c r="O37" i="19"/>
  <c r="C99" i="14"/>
  <c r="H100" i="14"/>
  <c r="AF37" i="19"/>
  <c r="AR37" i="19"/>
  <c r="AD37" i="19"/>
  <c r="AE36" i="19"/>
  <c r="AH37" i="19"/>
  <c r="AG37" i="19"/>
  <c r="AB37" i="19"/>
  <c r="AC37" i="19"/>
  <c r="D38" i="19"/>
  <c r="AA38" i="19" s="1"/>
  <c r="E38" i="19"/>
  <c r="A39" i="19"/>
  <c r="B38" i="19"/>
  <c r="C38" i="19"/>
  <c r="R38" i="19" l="1"/>
  <c r="O38" i="19"/>
  <c r="C100" i="14"/>
  <c r="H101" i="14"/>
  <c r="AF38" i="19"/>
  <c r="AR38" i="19"/>
  <c r="AD38" i="19"/>
  <c r="AE37" i="19"/>
  <c r="AH38" i="19"/>
  <c r="AG38" i="19"/>
  <c r="AB38" i="19"/>
  <c r="AC38" i="19"/>
  <c r="D39" i="19"/>
  <c r="AA39" i="19" s="1"/>
  <c r="B39" i="19"/>
  <c r="C39" i="19"/>
  <c r="E39" i="19"/>
  <c r="A40" i="19"/>
  <c r="R39" i="19" l="1"/>
  <c r="O39" i="19"/>
  <c r="C101" i="14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AA40" i="19" s="1"/>
  <c r="E40" i="19"/>
  <c r="R40" i="19" l="1"/>
  <c r="O40" i="19"/>
  <c r="C102" i="14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AA41" i="19" s="1"/>
  <c r="C41" i="19"/>
  <c r="R41" i="19" l="1"/>
  <c r="O41" i="19"/>
  <c r="C103" i="14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AA42" i="19" s="1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R42" i="19" l="1"/>
  <c r="O42" i="19"/>
  <c r="C104" i="14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AA43" i="19" s="1"/>
  <c r="E43" i="19"/>
  <c r="R43" i="19" l="1"/>
  <c r="O43" i="19"/>
  <c r="C105" i="14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AA44" i="19" s="1"/>
  <c r="E44" i="19"/>
  <c r="A45" i="19"/>
  <c r="R44" i="19" l="1"/>
  <c r="O44" i="19"/>
  <c r="C106" i="14"/>
  <c r="H107" i="14"/>
  <c r="AF44" i="19"/>
  <c r="AR44" i="19"/>
  <c r="AD44" i="19"/>
  <c r="AE43" i="19"/>
  <c r="AH44" i="19"/>
  <c r="AG44" i="19"/>
  <c r="AB44" i="19"/>
  <c r="AC44" i="19"/>
  <c r="D45" i="19"/>
  <c r="AA45" i="19" s="1"/>
  <c r="B45" i="19"/>
  <c r="C45" i="19"/>
  <c r="E45" i="19"/>
  <c r="A46" i="19"/>
  <c r="R45" i="19" l="1"/>
  <c r="O45" i="19"/>
  <c r="C107" i="14"/>
  <c r="H108" i="14"/>
  <c r="AF45" i="19"/>
  <c r="AR45" i="19"/>
  <c r="AD45" i="19"/>
  <c r="AE44" i="19"/>
  <c r="AG45" i="19"/>
  <c r="AH45" i="19"/>
  <c r="AB45" i="19"/>
  <c r="AC45" i="19"/>
  <c r="B46" i="19"/>
  <c r="D46" i="19"/>
  <c r="AA46" i="19" s="1"/>
  <c r="E46" i="19"/>
  <c r="A47" i="19"/>
  <c r="C46" i="19"/>
  <c r="R46" i="19" l="1"/>
  <c r="O46" i="19"/>
  <c r="C108" i="14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A47" i="19" s="1"/>
  <c r="A48" i="19"/>
  <c r="R47" i="19" l="1"/>
  <c r="O47" i="19"/>
  <c r="C109" i="14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AA48" i="19" s="1"/>
  <c r="B48" i="19"/>
  <c r="E48" i="19"/>
  <c r="R48" i="19" l="1"/>
  <c r="O48" i="19"/>
  <c r="C110" i="14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AA49" i="19" s="1"/>
  <c r="R49" i="19" l="1"/>
  <c r="O49" i="19"/>
  <c r="C111" i="14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AA50" i="19" s="1"/>
  <c r="E50" i="19"/>
  <c r="R50" i="19" l="1"/>
  <c r="O50" i="19"/>
  <c r="C112" i="14"/>
  <c r="H113" i="14"/>
  <c r="AF50" i="19"/>
  <c r="AR50" i="19"/>
  <c r="AD50" i="19"/>
  <c r="AE49" i="19"/>
  <c r="AH50" i="19"/>
  <c r="AG50" i="19"/>
  <c r="AB50" i="19"/>
  <c r="AC50" i="19"/>
  <c r="D51" i="19"/>
  <c r="AA51" i="19" s="1"/>
  <c r="A52" i="19"/>
  <c r="B51" i="19"/>
  <c r="C51" i="19"/>
  <c r="E51" i="19"/>
  <c r="R51" i="19" l="1"/>
  <c r="O51" i="19"/>
  <c r="C113" i="14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AA52" i="19" s="1"/>
  <c r="E52" i="19"/>
  <c r="A53" i="19"/>
  <c r="R52" i="19" l="1"/>
  <c r="O52" i="19"/>
  <c r="C114" i="14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A53" i="19" s="1"/>
  <c r="A54" i="19"/>
  <c r="R53" i="19" l="1"/>
  <c r="O53" i="19"/>
  <c r="C115" i="14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AA54" i="19" s="1"/>
  <c r="E54" i="19"/>
  <c r="B54" i="19"/>
  <c r="R54" i="19" l="1"/>
  <c r="O54" i="19"/>
  <c r="C116" i="14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AA55" i="19" s="1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R55" i="19" l="1"/>
  <c r="O55" i="19"/>
  <c r="C117" i="14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AA56" i="19" s="1"/>
  <c r="E56" i="19"/>
  <c r="A57" i="19"/>
  <c r="O56" i="19" l="1"/>
  <c r="R56" i="19"/>
  <c r="C118" i="14"/>
  <c r="H119" i="14"/>
  <c r="AF56" i="19"/>
  <c r="AR56" i="19"/>
  <c r="AD56" i="19"/>
  <c r="AE55" i="19"/>
  <c r="AH56" i="19"/>
  <c r="AG56" i="19"/>
  <c r="AB56" i="19"/>
  <c r="AC56" i="19"/>
  <c r="D57" i="19"/>
  <c r="AA57" i="19" s="1"/>
  <c r="B57" i="19"/>
  <c r="C57" i="19"/>
  <c r="E57" i="19"/>
  <c r="A58" i="19"/>
  <c r="R57" i="19" l="1"/>
  <c r="O57" i="19"/>
  <c r="C119" i="14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AA58" i="19" s="1"/>
  <c r="E58" i="19"/>
  <c r="R58" i="19" l="1"/>
  <c r="O58" i="19"/>
  <c r="C120" i="14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AA59" i="19" s="1"/>
  <c r="E59" i="19"/>
  <c r="B59" i="19"/>
  <c r="R59" i="19" l="1"/>
  <c r="O59" i="19"/>
  <c r="C121" i="14"/>
  <c r="H122" i="14"/>
  <c r="AF59" i="19"/>
  <c r="AR59" i="19"/>
  <c r="AD59" i="19"/>
  <c r="AE58" i="19"/>
  <c r="AH59" i="19"/>
  <c r="AG59" i="19"/>
  <c r="AB59" i="19"/>
  <c r="AC59" i="19"/>
  <c r="D60" i="19"/>
  <c r="AA60" i="19" s="1"/>
  <c r="A61" i="19"/>
  <c r="C60" i="19"/>
  <c r="E60" i="19"/>
  <c r="B60" i="19"/>
  <c r="R60" i="19" l="1"/>
  <c r="O60" i="19"/>
  <c r="C122" i="14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AA61" i="19" s="1"/>
  <c r="E61" i="19"/>
  <c r="C61" i="19"/>
  <c r="R61" i="19" l="1"/>
  <c r="O61" i="19"/>
  <c r="C123" i="14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AA62" i="19" s="1"/>
  <c r="E62" i="19"/>
  <c r="C62" i="19"/>
  <c r="Q820" i="15"/>
  <c r="R62" i="19" l="1"/>
  <c r="O62" i="19"/>
  <c r="C124" i="14"/>
  <c r="H125" i="14"/>
  <c r="AF62" i="19"/>
  <c r="AR62" i="19"/>
  <c r="AD62" i="19"/>
  <c r="AE61" i="19"/>
  <c r="AH62" i="19"/>
  <c r="AG62" i="19"/>
  <c r="AB62" i="19"/>
  <c r="AC62" i="19"/>
  <c r="D63" i="19"/>
  <c r="AA63" i="19" s="1"/>
  <c r="A64" i="19"/>
  <c r="B63" i="19"/>
  <c r="E63" i="19"/>
  <c r="C63" i="19"/>
  <c r="R63" i="19" l="1"/>
  <c r="O63" i="19"/>
  <c r="C125" i="14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AA64" i="19" s="1"/>
  <c r="R64" i="19" l="1"/>
  <c r="O64" i="19"/>
  <c r="C126" i="14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AA65" i="19" s="1"/>
  <c r="E65" i="19"/>
  <c r="C65" i="19"/>
  <c r="R65" i="19" l="1"/>
  <c r="O65" i="19"/>
  <c r="C127" i="14"/>
  <c r="H128" i="14"/>
  <c r="AF65" i="19"/>
  <c r="AR65" i="19"/>
  <c r="AD65" i="19"/>
  <c r="AE64" i="19"/>
  <c r="AH65" i="19"/>
  <c r="AG65" i="19"/>
  <c r="AB65" i="19"/>
  <c r="AC65" i="19"/>
  <c r="C66" i="19"/>
  <c r="D66" i="19"/>
  <c r="AA66" i="19" s="1"/>
  <c r="E66" i="19"/>
  <c r="B66" i="19"/>
  <c r="A67" i="19"/>
  <c r="R66" i="19" l="1"/>
  <c r="O66" i="19"/>
  <c r="C128" i="14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AA67" i="19" s="1"/>
  <c r="E67" i="19"/>
  <c r="R67" i="19" l="1"/>
  <c r="O67" i="19"/>
  <c r="C129" i="14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AA68" i="19" s="1"/>
  <c r="R68" i="19" l="1"/>
  <c r="O68" i="19"/>
  <c r="C130" i="14"/>
  <c r="H131" i="14"/>
  <c r="AF68" i="19"/>
  <c r="AR68" i="19"/>
  <c r="AD68" i="19"/>
  <c r="AE67" i="19"/>
  <c r="AH68" i="19"/>
  <c r="AG68" i="19"/>
  <c r="AC68" i="19"/>
  <c r="AB68" i="19"/>
  <c r="D69" i="19"/>
  <c r="AA69" i="19" s="1"/>
  <c r="E69" i="19"/>
  <c r="B69" i="19"/>
  <c r="A70" i="19"/>
  <c r="C69" i="19"/>
  <c r="R69" i="19" l="1"/>
  <c r="O69" i="19"/>
  <c r="C131" i="14"/>
  <c r="H132" i="14"/>
  <c r="AF69" i="19"/>
  <c r="AR69" i="19"/>
  <c r="AD69" i="19"/>
  <c r="AE68" i="19"/>
  <c r="AG69" i="19"/>
  <c r="AC69" i="19"/>
  <c r="AH69" i="19"/>
  <c r="AB69" i="19"/>
  <c r="B70" i="19"/>
  <c r="D70" i="19"/>
  <c r="AA70" i="19" s="1"/>
  <c r="E70" i="19"/>
  <c r="A71" i="19"/>
  <c r="C70" i="19"/>
  <c r="O70" i="19" l="1"/>
  <c r="R70" i="19"/>
  <c r="C132" i="14"/>
  <c r="H133" i="14"/>
  <c r="AF70" i="19"/>
  <c r="AR70" i="19"/>
  <c r="AD70" i="19"/>
  <c r="AE69" i="19"/>
  <c r="AH70" i="19"/>
  <c r="AC70" i="19"/>
  <c r="AG70" i="19"/>
  <c r="AB70" i="19"/>
  <c r="C71" i="19"/>
  <c r="D71" i="19"/>
  <c r="AA71" i="19" s="1"/>
  <c r="E71" i="19"/>
  <c r="B71" i="19"/>
  <c r="A72" i="19"/>
  <c r="R71" i="19" l="1"/>
  <c r="O71" i="19"/>
  <c r="C133" i="14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AA72" i="19" s="1"/>
  <c r="E72" i="19"/>
  <c r="R72" i="19" l="1"/>
  <c r="O72" i="19"/>
  <c r="C134" i="14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AA73" i="19" s="1"/>
  <c r="E73" i="19"/>
  <c r="R73" i="19" l="1"/>
  <c r="O73" i="19"/>
  <c r="C135" i="14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AA74" i="19" s="1"/>
  <c r="E74" i="19"/>
  <c r="R74" i="19" l="1"/>
  <c r="O74" i="19"/>
  <c r="C136" i="14"/>
  <c r="H137" i="14"/>
  <c r="AF74" i="19"/>
  <c r="AR74" i="19"/>
  <c r="AD74" i="19"/>
  <c r="AE73" i="19"/>
  <c r="AH74" i="19"/>
  <c r="AG74" i="19"/>
  <c r="AC74" i="19"/>
  <c r="AB74" i="19"/>
  <c r="D75" i="19"/>
  <c r="AA75" i="19" s="1"/>
  <c r="B75" i="19"/>
  <c r="A76" i="19"/>
  <c r="C75" i="19"/>
  <c r="E75" i="19"/>
  <c r="O75" i="19" l="1"/>
  <c r="R75" i="19"/>
  <c r="C137" i="14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AA76" i="19" s="1"/>
  <c r="E76" i="19"/>
  <c r="O76" i="19" l="1"/>
  <c r="R76" i="19"/>
  <c r="C138" i="14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AA77" i="19" s="1"/>
  <c r="R77" i="19" l="1"/>
  <c r="O77" i="19"/>
  <c r="C139" i="14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AA78" i="19" s="1"/>
  <c r="E78" i="19"/>
  <c r="B78" i="19"/>
  <c r="R78" i="19" l="1"/>
  <c r="O78" i="19"/>
  <c r="C140" i="14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AA79" i="19" s="1"/>
  <c r="R79" i="19" l="1"/>
  <c r="O79" i="19"/>
  <c r="C141" i="14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AA80" i="19" s="1"/>
  <c r="E80" i="19"/>
  <c r="B80" i="19"/>
  <c r="R80" i="19" l="1"/>
  <c r="O80" i="19"/>
  <c r="C142" i="14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AA81" i="19" s="1"/>
  <c r="E81" i="19"/>
  <c r="R81" i="19" l="1"/>
  <c r="O81" i="19"/>
  <c r="C143" i="14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AA82" i="19" s="1"/>
  <c r="E82" i="19"/>
  <c r="R82" i="19" l="1"/>
  <c r="O82" i="19"/>
  <c r="C144" i="14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AA83" i="19" s="1"/>
  <c r="R83" i="19" l="1"/>
  <c r="O83" i="19"/>
  <c r="C145" i="14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AA84" i="19" s="1"/>
  <c r="E84" i="19"/>
  <c r="B84" i="19"/>
  <c r="R84" i="19" l="1"/>
  <c r="O84" i="19"/>
  <c r="C146" i="14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AA85" i="19" s="1"/>
  <c r="R85" i="19" l="1"/>
  <c r="O85" i="19"/>
  <c r="C147" i="14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AA86" i="19" s="1"/>
  <c r="E86" i="19"/>
  <c r="B86" i="19"/>
  <c r="R86" i="19" l="1"/>
  <c r="O86" i="19"/>
  <c r="C148" i="14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AA87" i="19" s="1"/>
  <c r="E87" i="19"/>
  <c r="O87" i="19" l="1"/>
  <c r="R87" i="19"/>
  <c r="C149" i="14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AA88" i="19" s="1"/>
  <c r="E88" i="19"/>
  <c r="R88" i="19" l="1"/>
  <c r="O88" i="19"/>
  <c r="C150" i="14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AA89" i="19" s="1"/>
  <c r="R89" i="19" l="1"/>
  <c r="O89" i="19"/>
  <c r="C151" i="14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AA90" i="19" s="1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R90" i="19" l="1"/>
  <c r="O90" i="19"/>
  <c r="C152" i="14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AA91" i="19" s="1"/>
  <c r="G794" i="15"/>
  <c r="Q794" i="15"/>
  <c r="R91" i="19" l="1"/>
  <c r="O91" i="19"/>
  <c r="C153" i="14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AA92" i="19" s="1"/>
  <c r="E92" i="19"/>
  <c r="B92" i="19"/>
  <c r="R92" i="19" l="1"/>
  <c r="O92" i="19"/>
  <c r="C154" i="14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AA93" i="19" s="1"/>
  <c r="E93" i="19"/>
  <c r="G790" i="15"/>
  <c r="G791" i="15"/>
  <c r="G792" i="15"/>
  <c r="G793" i="15"/>
  <c r="Q790" i="15"/>
  <c r="Q791" i="15"/>
  <c r="Q792" i="15"/>
  <c r="Q793" i="15"/>
  <c r="O93" i="19" l="1"/>
  <c r="R93" i="19"/>
  <c r="C155" i="14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AA94" i="19" s="1"/>
  <c r="E94" i="19"/>
  <c r="G789" i="15"/>
  <c r="Q789" i="15"/>
  <c r="R94" i="19" l="1"/>
  <c r="O94" i="19"/>
  <c r="C156" i="14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AA95" i="19" s="1"/>
  <c r="G788" i="15"/>
  <c r="Q788" i="15"/>
  <c r="O95" i="19" l="1"/>
  <c r="R95" i="19"/>
  <c r="C157" i="14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AA96" i="19" s="1"/>
  <c r="E96" i="19"/>
  <c r="B96" i="19"/>
  <c r="G787" i="15"/>
  <c r="Q787" i="15"/>
  <c r="R96" i="19" l="1"/>
  <c r="O96" i="19"/>
  <c r="C158" i="14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AA97" i="19" s="1"/>
  <c r="D23" i="18"/>
  <c r="C7" i="18"/>
  <c r="C28" i="18" s="1"/>
  <c r="R97" i="19" l="1"/>
  <c r="O97" i="19"/>
  <c r="C159" i="14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AA98" i="19" s="1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R98" i="19" l="1"/>
  <c r="O98" i="19"/>
  <c r="C160" i="14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AA99" i="19" s="1"/>
  <c r="E99" i="19"/>
  <c r="G786" i="15"/>
  <c r="Q786" i="15"/>
  <c r="R99" i="19" l="1"/>
  <c r="O99" i="19"/>
  <c r="C161" i="14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AA100" i="19" s="1"/>
  <c r="E100" i="19"/>
  <c r="G785" i="15"/>
  <c r="Q785" i="15"/>
  <c r="R100" i="19" l="1"/>
  <c r="O100" i="19"/>
  <c r="C162" i="14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AA101" i="19" s="1"/>
  <c r="G792" i="7"/>
  <c r="G793" i="7"/>
  <c r="G791" i="6"/>
  <c r="G792" i="6"/>
  <c r="G793" i="6"/>
  <c r="G794" i="6"/>
  <c r="G784" i="15"/>
  <c r="Q784" i="15"/>
  <c r="R101" i="19" l="1"/>
  <c r="O101" i="19"/>
  <c r="C163" i="14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AA102" i="19" s="1"/>
  <c r="E102" i="19"/>
  <c r="B102" i="19"/>
  <c r="R102" i="19" l="1"/>
  <c r="O102" i="19"/>
  <c r="C164" i="14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AA103" i="19" s="1"/>
  <c r="G783" i="6"/>
  <c r="G784" i="6"/>
  <c r="G785" i="6"/>
  <c r="G786" i="6"/>
  <c r="G787" i="6"/>
  <c r="G788" i="6"/>
  <c r="G789" i="6"/>
  <c r="G790" i="6"/>
  <c r="G783" i="15"/>
  <c r="Q783" i="15"/>
  <c r="R103" i="19" l="1"/>
  <c r="O103" i="19"/>
  <c r="C165" i="14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AA104" i="19" s="1"/>
  <c r="E104" i="19"/>
  <c r="B104" i="19"/>
  <c r="G782" i="15"/>
  <c r="Q782" i="15"/>
  <c r="R104" i="19" l="1"/>
  <c r="O104" i="19"/>
  <c r="C166" i="14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AA105" i="19" s="1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O105" i="19" l="1"/>
  <c r="R105" i="19"/>
  <c r="C167" i="14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AA106" i="19" s="1"/>
  <c r="E106" i="19"/>
  <c r="G780" i="15"/>
  <c r="Q780" i="15"/>
  <c r="R106" i="19" l="1"/>
  <c r="O106" i="19"/>
  <c r="C168" i="14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AA107" i="19" s="1"/>
  <c r="G779" i="15"/>
  <c r="Q779" i="15"/>
  <c r="O107" i="19" l="1"/>
  <c r="R107" i="19"/>
  <c r="C169" i="14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AA108" i="19" s="1"/>
  <c r="E108" i="19"/>
  <c r="B108" i="19"/>
  <c r="G778" i="15"/>
  <c r="Q778" i="15"/>
  <c r="R108" i="19" l="1"/>
  <c r="O108" i="19"/>
  <c r="C170" i="14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AA109" i="19" s="1"/>
  <c r="R109" i="19" l="1"/>
  <c r="O109" i="19"/>
  <c r="C171" i="14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AA110" i="19" s="1"/>
  <c r="E110" i="19"/>
  <c r="B110" i="19"/>
  <c r="G777" i="15"/>
  <c r="Q777" i="15"/>
  <c r="R110" i="19" l="1"/>
  <c r="O110" i="19"/>
  <c r="C172" i="14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AA111" i="19" s="1"/>
  <c r="E111" i="19"/>
  <c r="G776" i="6"/>
  <c r="G777" i="6"/>
  <c r="G778" i="6"/>
  <c r="G779" i="6"/>
  <c r="G780" i="6"/>
  <c r="G781" i="6"/>
  <c r="G782" i="6"/>
  <c r="G776" i="15"/>
  <c r="Q776" i="15"/>
  <c r="R111" i="19" l="1"/>
  <c r="O111" i="19"/>
  <c r="C173" i="14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AA112" i="19" s="1"/>
  <c r="E112" i="19"/>
  <c r="R112" i="19" l="1"/>
  <c r="O112" i="19"/>
  <c r="C174" i="14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AA113" i="19" s="1"/>
  <c r="G775" i="15"/>
  <c r="Q775" i="15"/>
  <c r="O113" i="19" l="1"/>
  <c r="R113" i="19"/>
  <c r="C175" i="14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AA114" i="19" s="1"/>
  <c r="E114" i="19"/>
  <c r="B114" i="19"/>
  <c r="R114" i="19" l="1"/>
  <c r="O114" i="19"/>
  <c r="C176" i="14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AA115" i="19" s="1"/>
  <c r="G773" i="15"/>
  <c r="G774" i="15"/>
  <c r="Q774" i="15"/>
  <c r="O115" i="19" l="1"/>
  <c r="R115" i="19"/>
  <c r="C177" i="14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AA116" i="19" s="1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R116" i="19" l="1"/>
  <c r="O116" i="19"/>
  <c r="C178" i="14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AA117" i="19" s="1"/>
  <c r="E117" i="19"/>
  <c r="R117" i="19" l="1"/>
  <c r="O117" i="19"/>
  <c r="C179" i="14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AA118" i="19" s="1"/>
  <c r="E118" i="19"/>
  <c r="R118" i="19" l="1"/>
  <c r="O118" i="19"/>
  <c r="C180" i="14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AA119" i="19" s="1"/>
  <c r="R119" i="19" l="1"/>
  <c r="O119" i="19"/>
  <c r="C181" i="14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AA120" i="19" s="1"/>
  <c r="E120" i="19"/>
  <c r="B120" i="19"/>
  <c r="R120" i="19" l="1"/>
  <c r="O120" i="19"/>
  <c r="C182" i="14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AA121" i="19" s="1"/>
  <c r="G768" i="15"/>
  <c r="G769" i="15"/>
  <c r="G770" i="15"/>
  <c r="G771" i="15"/>
  <c r="G772" i="15"/>
  <c r="Q768" i="15"/>
  <c r="Q769" i="15"/>
  <c r="Q770" i="15"/>
  <c r="Q771" i="15"/>
  <c r="Q772" i="15"/>
  <c r="R121" i="19" l="1"/>
  <c r="O121" i="19"/>
  <c r="AA122" i="19"/>
  <c r="C183" i="14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O122" i="19" l="1"/>
  <c r="R122" i="19"/>
  <c r="C184" i="14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AA123" i="19" s="1"/>
  <c r="E123" i="19"/>
  <c r="G765" i="15"/>
  <c r="G766" i="15"/>
  <c r="G767" i="15"/>
  <c r="Q765" i="15"/>
  <c r="Q766" i="15"/>
  <c r="Q767" i="15"/>
  <c r="R123" i="19" l="1"/>
  <c r="O123" i="19"/>
  <c r="C185" i="14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AA124" i="19" s="1"/>
  <c r="E124" i="19"/>
  <c r="O124" i="19" l="1"/>
  <c r="R124" i="19"/>
  <c r="C186" i="14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AA125" i="19" s="1"/>
  <c r="Q761" i="15"/>
  <c r="R125" i="19" l="1"/>
  <c r="O125" i="19"/>
  <c r="AA126" i="19"/>
  <c r="C187" i="14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R126" i="19" l="1"/>
  <c r="O126" i="19"/>
  <c r="AA127" i="19"/>
  <c r="C188" i="14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R127" i="19" l="1"/>
  <c r="O127" i="19"/>
  <c r="C189" i="14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AA128" i="19" s="1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R128" i="19" l="1"/>
  <c r="O128" i="19"/>
  <c r="AA129" i="19"/>
  <c r="C190" i="14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R129" i="19" l="1"/>
  <c r="O129" i="19"/>
  <c r="AA130" i="19"/>
  <c r="C191" i="14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R130" i="19" l="1"/>
  <c r="O130" i="19"/>
  <c r="AA131" i="19"/>
  <c r="C192" i="14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R131" i="19" l="1"/>
  <c r="O131" i="19"/>
  <c r="AA132" i="19"/>
  <c r="C193" i="14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O132" i="19" l="1"/>
  <c r="R132" i="19"/>
  <c r="C194" i="14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AA133" i="19" s="1"/>
  <c r="G751" i="7"/>
  <c r="G752" i="7"/>
  <c r="G753" i="7"/>
  <c r="G754" i="7"/>
  <c r="G755" i="7"/>
  <c r="G756" i="7"/>
  <c r="R133" i="19" l="1"/>
  <c r="O133" i="19"/>
  <c r="AA134" i="19"/>
  <c r="C195" i="14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R134" i="19" l="1"/>
  <c r="O134" i="19"/>
  <c r="AA135" i="19"/>
  <c r="C196" i="14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R135" i="19" l="1"/>
  <c r="O135" i="19"/>
  <c r="AA136" i="19"/>
  <c r="C197" i="14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R136" i="19" l="1"/>
  <c r="O136" i="19"/>
  <c r="C198" i="14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AA137" i="19" s="1"/>
  <c r="Q745" i="15"/>
  <c r="R137" i="19" l="1"/>
  <c r="O137" i="19"/>
  <c r="AA138" i="19"/>
  <c r="C199" i="14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O138" i="19" l="1"/>
  <c r="R138" i="19"/>
  <c r="C200" i="14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AA139" i="19" s="1"/>
  <c r="G750" i="7"/>
  <c r="R139" i="19" l="1"/>
  <c r="O139" i="19"/>
  <c r="C201" i="14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AA140" i="19" s="1"/>
  <c r="E140" i="19"/>
  <c r="B140" i="19"/>
  <c r="Q744" i="15"/>
  <c r="O140" i="19" l="1"/>
  <c r="R140" i="19"/>
  <c r="C202" i="14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AA141" i="19" s="1"/>
  <c r="E141" i="19"/>
  <c r="R141" i="19" l="1"/>
  <c r="O141" i="19"/>
  <c r="C203" i="14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AA142" i="19" s="1"/>
  <c r="E142" i="19"/>
  <c r="Q743" i="15"/>
  <c r="Q742" i="15"/>
  <c r="Q741" i="15"/>
  <c r="R142" i="19" l="1"/>
  <c r="O142" i="19"/>
  <c r="C204" i="14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AA143" i="19" s="1"/>
  <c r="Q740" i="15"/>
  <c r="R143" i="19" l="1"/>
  <c r="O143" i="19"/>
  <c r="C205" i="14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AA144" i="19" s="1"/>
  <c r="E144" i="19"/>
  <c r="B144" i="19"/>
  <c r="R144" i="19" l="1"/>
  <c r="O144" i="19"/>
  <c r="C206" i="14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AA145" i="19" s="1"/>
  <c r="R145" i="19" l="1"/>
  <c r="O145" i="19"/>
  <c r="C207" i="14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AA146" i="19" s="1"/>
  <c r="E146" i="19"/>
  <c r="B146" i="19"/>
  <c r="R146" i="19" l="1"/>
  <c r="O146" i="19"/>
  <c r="C208" i="14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AA147" i="19" s="1"/>
  <c r="E147" i="19"/>
  <c r="R147" i="19" l="1"/>
  <c r="O147" i="19"/>
  <c r="C209" i="14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AA148" i="19" s="1"/>
  <c r="E148" i="19"/>
  <c r="Q736" i="15"/>
  <c r="Q737" i="15"/>
  <c r="Q738" i="15"/>
  <c r="Q739" i="15"/>
  <c r="O148" i="19" l="1"/>
  <c r="R148" i="19"/>
  <c r="C210" i="14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AA149" i="19" s="1"/>
  <c r="Q735" i="15"/>
  <c r="R149" i="19" l="1"/>
  <c r="O149" i="19"/>
  <c r="C211" i="14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AA150" i="19" s="1"/>
  <c r="E150" i="19"/>
  <c r="B150" i="19"/>
  <c r="O150" i="19" l="1"/>
  <c r="R150" i="19"/>
  <c r="C212" i="14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AA151" i="19" s="1"/>
  <c r="R151" i="19" l="1"/>
  <c r="O151" i="19"/>
  <c r="AA152" i="19"/>
  <c r="C213" i="14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R152" i="19" l="1"/>
  <c r="O152" i="19"/>
  <c r="C214" i="14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AA153" i="19" s="1"/>
  <c r="E153" i="19"/>
  <c r="R153" i="19" l="1"/>
  <c r="O153" i="19"/>
  <c r="AA154" i="19"/>
  <c r="C215" i="14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O154" i="19" l="1"/>
  <c r="R154" i="19"/>
  <c r="C216" i="14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AA155" i="19" s="1"/>
  <c r="Q729" i="15"/>
  <c r="Q730" i="15"/>
  <c r="Q731" i="15"/>
  <c r="R155" i="19" l="1"/>
  <c r="O155" i="19"/>
  <c r="C217" i="14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AA156" i="19" s="1"/>
  <c r="E156" i="19"/>
  <c r="O156" i="19" l="1"/>
  <c r="R156" i="19"/>
  <c r="C218" i="14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A157" i="19" s="1"/>
  <c r="A158" i="19"/>
  <c r="B157" i="19"/>
  <c r="Q728" i="15"/>
  <c r="R157" i="19" l="1"/>
  <c r="O157" i="19"/>
  <c r="C219" i="14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AA158" i="19" s="1"/>
  <c r="E158" i="19"/>
  <c r="B158" i="19"/>
  <c r="Q727" i="15"/>
  <c r="R158" i="19" l="1"/>
  <c r="O158" i="19"/>
  <c r="C220" i="14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AA159" i="19" s="1"/>
  <c r="E159" i="19"/>
  <c r="R159" i="19" l="1"/>
  <c r="O159" i="19"/>
  <c r="C221" i="14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AA160" i="19" s="1"/>
  <c r="E160" i="19"/>
  <c r="Q724" i="15"/>
  <c r="Q725" i="15"/>
  <c r="Q726" i="15"/>
  <c r="R160" i="19" l="1"/>
  <c r="O160" i="19"/>
  <c r="C222" i="14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AA161" i="19" s="1"/>
  <c r="R161" i="19" l="1"/>
  <c r="O161" i="19"/>
  <c r="AA162" i="19"/>
  <c r="C223" i="14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R162" i="19" l="1"/>
  <c r="O162" i="19"/>
  <c r="AA163" i="19"/>
  <c r="C224" i="14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R163" i="19" l="1"/>
  <c r="O163" i="19"/>
  <c r="AA164" i="19"/>
  <c r="C225" i="14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O164" i="19" l="1"/>
  <c r="R164" i="19"/>
  <c r="AA165" i="19"/>
  <c r="C226" i="14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R165" i="19" l="1"/>
  <c r="O165" i="19"/>
  <c r="AA166" i="19"/>
  <c r="C227" i="14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R166" i="19" l="1"/>
  <c r="O166" i="19"/>
  <c r="AA167" i="19"/>
  <c r="C228" i="14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R167" i="19" l="1"/>
  <c r="O167" i="19"/>
  <c r="AA168" i="19"/>
  <c r="C229" i="14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R168" i="19" l="1"/>
  <c r="O168" i="19"/>
  <c r="AA169" i="19"/>
  <c r="C230" i="14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R169" i="19" l="1"/>
  <c r="O169" i="19"/>
  <c r="AA170" i="19"/>
  <c r="C231" i="14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O170" i="19" l="1"/>
  <c r="R170" i="19"/>
  <c r="AA171" i="19"/>
  <c r="C232" i="14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R171" i="19" l="1"/>
  <c r="O171" i="19"/>
  <c r="AA172" i="19"/>
  <c r="C233" i="14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O172" i="19" l="1"/>
  <c r="R172" i="19"/>
  <c r="AA173" i="19"/>
  <c r="C234" i="14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R173" i="19" l="1"/>
  <c r="O173" i="19"/>
  <c r="AA174" i="19"/>
  <c r="C235" i="14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R174" i="19" l="1"/>
  <c r="O174" i="19"/>
  <c r="AA175" i="19"/>
  <c r="C236" i="14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R175" i="19" l="1"/>
  <c r="O175" i="19"/>
  <c r="AA176" i="19"/>
  <c r="C237" i="14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R176" i="19" l="1"/>
  <c r="O176" i="19"/>
  <c r="AA177" i="19"/>
  <c r="C238" i="14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R177" i="19" l="1"/>
  <c r="O177" i="19"/>
  <c r="AA178" i="19"/>
  <c r="C239" i="14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R178" i="19" l="1"/>
  <c r="O178" i="19"/>
  <c r="AA179" i="19"/>
  <c r="C240" i="14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R179" i="19" l="1"/>
  <c r="O179" i="19"/>
  <c r="AA180" i="19"/>
  <c r="C241" i="14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O180" i="19" l="1"/>
  <c r="R180" i="19"/>
  <c r="AA181" i="19"/>
  <c r="C242" i="14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R181" i="19" l="1"/>
  <c r="O181" i="19"/>
  <c r="AA182" i="19"/>
  <c r="C243" i="14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O182" i="19" l="1"/>
  <c r="R182" i="19"/>
  <c r="AA183" i="19"/>
  <c r="C244" i="14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R183" i="19" l="1"/>
  <c r="O183" i="19"/>
  <c r="AA184" i="19"/>
  <c r="C245" i="14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R184" i="19" l="1"/>
  <c r="O184" i="19"/>
  <c r="AA185" i="19"/>
  <c r="C246" i="14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R185" i="19" l="1"/>
  <c r="O185" i="19"/>
  <c r="AA186" i="19"/>
  <c r="C247" i="14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O186" i="19" l="1"/>
  <c r="R186" i="19"/>
  <c r="AA187" i="19"/>
  <c r="C248" i="14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R187" i="19" l="1"/>
  <c r="O187" i="19"/>
  <c r="AA188" i="19"/>
  <c r="C249" i="14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O188" i="19" l="1"/>
  <c r="R188" i="19"/>
  <c r="C250" i="14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AA189" i="19" s="1"/>
  <c r="R189" i="19" l="1"/>
  <c r="O189" i="19"/>
  <c r="C251" i="14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AA190" i="19" s="1"/>
  <c r="E190" i="19"/>
  <c r="B190" i="19"/>
  <c r="R190" i="19" l="1"/>
  <c r="O190" i="19"/>
  <c r="C252" i="14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AA191" i="19" s="1"/>
  <c r="E191" i="19"/>
  <c r="R191" i="19" l="1"/>
  <c r="O191" i="19"/>
  <c r="C253" i="14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AA192" i="19" s="1"/>
  <c r="E192" i="19"/>
  <c r="R192" i="19" l="1"/>
  <c r="O192" i="19"/>
  <c r="AA193" i="19"/>
  <c r="C254" i="14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R193" i="19" l="1"/>
  <c r="O193" i="19"/>
  <c r="C255" i="14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AA194" i="19" s="1"/>
  <c r="E194" i="19"/>
  <c r="B194" i="19"/>
  <c r="R194" i="19" l="1"/>
  <c r="O194" i="19"/>
  <c r="AA195" i="19"/>
  <c r="C256" i="14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R195" i="19" l="1"/>
  <c r="O195" i="19"/>
  <c r="AA196" i="19"/>
  <c r="C257" i="14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O196" i="19" l="1"/>
  <c r="R196" i="19"/>
  <c r="AA197" i="19"/>
  <c r="C258" i="14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R197" i="19" l="1"/>
  <c r="O197" i="19"/>
  <c r="AA198" i="19"/>
  <c r="C259" i="14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R198" i="19" l="1"/>
  <c r="O198" i="19"/>
  <c r="AA199" i="19"/>
  <c r="C260" i="14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R199" i="19" l="1"/>
  <c r="O199" i="19"/>
  <c r="AA200" i="19"/>
  <c r="C261" i="14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R200" i="19" l="1"/>
  <c r="O200" i="19"/>
  <c r="AA201" i="19"/>
  <c r="C262" i="14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R201" i="19" l="1"/>
  <c r="O201" i="19"/>
  <c r="AA202" i="19"/>
  <c r="C263" i="14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O202" i="19" l="1"/>
  <c r="R202" i="19"/>
  <c r="C264" i="14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AA203" i="19" s="1"/>
  <c r="E203" i="19"/>
  <c r="R203" i="19" l="1"/>
  <c r="O203" i="19"/>
  <c r="AA204" i="19"/>
  <c r="C265" i="14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O204" i="19" l="1"/>
  <c r="R204" i="19"/>
  <c r="C266" i="14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AA205" i="19" s="1"/>
  <c r="R205" i="19" l="1"/>
  <c r="O205" i="19"/>
  <c r="C267" i="14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AA206" i="19" s="1"/>
  <c r="B206" i="19"/>
  <c r="E206" i="19"/>
  <c r="R206" i="19" l="1"/>
  <c r="O206" i="19"/>
  <c r="AA207" i="19"/>
  <c r="C268" i="14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R207" i="19" l="1"/>
  <c r="O207" i="19"/>
  <c r="C269" i="14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AA208" i="19" s="1"/>
  <c r="B208" i="19"/>
  <c r="E208" i="19"/>
  <c r="Q677" i="15"/>
  <c r="R208" i="19" l="1"/>
  <c r="O208" i="19"/>
  <c r="C270" i="14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AA209" i="19" s="1"/>
  <c r="E209" i="19"/>
  <c r="R209" i="19" l="1"/>
  <c r="O209" i="19"/>
  <c r="C271" i="14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AA210" i="19" s="1"/>
  <c r="E210" i="19"/>
  <c r="C210" i="19"/>
  <c r="R210" i="19" l="1"/>
  <c r="O210" i="19"/>
  <c r="C272" i="14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AA211" i="19" s="1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R211" i="19" l="1"/>
  <c r="O211" i="19"/>
  <c r="C273" i="14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AA212" i="19" s="1"/>
  <c r="E212" i="19"/>
  <c r="O212" i="19" l="1"/>
  <c r="R212" i="19"/>
  <c r="AA213" i="19"/>
  <c r="C274" i="14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R213" i="19" l="1"/>
  <c r="O213" i="19"/>
  <c r="C275" i="14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AA214" i="19" s="1"/>
  <c r="E214" i="19"/>
  <c r="O214" i="19" l="1"/>
  <c r="R214" i="19"/>
  <c r="C276" i="14"/>
  <c r="H277" i="14"/>
  <c r="AF214" i="19"/>
  <c r="AR214" i="19"/>
  <c r="AD214" i="19"/>
  <c r="AE213" i="19"/>
  <c r="AH214" i="19"/>
  <c r="AC214" i="19"/>
  <c r="AG214" i="19"/>
  <c r="AB214" i="19"/>
  <c r="C215" i="19"/>
  <c r="D215" i="19"/>
  <c r="AA215" i="19" s="1"/>
  <c r="E215" i="19"/>
  <c r="A216" i="19"/>
  <c r="B215" i="19"/>
  <c r="R215" i="19" l="1"/>
  <c r="O215" i="19"/>
  <c r="C277" i="14"/>
  <c r="H278" i="14"/>
  <c r="AF215" i="19"/>
  <c r="AR215" i="19"/>
  <c r="AD215" i="19"/>
  <c r="AE214" i="19"/>
  <c r="AH215" i="19"/>
  <c r="AC215" i="19"/>
  <c r="AG215" i="19"/>
  <c r="AB215" i="19"/>
  <c r="C216" i="19"/>
  <c r="D216" i="19"/>
  <c r="AA216" i="19" s="1"/>
  <c r="E216" i="19"/>
  <c r="A217" i="19"/>
  <c r="B216" i="19"/>
  <c r="R216" i="19" l="1"/>
  <c r="O216" i="19"/>
  <c r="C278" i="14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A217" i="19" s="1"/>
  <c r="A218" i="19"/>
  <c r="B217" i="19"/>
  <c r="Q673" i="15"/>
  <c r="Q674" i="15"/>
  <c r="Q675" i="15"/>
  <c r="Q676" i="15"/>
  <c r="Q670" i="15"/>
  <c r="Q671" i="15"/>
  <c r="Q672" i="15"/>
  <c r="R217" i="19" l="1"/>
  <c r="O217" i="19"/>
  <c r="C279" i="14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AA218" i="19" s="1"/>
  <c r="E218" i="19"/>
  <c r="B218" i="19"/>
  <c r="Q669" i="15"/>
  <c r="O218" i="19" l="1"/>
  <c r="R218" i="19"/>
  <c r="C280" i="14"/>
  <c r="H281" i="14"/>
  <c r="AF218" i="19"/>
  <c r="AR218" i="19"/>
  <c r="AD218" i="19"/>
  <c r="AE217" i="19"/>
  <c r="AH218" i="19"/>
  <c r="AC218" i="19"/>
  <c r="AG218" i="19"/>
  <c r="AB218" i="19"/>
  <c r="E219" i="19"/>
  <c r="D219" i="19"/>
  <c r="AA219" i="19" s="1"/>
  <c r="A220" i="19"/>
  <c r="B219" i="19"/>
  <c r="C219" i="19"/>
  <c r="R219" i="19" l="1"/>
  <c r="O219" i="19"/>
  <c r="C281" i="14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AA220" i="19" s="1"/>
  <c r="O220" i="19" l="1"/>
  <c r="R220" i="19"/>
  <c r="C282" i="14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AA221" i="19" s="1"/>
  <c r="R221" i="19" l="1"/>
  <c r="O221" i="19"/>
  <c r="C283" i="14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AA222" i="19" s="1"/>
  <c r="R222" i="19" l="1"/>
  <c r="O222" i="19"/>
  <c r="C284" i="14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AA223" i="19" s="1"/>
  <c r="Q667" i="15"/>
  <c r="Q668" i="15"/>
  <c r="R223" i="19" l="1"/>
  <c r="O223" i="19"/>
  <c r="C285" i="14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AA224" i="19" s="1"/>
  <c r="E224" i="19"/>
  <c r="R224" i="19" l="1"/>
  <c r="O224" i="19"/>
  <c r="AA225" i="19"/>
  <c r="C286" i="14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R225" i="19" l="1"/>
  <c r="O225" i="19"/>
  <c r="C287" i="14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AA226" i="19" s="1"/>
  <c r="E226" i="19"/>
  <c r="R226" i="19" l="1"/>
  <c r="O226" i="19"/>
  <c r="C288" i="14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AA227" i="19" s="1"/>
  <c r="E227" i="19"/>
  <c r="Q663" i="15"/>
  <c r="Q664" i="15"/>
  <c r="Q665" i="15"/>
  <c r="Q666" i="15"/>
  <c r="Q662" i="15"/>
  <c r="R227" i="19" l="1"/>
  <c r="O227" i="19"/>
  <c r="C289" i="14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AA228" i="19" s="1"/>
  <c r="E228" i="19"/>
  <c r="O228" i="19" l="1"/>
  <c r="R228" i="19"/>
  <c r="C290" i="14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AA229" i="19" s="1"/>
  <c r="R229" i="19" l="1"/>
  <c r="O229" i="19"/>
  <c r="C291" i="14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AA230" i="19" s="1"/>
  <c r="E230" i="19"/>
  <c r="R230" i="19" l="1"/>
  <c r="O230" i="19"/>
  <c r="C292" i="14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AA231" i="19" s="1"/>
  <c r="R231" i="19" l="1"/>
  <c r="O231" i="19"/>
  <c r="C293" i="14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AA232" i="19" s="1"/>
  <c r="E232" i="19"/>
  <c r="R232" i="19" l="1"/>
  <c r="O232" i="19"/>
  <c r="C294" i="14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AA233" i="19" s="1"/>
  <c r="E233" i="19"/>
  <c r="A234" i="19"/>
  <c r="R233" i="19" l="1"/>
  <c r="O233" i="19"/>
  <c r="C295" i="14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AA234" i="19" s="1"/>
  <c r="E234" i="19"/>
  <c r="A235" i="19"/>
  <c r="O234" i="19" l="1"/>
  <c r="R234" i="19"/>
  <c r="C296" i="14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A235" i="19" s="1"/>
  <c r="A236" i="19"/>
  <c r="R235" i="19" l="1"/>
  <c r="O235" i="19"/>
  <c r="C297" i="14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AA236" i="19" s="1"/>
  <c r="E236" i="19"/>
  <c r="O236" i="19" l="1"/>
  <c r="R236" i="19"/>
  <c r="AA237" i="19"/>
  <c r="C298" i="14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R237" i="19" l="1"/>
  <c r="O237" i="19"/>
  <c r="AA238" i="19"/>
  <c r="C299" i="14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R238" i="19" l="1"/>
  <c r="O238" i="19"/>
  <c r="AA239" i="19"/>
  <c r="C300" i="14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R239" i="19" l="1"/>
  <c r="O239" i="19"/>
  <c r="AA240" i="19"/>
  <c r="C301" i="14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R240" i="19" l="1"/>
  <c r="O240" i="19"/>
  <c r="AA241" i="19"/>
  <c r="C302" i="14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R241" i="19" l="1"/>
  <c r="O241" i="19"/>
  <c r="AA242" i="19"/>
  <c r="C303" i="14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R242" i="19" l="1"/>
  <c r="O242" i="19"/>
  <c r="AA243" i="19"/>
  <c r="C304" i="14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R243" i="19" l="1"/>
  <c r="O243" i="19"/>
  <c r="AA244" i="19"/>
  <c r="C305" i="14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O244" i="19" l="1"/>
  <c r="R244" i="19"/>
  <c r="AA245" i="19"/>
  <c r="C306" i="14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R245" i="19" l="1"/>
  <c r="O245" i="19"/>
  <c r="AA246" i="19"/>
  <c r="C307" i="14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O246" i="19" l="1"/>
  <c r="R246" i="19"/>
  <c r="AA247" i="19"/>
  <c r="C308" i="14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R247" i="19" l="1"/>
  <c r="O247" i="19"/>
  <c r="AA248" i="19"/>
  <c r="C309" i="14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R248" i="19" l="1"/>
  <c r="O248" i="19"/>
  <c r="AA249" i="19"/>
  <c r="C310" i="14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R249" i="19" l="1"/>
  <c r="O249" i="19"/>
  <c r="AA250" i="19"/>
  <c r="C311" i="14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O250" i="19" l="1"/>
  <c r="R250" i="19"/>
  <c r="AA251" i="19"/>
  <c r="C312" i="14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R251" i="19" l="1"/>
  <c r="O251" i="19"/>
  <c r="AA252" i="19"/>
  <c r="C313" i="14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O252" i="19" l="1"/>
  <c r="R252" i="19"/>
  <c r="AA253" i="19"/>
  <c r="C314" i="14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R253" i="19" l="1"/>
  <c r="O253" i="19"/>
  <c r="AA254" i="19"/>
  <c r="C315" i="14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R254" i="19" l="1"/>
  <c r="O254" i="19"/>
  <c r="AA255" i="19"/>
  <c r="C316" i="14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R255" i="19" l="1"/>
  <c r="O255" i="19"/>
  <c r="C317" i="14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AA256" i="19" s="1"/>
  <c r="B256" i="19"/>
  <c r="R256" i="19" l="1"/>
  <c r="O256" i="19"/>
  <c r="C318" i="14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AA257" i="19" s="1"/>
  <c r="C257" i="19"/>
  <c r="R257" i="19" l="1"/>
  <c r="O257" i="19"/>
  <c r="C319" i="14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AA258" i="19" s="1"/>
  <c r="C258" i="19"/>
  <c r="R258" i="19" l="1"/>
  <c r="O258" i="19"/>
  <c r="AA259" i="19"/>
  <c r="C320" i="14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R259" i="19" l="1"/>
  <c r="O259" i="19"/>
  <c r="C321" i="14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AA260" i="19" s="1"/>
  <c r="O260" i="19" l="1"/>
  <c r="R260" i="19"/>
  <c r="C322" i="14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AA261" i="19" s="1"/>
  <c r="R261" i="19" l="1"/>
  <c r="O261" i="19"/>
  <c r="C323" i="14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AA262" i="19" s="1"/>
  <c r="E262" i="19"/>
  <c r="R262" i="19" l="1"/>
  <c r="O262" i="19"/>
  <c r="AA263" i="19"/>
  <c r="C324" i="14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R263" i="19" l="1"/>
  <c r="O263" i="19"/>
  <c r="C325" i="14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AA264" i="19" s="1"/>
  <c r="E264" i="19"/>
  <c r="R264" i="19" l="1"/>
  <c r="O264" i="19"/>
  <c r="C326" i="14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AA265" i="19" s="1"/>
  <c r="R265" i="19" l="1"/>
  <c r="O265" i="19"/>
  <c r="C327" i="14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AA266" i="19" s="1"/>
  <c r="E266" i="19"/>
  <c r="R266" i="19" l="1"/>
  <c r="O266" i="19"/>
  <c r="C328" i="14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AA267" i="19" s="1"/>
  <c r="R267" i="19" l="1"/>
  <c r="O267" i="19"/>
  <c r="C329" i="14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AA268" i="19" s="1"/>
  <c r="C268" i="19"/>
  <c r="A269" i="19"/>
  <c r="R268" i="19" l="1"/>
  <c r="O268" i="19"/>
  <c r="C330" i="14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AA269" i="19" s="1"/>
  <c r="E269" i="19"/>
  <c r="B269" i="19"/>
  <c r="R269" i="19" l="1"/>
  <c r="O269" i="19"/>
  <c r="AA270" i="19"/>
  <c r="C331" i="14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O270" i="19" l="1"/>
  <c r="R270" i="19"/>
  <c r="AA271" i="19"/>
  <c r="C332" i="14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R271" i="19" l="1"/>
  <c r="O271" i="19"/>
  <c r="AA272" i="19"/>
  <c r="C333" i="14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R272" i="19" l="1"/>
  <c r="O272" i="19"/>
  <c r="AA273" i="19"/>
  <c r="C334" i="14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R273" i="19" l="1"/>
  <c r="O273" i="19"/>
  <c r="AA274" i="19"/>
  <c r="C335" i="14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R274" i="19" l="1"/>
  <c r="O274" i="19"/>
  <c r="AA275" i="19"/>
  <c r="C336" i="14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R275" i="19" l="1"/>
  <c r="O275" i="19"/>
  <c r="AA276" i="19"/>
  <c r="C337" i="14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R276" i="19" l="1"/>
  <c r="O276" i="19"/>
  <c r="AA277" i="19"/>
  <c r="C338" i="14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O277" i="19" l="1"/>
  <c r="R277" i="19"/>
  <c r="AA278" i="19"/>
  <c r="C339" i="14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R278" i="19" l="1"/>
  <c r="O278" i="19"/>
  <c r="AA279" i="19"/>
  <c r="C15" i="13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I6" i="21" l="1"/>
  <c r="I7" i="21"/>
  <c r="I8" i="21"/>
  <c r="I9" i="21"/>
  <c r="I10" i="21"/>
  <c r="I2" i="21"/>
  <c r="R279" i="19"/>
  <c r="O279" i="19"/>
  <c r="I4" i="21"/>
  <c r="I3" i="21"/>
  <c r="I5" i="21"/>
  <c r="D18" i="12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C84" i="2"/>
  <c r="C94" i="2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J80" i="4" l="1"/>
  <c r="I81" i="4"/>
  <c r="I80" i="4"/>
  <c r="J81" i="4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Z237" i="19"/>
  <c r="Z158" i="19"/>
  <c r="Y102" i="19"/>
  <c r="Z246" i="19"/>
  <c r="Y273" i="19"/>
  <c r="Y156" i="19"/>
  <c r="Y34" i="19"/>
  <c r="Z231" i="19"/>
  <c r="Y33" i="19"/>
  <c r="Y144" i="19"/>
  <c r="Y193" i="19"/>
  <c r="Z223" i="19"/>
  <c r="Y76" i="19"/>
  <c r="Z28" i="19"/>
  <c r="Y276" i="19"/>
  <c r="Y19" i="19"/>
  <c r="Y48" i="19"/>
  <c r="Y253" i="19"/>
  <c r="Y2" i="19"/>
  <c r="Y181" i="19"/>
  <c r="Z199" i="19"/>
  <c r="Y63" i="19"/>
  <c r="Z117" i="19"/>
  <c r="Y18" i="19"/>
  <c r="Y69" i="19"/>
  <c r="Y109" i="19"/>
  <c r="Y35" i="19"/>
  <c r="Z3" i="19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Y67" i="19"/>
  <c r="Z131" i="19"/>
  <c r="Y167" i="19"/>
  <c r="Y180" i="19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Z32" i="19"/>
  <c r="Y83" i="19"/>
  <c r="Z148" i="19"/>
  <c r="Y207" i="19"/>
  <c r="Y212" i="19"/>
  <c r="Y15" i="19"/>
  <c r="Y131" i="19"/>
  <c r="Z178" i="19"/>
  <c r="Z97" i="19"/>
  <c r="Z102" i="19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Y270" i="19"/>
  <c r="Y255" i="19"/>
  <c r="Y94" i="19"/>
  <c r="Y257" i="19"/>
  <c r="Y140" i="19"/>
  <c r="Z33" i="19"/>
  <c r="Z38" i="19"/>
  <c r="Y153" i="19"/>
  <c r="Y75" i="19"/>
  <c r="Z188" i="19"/>
  <c r="Z31" i="19"/>
  <c r="Y97" i="19"/>
  <c r="Y218" i="19"/>
  <c r="Y199" i="19"/>
  <c r="Z168" i="19"/>
  <c r="Z175" i="19"/>
  <c r="Z141" i="19"/>
  <c r="Z254" i="19"/>
  <c r="Z265" i="19"/>
  <c r="Y91" i="19"/>
  <c r="Y235" i="19"/>
  <c r="Z92" i="19"/>
  <c r="Z236" i="19"/>
  <c r="Z212" i="19"/>
  <c r="Y127" i="19"/>
  <c r="Y243" i="19"/>
  <c r="Z100" i="19"/>
  <c r="Z180" i="19"/>
  <c r="Y267" i="19"/>
  <c r="Y249" i="19"/>
  <c r="Y138" i="19"/>
  <c r="Z235" i="19"/>
  <c r="Y80" i="19"/>
  <c r="Z109" i="19"/>
  <c r="Z169" i="19"/>
  <c r="Y247" i="19"/>
  <c r="Z53" i="19"/>
  <c r="Y278" i="19"/>
  <c r="Z78" i="19"/>
  <c r="Y132" i="19"/>
  <c r="Z94" i="19"/>
  <c r="Z47" i="19"/>
  <c r="Y125" i="19"/>
  <c r="Z8" i="19"/>
  <c r="Z203" i="19"/>
  <c r="Y53" i="19"/>
  <c r="Y136" i="19"/>
  <c r="Z271" i="19"/>
  <c r="Z185" i="19"/>
  <c r="Z174" i="19"/>
  <c r="Z98" i="19"/>
  <c r="Z22" i="19"/>
  <c r="Z192" i="19"/>
  <c r="Y41" i="19"/>
  <c r="Y92" i="19"/>
  <c r="Z255" i="19"/>
  <c r="Y209" i="19"/>
  <c r="Z204" i="19"/>
  <c r="Z14" i="19"/>
  <c r="Z25" i="19"/>
  <c r="Z34" i="19"/>
  <c r="Z123" i="19"/>
  <c r="Y244" i="19"/>
  <c r="Z276" i="19"/>
  <c r="Y31" i="19"/>
  <c r="Z18" i="19"/>
  <c r="Y30" i="19"/>
  <c r="Y101" i="19"/>
  <c r="Z39" i="19"/>
  <c r="Y230" i="19"/>
  <c r="Z273" i="19"/>
  <c r="Y236" i="19"/>
  <c r="Y116" i="19"/>
  <c r="Z9" i="19"/>
  <c r="Z70" i="19"/>
  <c r="Z65" i="19"/>
  <c r="Z146" i="19"/>
  <c r="Z147" i="19"/>
  <c r="Y5" i="19"/>
  <c r="Z215" i="19"/>
  <c r="Y72" i="19"/>
  <c r="Y258" i="19"/>
  <c r="Z268" i="19"/>
  <c r="Y251" i="19"/>
  <c r="Y164" i="19"/>
  <c r="Y177" i="19"/>
  <c r="Z191" i="19"/>
  <c r="Y60" i="19"/>
  <c r="Y234" i="19"/>
  <c r="Y165" i="19"/>
  <c r="Z167" i="19"/>
  <c r="Y210" i="19"/>
  <c r="Y117" i="19"/>
  <c r="Z71" i="19"/>
  <c r="Z164" i="19"/>
  <c r="Z12" i="19"/>
  <c r="Z72" i="19"/>
  <c r="Z121" i="19"/>
  <c r="Z110" i="19"/>
  <c r="Z61" i="19"/>
  <c r="Y120" i="19"/>
  <c r="Z37" i="19"/>
  <c r="Y9" i="19"/>
  <c r="Z56" i="19"/>
  <c r="Y160" i="19"/>
  <c r="Z7" i="19"/>
  <c r="Y85" i="19"/>
  <c r="Y266" i="19"/>
  <c r="Y16" i="19"/>
  <c r="Y183" i="19"/>
  <c r="Y148" i="19"/>
  <c r="Y32" i="19"/>
  <c r="Z241" i="19"/>
  <c r="Y166" i="19"/>
  <c r="Y197" i="19"/>
  <c r="Y191" i="19"/>
  <c r="Y119" i="19"/>
  <c r="Y179" i="19"/>
  <c r="Z243" i="19"/>
  <c r="Y250" i="19"/>
  <c r="Y113" i="19"/>
  <c r="Z63" i="19"/>
  <c r="Y77" i="19"/>
  <c r="Z202" i="19"/>
  <c r="Y155" i="19"/>
  <c r="Z58" i="19"/>
  <c r="Y182" i="19"/>
  <c r="Z27" i="19"/>
  <c r="Y232" i="19"/>
  <c r="Z16" i="19"/>
  <c r="Z85" i="19"/>
  <c r="Z157" i="19"/>
  <c r="Z206" i="19"/>
  <c r="Z217" i="19"/>
  <c r="Z171" i="19"/>
  <c r="Y11" i="19"/>
  <c r="Y256" i="19"/>
  <c r="Y121" i="19"/>
  <c r="Y208" i="19"/>
  <c r="Z36" i="19"/>
  <c r="Y274" i="19"/>
  <c r="Z4" i="19"/>
  <c r="Y137" i="19"/>
  <c r="Z227" i="19"/>
  <c r="Y17" i="19"/>
  <c r="Y58" i="19"/>
  <c r="Y275" i="19"/>
  <c r="Y203" i="19"/>
  <c r="Z60" i="19"/>
  <c r="Y219" i="19"/>
  <c r="Y118" i="19"/>
  <c r="Z219" i="19"/>
  <c r="Z40" i="19"/>
  <c r="Z108" i="19"/>
  <c r="Z260" i="19"/>
  <c r="Y265" i="19"/>
  <c r="Y170" i="19"/>
  <c r="Y28" i="19"/>
  <c r="Z127" i="19"/>
  <c r="Y145" i="19"/>
  <c r="Y122" i="19"/>
  <c r="Y49" i="19"/>
  <c r="Y169" i="19"/>
  <c r="Y128" i="19"/>
  <c r="Y252" i="19"/>
  <c r="Z119" i="19"/>
  <c r="Y24" i="19"/>
  <c r="Z261" i="19"/>
  <c r="Z186" i="19"/>
  <c r="Z75" i="19"/>
  <c r="Y37" i="19"/>
  <c r="Z68" i="19"/>
  <c r="Z120" i="19"/>
  <c r="Y25" i="19"/>
  <c r="Z30" i="19"/>
  <c r="Z59" i="19"/>
  <c r="Z82" i="19"/>
  <c r="Z6" i="19"/>
  <c r="Y7" i="19"/>
  <c r="Z89" i="19"/>
  <c r="Z29" i="19"/>
  <c r="Y187" i="19"/>
  <c r="Z105" i="19"/>
  <c r="Z45" i="19"/>
  <c r="Z205" i="19"/>
  <c r="Y90" i="19"/>
  <c r="Y272" i="19"/>
  <c r="Y43" i="19"/>
  <c r="Y216" i="19"/>
  <c r="Z69" i="19"/>
  <c r="Z10" i="19"/>
  <c r="Y151" i="19"/>
  <c r="Z17" i="19"/>
  <c r="Y84" i="19"/>
  <c r="Y79" i="19"/>
  <c r="Y204" i="19"/>
  <c r="Z225" i="19"/>
  <c r="Z230" i="19"/>
  <c r="Z224" i="19"/>
  <c r="Y211" i="19"/>
  <c r="Z20" i="19"/>
  <c r="Y261" i="19"/>
  <c r="Y162" i="19"/>
  <c r="Y126" i="19"/>
  <c r="Y45" i="19"/>
  <c r="Y81" i="19"/>
  <c r="Y186" i="19"/>
  <c r="Y231" i="19"/>
  <c r="Y277" i="19"/>
  <c r="Y194" i="19"/>
  <c r="Y40" i="19"/>
  <c r="Z151" i="19"/>
  <c r="Z154" i="19"/>
  <c r="Z277" i="19"/>
  <c r="Z136" i="19"/>
  <c r="Y264" i="19"/>
  <c r="Y36" i="19"/>
  <c r="Z57" i="19"/>
  <c r="Z46" i="19"/>
  <c r="Z278" i="19"/>
  <c r="Y73" i="19"/>
  <c r="Y54" i="19"/>
  <c r="Y96" i="19"/>
  <c r="Y168" i="19"/>
  <c r="Z26" i="19"/>
  <c r="Z149" i="19"/>
  <c r="Z221" i="19"/>
  <c r="Z270" i="19"/>
  <c r="Y214" i="19"/>
  <c r="Z144" i="19"/>
  <c r="Z172" i="19"/>
  <c r="Y158" i="19"/>
  <c r="Y98" i="19"/>
  <c r="Y229" i="19"/>
  <c r="Y26" i="19"/>
  <c r="Z19" i="19"/>
  <c r="Z99" i="19"/>
  <c r="Y147" i="19"/>
  <c r="Z152" i="19"/>
  <c r="Z88" i="19"/>
  <c r="Z50" i="19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Y226" i="19"/>
  <c r="Y103" i="19"/>
  <c r="Y78" i="19"/>
  <c r="Y23" i="19"/>
  <c r="Y62" i="19"/>
  <c r="Y29" i="19"/>
  <c r="Y172" i="19"/>
  <c r="Y246" i="19"/>
  <c r="Z275" i="19"/>
  <c r="Y52" i="19"/>
  <c r="Z62" i="19"/>
  <c r="Z73" i="19"/>
  <c r="Z134" i="19"/>
  <c r="Z129" i="19"/>
  <c r="Z210" i="19"/>
  <c r="Z122" i="19"/>
  <c r="Z181" i="19"/>
  <c r="Z155" i="19"/>
  <c r="Y248" i="19"/>
  <c r="Z80" i="19"/>
  <c r="Z160" i="19"/>
  <c r="Z216" i="19"/>
  <c r="Y263" i="19"/>
  <c r="Z66" i="19"/>
  <c r="Z106" i="19"/>
  <c r="Z165" i="19"/>
  <c r="Y50" i="19"/>
  <c r="Z259" i="19"/>
  <c r="Y99" i="19"/>
  <c r="Y149" i="19"/>
  <c r="Y221" i="19"/>
  <c r="Y225" i="19"/>
  <c r="Y112" i="19"/>
  <c r="Z145" i="19"/>
  <c r="Y20" i="19"/>
  <c r="Y259" i="19"/>
  <c r="Z114" i="19"/>
  <c r="Z115" i="19"/>
  <c r="Y46" i="19"/>
  <c r="Y70" i="19"/>
  <c r="Z116" i="19"/>
  <c r="Y51" i="19"/>
  <c r="Y86" i="19"/>
  <c r="Y93" i="19"/>
  <c r="Y21" i="19"/>
  <c r="Y224" i="19"/>
  <c r="Y42" i="19"/>
  <c r="Y240" i="19"/>
  <c r="Z11" i="19"/>
  <c r="Z132" i="19"/>
  <c r="Y133" i="19"/>
  <c r="Z267" i="19"/>
  <c r="Z182" i="19"/>
  <c r="Y220" i="19"/>
  <c r="Y196" i="19"/>
  <c r="Y39" i="19"/>
  <c r="Z49" i="19"/>
  <c r="Y152" i="19"/>
  <c r="Z201" i="19"/>
  <c r="Z77" i="19"/>
  <c r="Z159" i="19"/>
  <c r="Y107" i="19"/>
  <c r="Y141" i="19"/>
  <c r="Z64" i="19"/>
  <c r="Z251" i="19"/>
  <c r="Y242" i="19"/>
  <c r="Y110" i="19"/>
  <c r="Z269" i="19"/>
  <c r="Y159" i="19"/>
  <c r="Y68" i="19"/>
  <c r="Z239" i="19"/>
  <c r="Y223" i="19"/>
  <c r="Z163" i="19"/>
  <c r="Y268" i="19"/>
  <c r="Y3" i="19"/>
  <c r="Z242" i="19"/>
  <c r="Z161" i="19"/>
  <c r="Z166" i="19"/>
  <c r="Y202" i="19"/>
  <c r="Z91" i="19"/>
  <c r="Y176" i="19"/>
  <c r="Y189" i="19"/>
  <c r="Z67" i="19"/>
  <c r="Z248" i="19"/>
  <c r="Y55" i="19"/>
  <c r="Z125" i="19"/>
  <c r="Y178" i="19"/>
  <c r="Y228" i="19"/>
  <c r="Z244" i="19"/>
  <c r="Z184" i="19"/>
  <c r="Y215" i="19"/>
  <c r="Y173" i="19"/>
  <c r="Y163" i="19"/>
  <c r="Y12" i="19"/>
  <c r="Y129" i="19"/>
  <c r="Y111" i="19"/>
  <c r="Z233" i="19"/>
  <c r="Z173" i="19"/>
  <c r="Z229" i="19"/>
  <c r="Z43" i="19"/>
  <c r="Z274" i="19"/>
  <c r="Z198" i="19"/>
  <c r="Z126" i="19"/>
  <c r="Z214" i="19"/>
  <c r="Y8" i="19"/>
  <c r="Z21" i="19"/>
  <c r="Y59" i="19"/>
  <c r="Z79" i="19"/>
  <c r="Y57" i="19"/>
  <c r="Y254" i="19"/>
  <c r="Z156" i="19"/>
  <c r="Z139" i="19"/>
  <c r="Z234" i="19"/>
  <c r="Z194" i="19"/>
  <c r="Z54" i="19"/>
  <c r="Y74" i="19"/>
  <c r="Y271" i="19"/>
  <c r="Z220" i="19"/>
  <c r="Z42" i="19"/>
  <c r="Z2" i="19"/>
  <c r="Z84" i="19"/>
  <c r="Y108" i="19"/>
  <c r="Y237" i="19"/>
  <c r="Z211" i="19"/>
  <c r="Z130" i="19"/>
  <c r="Z93" i="19"/>
  <c r="Z142" i="19"/>
  <c r="Z153" i="19"/>
  <c r="Z86" i="19"/>
  <c r="Z81" i="19"/>
  <c r="Z162" i="19"/>
  <c r="Y61" i="19"/>
  <c r="Y206" i="19"/>
  <c r="Y130" i="19"/>
  <c r="Y245" i="19"/>
  <c r="Y175" i="19"/>
  <c r="Y100" i="19"/>
  <c r="Z226" i="19"/>
  <c r="Z150" i="19"/>
  <c r="Z51" i="19"/>
  <c r="Y150" i="19"/>
  <c r="Z107" i="19"/>
  <c r="Y106" i="19"/>
  <c r="Y233" i="19"/>
  <c r="Y64" i="19"/>
  <c r="Z247" i="19"/>
  <c r="Y88" i="19"/>
  <c r="Z197" i="19"/>
  <c r="Z138" i="19"/>
  <c r="Y4" i="19"/>
  <c r="Z208" i="19"/>
  <c r="Y222" i="19"/>
  <c r="Y201" i="19"/>
  <c r="Y134" i="19"/>
  <c r="Y82" i="19"/>
  <c r="Z187" i="19"/>
  <c r="Z176" i="19"/>
  <c r="Z103" i="19"/>
  <c r="Y146" i="19"/>
  <c r="Z124" i="19"/>
  <c r="Z177" i="19"/>
  <c r="Z55" i="19"/>
  <c r="Y114" i="19"/>
  <c r="Z133" i="19"/>
  <c r="Z190" i="19"/>
  <c r="Y161" i="19"/>
  <c r="Y44" i="19"/>
  <c r="Z272" i="19"/>
  <c r="Z183" i="19"/>
  <c r="Y56" i="19"/>
  <c r="Z101" i="19"/>
  <c r="Y198" i="19"/>
  <c r="Y260" i="19"/>
  <c r="Z135" i="19"/>
  <c r="Y262" i="19"/>
  <c r="Z228" i="19"/>
  <c r="Z252" i="19"/>
  <c r="Z140" i="19"/>
  <c r="Y238" i="19"/>
  <c r="Y105" i="19"/>
  <c r="Y192" i="19"/>
  <c r="Z96" i="19"/>
  <c r="Z24" i="19"/>
  <c r="Y269" i="19"/>
  <c r="Z266" i="19"/>
  <c r="Y171" i="19"/>
  <c r="Y174" i="19"/>
  <c r="Z196" i="19"/>
  <c r="Z111" i="19"/>
  <c r="Z48" i="19"/>
  <c r="Z83" i="19"/>
  <c r="Y154" i="19"/>
  <c r="Y65" i="19"/>
  <c r="Y139" i="19"/>
  <c r="Y185" i="19"/>
  <c r="Y10" i="19"/>
  <c r="Z95" i="19"/>
  <c r="Z222" i="19"/>
  <c r="Z170" i="19"/>
  <c r="Y135" i="19"/>
  <c r="Y184" i="19"/>
  <c r="Z193" i="19"/>
  <c r="Z137" i="19"/>
  <c r="Z13" i="19"/>
  <c r="Y195" i="19"/>
  <c r="Z209" i="19"/>
  <c r="Z76" i="19"/>
  <c r="Z253" i="19"/>
  <c r="Z15" i="19"/>
  <c r="Z87" i="19"/>
  <c r="Z264" i="19"/>
  <c r="Y239" i="19"/>
  <c r="Z256" i="19"/>
  <c r="Z104" i="19"/>
  <c r="Z52" i="19"/>
  <c r="Y279" i="19"/>
  <c r="Y217" i="19"/>
  <c r="Y115" i="19"/>
  <c r="Y157" i="19"/>
  <c r="Y87" i="19"/>
  <c r="Z128" i="19"/>
  <c r="Z74" i="19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H90" i="15"/>
  <c r="G8" i="21" l="1"/>
  <c r="G7" i="21"/>
  <c r="G9" i="21"/>
  <c r="G10" i="21"/>
  <c r="G6" i="21"/>
  <c r="K40" i="4"/>
  <c r="G2" i="21"/>
  <c r="G4" i="21"/>
  <c r="G5" i="21"/>
  <c r="G3" i="21"/>
  <c r="K50" i="4"/>
  <c r="K48" i="4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D9" i="13"/>
  <c r="E7" i="18" s="1"/>
  <c r="F7" i="18" s="1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4" i="10" l="1"/>
  <c r="D28" i="13" s="1"/>
  <c r="P13" i="12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A1594" i="16" s="1"/>
  <c r="A1595" i="16" s="1"/>
  <c r="A1596" i="16" s="1"/>
  <c r="A1597" i="16" s="1"/>
  <c r="A1598" i="16" s="1"/>
  <c r="A1599" i="16" s="1"/>
  <c r="A1600" i="16" s="1"/>
  <c r="A1601" i="16" s="1"/>
  <c r="A1602" i="16" s="1"/>
  <c r="A1603" i="16" s="1"/>
  <c r="A1604" i="16" s="1"/>
  <c r="A1605" i="16" s="1"/>
  <c r="A1606" i="16" s="1"/>
  <c r="A1607" i="16" s="1"/>
  <c r="A1608" i="16" s="1"/>
  <c r="A1609" i="16" s="1"/>
  <c r="A1610" i="16" s="1"/>
  <c r="A1611" i="16" s="1"/>
  <c r="A1612" i="16" s="1"/>
  <c r="A1613" i="16" s="1"/>
  <c r="A1614" i="16" s="1"/>
  <c r="A1615" i="16" s="1"/>
  <c r="A1616" i="16" s="1"/>
  <c r="A1617" i="16" s="1"/>
  <c r="A1618" i="16" s="1"/>
  <c r="A1619" i="16" s="1"/>
  <c r="A1620" i="16" s="1"/>
  <c r="A1621" i="16" s="1"/>
  <c r="A1622" i="16" s="1"/>
  <c r="A1623" i="16" s="1"/>
  <c r="A1624" i="16" s="1"/>
  <c r="A1625" i="16" s="1"/>
  <c r="A1626" i="16" s="1"/>
  <c r="A1627" i="16" s="1"/>
  <c r="A1628" i="16" s="1"/>
  <c r="A1629" i="16" s="1"/>
  <c r="A1630" i="16" s="1"/>
  <c r="A1631" i="16" s="1"/>
  <c r="A1632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<sst xmlns="http://schemas.openxmlformats.org/spreadsheetml/2006/main" count="27424" uniqueCount="1752">
  <si>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</si>
  <si>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</si>
  <si>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</si>
  <si>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</si>
  <si>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</si>
  <si>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</si>
  <si>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</si>
  <si>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</si>
  <si>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</si>
  <si>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</si>
  <si>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</si>
  <si>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</si>
  <si>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</si>
  <si>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</si>
  <si>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</si>
  <si>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</si>
  <si>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</si>
  <si>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</si>
  <si>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</si>
  <si>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</si>
  <si>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</si>
  <si>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</si>
  <si>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</si>
  <si>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</si>
  <si>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</si>
  <si>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</si>
  <si>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</si>
  <si>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</si>
  <si>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</si>
  <si>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</si>
  <si>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</si>
  <si>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</si>
  <si>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</si>
  <si>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</si>
  <si>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</si>
  <si>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</si>
  <si>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</si>
  <si>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</si>
  <si>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</si>
  <si>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</si>
  <si>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</si>
  <si>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</si>
  <si>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</si>
  <si>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</si>
  <si>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</si>
  <si>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</si>
  <si>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</si>
  <si>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</si>
  <si>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</si>
  <si>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</si>
  <si>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</si>
  <si>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</si>
  <si>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</si>
  <si>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</si>
  <si>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</si>
  <si>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</si>
  <si>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</si>
  <si>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</si>
  <si>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</si>
  <si>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</si>
  <si>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</si>
  <si>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</si>
  <si>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</si>
  <si>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</si>
  <si>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</si>
  <si>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</si>
  <si>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</si>
  <si>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</si>
  <si>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</si>
  <si>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</si>
  <si>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</si>
  <si>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</si>
  <si>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</si>
  <si>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</si>
  <si>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</si>
  <si>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</si>
  <si>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</si>
  <si>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</si>
  <si>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</si>
  <si>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</si>
  <si>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</si>
  <si>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</si>
  <si>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</si>
  <si>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</si>
  <si>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</si>
  <si>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</si>
  <si>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</si>
  <si>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</si>
  <si>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</si>
  <si>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</si>
  <si>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</si>
  <si>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</si>
  <si>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</si>
  <si>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</si>
  <si>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</si>
  <si>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</si>
  <si>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</si>
  <si>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</si>
  <si>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</si>
  <si>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</si>
  <si>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</si>
  <si>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</si>
  <si>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</si>
  <si>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</si>
  <si>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</si>
  <si>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</si>
  <si>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</si>
  <si>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</si>
  <si>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</si>
  <si>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</si>
  <si>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</si>
  <si>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</si>
  <si>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</si>
  <si>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</si>
  <si>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</si>
  <si>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</si>
  <si>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</si>
  <si>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</si>
  <si>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</si>
  <si>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</si>
  <si>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</si>
  <si>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</si>
  <si>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</si>
  <si>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</si>
  <si>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</si>
  <si>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</si>
  <si>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</si>
  <si>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</si>
  <si>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</si>
  <si>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</si>
  <si>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</si>
  <si>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</si>
  <si>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</si>
  <si>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</si>
  <si>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</si>
  <si>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</si>
  <si>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</si>
  <si>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</si>
  <si>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</si>
  <si>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</si>
  <si>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</si>
  <si>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</si>
  <si>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</si>
  <si>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</si>
  <si>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</si>
  <si>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</si>
  <si>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</si>
  <si>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</si>
  <si>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</si>
  <si>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</si>
  <si>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</si>
  <si>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</si>
  <si>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</si>
  <si>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</si>
  <si>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</si>
  <si>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</si>
  <si>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</si>
  <si>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</si>
  <si>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</si>
  <si>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</si>
  <si>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</si>
  <si>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</si>
  <si>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</si>
  <si>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</si>
  <si>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</si>
  <si>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</si>
  <si>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</si>
  <si>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</si>
  <si>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</si>
  <si>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</si>
  <si>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</si>
  <si>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</si>
  <si>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</si>
  <si>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</si>
  <si>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</si>
  <si>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</si>
  <si>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</si>
  <si>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</si>
  <si>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</si>
  <si>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</si>
  <si>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</si>
  <si>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</si>
  <si>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</si>
  <si>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</si>
  <si>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</si>
  <si>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</si>
  <si>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</si>
  <si>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</si>
  <si>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</si>
  <si>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</si>
  <si>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</si>
  <si>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</si>
  <si>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</si>
  <si>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</si>
  <si>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</si>
  <si>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</si>
  <si>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</si>
  <si>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</si>
  <si>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</si>
  <si>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</si>
  <si>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</si>
  <si>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</si>
  <si>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</si>
  <si>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</si>
  <si>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</si>
  <si>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</si>
  <si>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</si>
  <si>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</si>
  <si>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</si>
  <si>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</si>
  <si>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</si>
  <si>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</si>
  <si>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</si>
  <si>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</si>
  <si>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</si>
  <si>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</si>
  <si>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</si>
  <si>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</si>
  <si>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</si>
  <si>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</si>
  <si>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</si>
  <si>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</si>
  <si>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</si>
  <si>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</si>
  <si>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</si>
  <si>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</si>
  <si>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</si>
  <si>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</si>
  <si>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</si>
  <si>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</si>
  <si>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</si>
  <si>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</si>
  <si>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</si>
  <si>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</si>
  <si>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</si>
  <si>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</si>
  <si>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</si>
  <si>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</si>
  <si>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</si>
  <si>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</si>
  <si>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</si>
  <si>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</si>
  <si>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</si>
  <si>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</si>
  <si>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</si>
  <si>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</si>
  <si>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</si>
  <si>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</si>
  <si>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</si>
  <si>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</si>
  <si>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</si>
  <si>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</si>
  <si>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</si>
  <si>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</si>
  <si>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</si>
  <si>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</si>
  <si>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</si>
  <si>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</si>
  <si>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</si>
  <si>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</si>
  <si>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</si>
  <si>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</si>
  <si>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</si>
  <si>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</si>
  <si>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</si>
  <si>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</si>
  <si>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</si>
  <si>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</si>
  <si>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</si>
  <si>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</si>
  <si>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</si>
  <si>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</si>
  <si>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</si>
  <si>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</si>
  <si>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</si>
  <si>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</si>
  <si>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</si>
  <si>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</si>
  <si>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</si>
  <si>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</si>
  <si>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</si>
  <si>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</si>
  <si>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</si>
  <si>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</si>
  <si>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</si>
  <si>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</si>
  <si>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</si>
  <si>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</si>
  <si>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</si>
  <si>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</si>
  <si>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</si>
  <si>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</si>
  <si>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</si>
  <si>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</si>
  <si>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</si>
  <si>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</si>
  <si>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</si>
  <si>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</si>
  <si>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</si>
  <si>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</si>
  <si>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</si>
  <si>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</si>
  <si>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</si>
  <si>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</si>
  <si>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</si>
  <si>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</si>
  <si>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</si>
  <si>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</si>
  <si>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</si>
  <si>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</si>
  <si>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</si>
  <si>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</si>
  <si>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</si>
  <si>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</si>
  <si>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</si>
  <si>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</si>
  <si>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</si>
  <si>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</si>
  <si>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</si>
  <si>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</si>
  <si>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</si>
  <si>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</si>
  <si>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</si>
  <si>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</si>
  <si>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</si>
  <si>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</si>
  <si>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</si>
  <si>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</si>
  <si>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</si>
  <si>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</si>
  <si>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</si>
  <si>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</si>
  <si>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</si>
  <si>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</si>
  <si>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</si>
  <si>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</si>
  <si>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</si>
  <si>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</si>
  <si>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</si>
  <si>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</si>
  <si>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</si>
  <si>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</si>
  <si>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</si>
  <si>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</si>
  <si>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</si>
  <si>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</si>
  <si>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</si>
  <si>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</si>
  <si>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</si>
  <si>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</si>
  <si>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</si>
  <si>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</si>
  <si>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</si>
  <si>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</si>
  <si>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</si>
  <si>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</si>
  <si>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</si>
  <si>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</si>
  <si>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</si>
  <si>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</si>
  <si>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</si>
  <si>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</si>
  <si>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</si>
  <si>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</si>
  <si>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</si>
  <si>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</si>
  <si>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</si>
  <si>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</si>
  <si>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</si>
  <si>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</si>
  <si>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</si>
  <si>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</si>
  <si>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</si>
  <si>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</si>
  <si>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</si>
  <si>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</si>
  <si>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</si>
  <si>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</si>
  <si>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</si>
  <si>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</si>
  <si>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</si>
  <si>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</si>
  <si>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</si>
  <si>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</si>
  <si>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</si>
  <si>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</si>
  <si>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</si>
  <si>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</si>
  <si>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</si>
  <si>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</si>
  <si>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</si>
  <si>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</si>
  <si>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</si>
  <si>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</si>
  <si>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</si>
  <si>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</si>
  <si>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</si>
  <si>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</si>
  <si>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</si>
  <si>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</si>
  <si>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</si>
  <si>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</si>
  <si>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</si>
  <si>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</si>
  <si>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</si>
  <si>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</si>
  <si>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</si>
  <si>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</si>
  <si>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</si>
  <si>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</si>
  <si>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</si>
  <si>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</si>
  <si>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</si>
  <si>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</si>
  <si>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</si>
  <si>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</si>
  <si>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</si>
  <si>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</si>
  <si>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</si>
  <si>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</si>
  <si>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</si>
  <si>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</si>
  <si>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</si>
  <si>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</si>
  <si>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</si>
  <si>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</si>
  <si>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</si>
  <si>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</si>
  <si>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</si>
  <si>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</si>
  <si>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</si>
  <si>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</si>
  <si>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Lost POA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</si>
  <si>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</si>
  <si>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</si>
  <si>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</si>
  <si>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</si>
  <si>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</si>
  <si>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</si>
  <si>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</si>
  <si>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</si>
  <si>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</si>
  <si>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</si>
  <si>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</si>
  <si>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</si>
  <si>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</si>
  <si>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</si>
  <si>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</si>
  <si>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</si>
  <si>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</si>
  <si>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</si>
  <si>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</si>
  <si>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</si>
  <si>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</si>
  <si>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</si>
  <si>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</si>
  <si>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</si>
  <si>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</si>
  <si>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</si>
  <si>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</si>
  <si>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</si>
  <si>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</si>
  <si>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</si>
  <si>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</si>
  <si>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</si>
  <si>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</si>
  <si>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</si>
  <si>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</si>
  <si>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</si>
  <si>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</si>
  <si>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</si>
  <si>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</si>
  <si>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</si>
  <si>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</si>
  <si>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</si>
  <si>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</si>
  <si>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</si>
  <si>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</si>
  <si>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</si>
  <si>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</si>
  <si>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</si>
  <si>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</si>
  <si>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</si>
  <si>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</si>
  <si>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</si>
  <si>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</si>
  <si>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</si>
  <si>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</si>
  <si>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</si>
  <si>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</si>
  <si>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</si>
  <si>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</si>
  <si>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</si>
  <si>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</si>
  <si>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</si>
  <si>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</si>
  <si>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</si>
  <si>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</si>
  <si>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</si>
  <si>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</si>
  <si>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</si>
  <si>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</si>
  <si>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</si>
  <si>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</si>
  <si>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</si>
  <si>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</si>
  <si>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</si>
  <si>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</si>
  <si>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</si>
  <si>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</si>
  <si>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</si>
  <si>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</si>
  <si>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</si>
  <si>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</si>
  <si>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</si>
  <si>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</si>
  <si>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</si>
  <si>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</si>
  <si>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</si>
  <si>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</si>
  <si>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</si>
  <si>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</si>
  <si>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</si>
  <si>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</si>
  <si>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</si>
  <si>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</si>
  <si>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</si>
  <si>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</si>
  <si>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</si>
  <si>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</si>
  <si>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</si>
  <si>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</si>
  <si>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</si>
  <si>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</si>
  <si>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</si>
  <si>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</si>
  <si>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</si>
  <si>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</si>
  <si>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</si>
  <si>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</si>
  <si>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</si>
  <si>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</si>
  <si>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</si>
  <si>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</si>
  <si>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</si>
  <si>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</si>
  <si>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</si>
  <si>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</si>
  <si>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</si>
  <si>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</si>
  <si>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</si>
  <si>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</si>
  <si>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</si>
  <si>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</si>
  <si>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</si>
  <si>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</si>
  <si>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</si>
  <si>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</si>
  <si>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</si>
  <si>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</si>
  <si>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</si>
  <si>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</si>
  <si>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</si>
  <si>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</si>
  <si>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</si>
  <si>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</si>
  <si>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</si>
  <si>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</si>
  <si>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</si>
  <si>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</si>
  <si>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</si>
  <si>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</si>
  <si>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</si>
  <si>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</si>
  <si>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</si>
  <si>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</si>
  <si>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</si>
  <si>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</si>
  <si>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</si>
  <si>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</si>
  <si>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</si>
  <si>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</si>
  <si>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</si>
  <si>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</si>
  <si>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</si>
  <si>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</si>
  <si>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</si>
  <si>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</si>
  <si>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</si>
  <si>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</si>
  <si>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</si>
  <si>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</si>
  <si>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</si>
  <si>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</si>
  <si>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</si>
  <si>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</si>
  <si>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</si>
  <si>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</si>
  <si>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</si>
  <si>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</si>
  <si>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</si>
  <si>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</si>
  <si>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</si>
  <si>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</si>
  <si>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</si>
  <si>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</si>
  <si>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</si>
  <si>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</si>
  <si>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</si>
  <si>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</si>
  <si>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</si>
  <si>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</si>
  <si>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</si>
  <si>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</si>
  <si>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</si>
  <si>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</si>
  <si>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</si>
  <si>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</si>
  <si>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</si>
  <si>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</si>
  <si>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</si>
  <si>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</si>
  <si>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</si>
  <si>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</si>
  <si>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</si>
  <si>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</si>
  <si>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</si>
  <si>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</si>
  <si>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</si>
  <si>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</si>
  <si>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</si>
  <si>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</si>
  <si>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</si>
  <si>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</si>
  <si>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</si>
  <si>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</si>
  <si>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</si>
  <si>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</si>
  <si>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</si>
  <si>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</si>
  <si>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</si>
  <si>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</si>
  <si>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</si>
  <si>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</si>
  <si>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</si>
  <si>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</si>
  <si>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</si>
  <si>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</si>
  <si>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</si>
  <si>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</si>
  <si>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</si>
  <si>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</si>
  <si>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</si>
  <si>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</si>
  <si>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</si>
  <si>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</si>
  <si>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</si>
  <si>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</si>
  <si>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</si>
  <si>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</si>
  <si>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</si>
  <si>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</si>
  <si>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</si>
  <si>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</si>
  <si>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</si>
  <si>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</si>
  <si>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</si>
  <si>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</si>
  <si>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</si>
  <si>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</si>
  <si>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</si>
  <si>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</si>
  <si>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</si>
  <si>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</si>
  <si>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</si>
  <si>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</si>
  <si>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</si>
  <si>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</si>
  <si>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</si>
  <si>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</si>
  <si>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</si>
  <si>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</si>
  <si>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</si>
  <si>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</si>
  <si>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</si>
  <si>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</si>
  <si>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</si>
  <si>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</si>
  <si>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</si>
  <si>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</si>
  <si>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</si>
  <si>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</si>
  <si>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</si>
  <si>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</si>
  <si>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</si>
  <si>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</si>
  <si>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</si>
  <si>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</si>
  <si>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</si>
  <si>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</si>
  <si>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</si>
  <si>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</si>
  <si>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</si>
  <si>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</si>
  <si>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</si>
  <si>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</si>
  <si>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</si>
  <si>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</si>
  <si>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</si>
  <si>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</si>
  <si>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</si>
  <si>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</si>
  <si>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</si>
  <si>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</si>
  <si>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</si>
  <si>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</si>
  <si>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</si>
  <si>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</si>
  <si>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</si>
  <si>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</si>
  <si>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</si>
  <si>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</si>
  <si>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</si>
  <si>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</si>
  <si>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</si>
  <si>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</si>
  <si>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</si>
  <si>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</si>
  <si>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</si>
  <si>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</si>
  <si>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</si>
  <si>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</si>
  <si>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</si>
  <si>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</si>
  <si>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</si>
  <si>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</si>
  <si>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</si>
  <si>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</si>
  <si>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</si>
  <si>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</si>
  <si>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</si>
  <si>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</si>
  <si>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</si>
  <si>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</si>
  <si>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</si>
  <si>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</si>
  <si>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</si>
  <si>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</si>
  <si>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</si>
  <si>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</si>
  <si>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</si>
  <si>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</si>
  <si>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</si>
  <si>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</si>
  <si>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</si>
  <si>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</si>
  <si>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</si>
  <si>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</si>
  <si>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</si>
  <si>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</si>
  <si>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</si>
  <si>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</si>
  <si>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</si>
  <si>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</si>
  <si>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</si>
  <si>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</si>
  <si>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</si>
  <si>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</si>
  <si>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</si>
  <si>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</si>
  <si>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</si>
  <si>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</si>
  <si>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</si>
  <si>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</si>
  <si>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</si>
  <si>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</si>
  <si>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</si>
  <si>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</si>
  <si>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</si>
  <si>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</si>
  <si>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</si>
  <si>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</si>
  <si>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</si>
  <si>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</si>
  <si>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</si>
  <si>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</si>
  <si>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</si>
  <si>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</si>
  <si>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</si>
  <si>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</si>
  <si>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</si>
  <si>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</si>
  <si>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</si>
  <si>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</si>
  <si>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</si>
  <si>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</si>
  <si>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</si>
  <si>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</si>
  <si>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</si>
  <si>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</si>
  <si>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</si>
  <si>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</si>
  <si>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</si>
  <si>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</si>
  <si>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</si>
  <si>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</si>
  <si>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</si>
  <si>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</si>
  <si>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</si>
  <si>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</si>
  <si>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</si>
  <si>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</si>
  <si>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</si>
  <si>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</si>
  <si>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</si>
  <si>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</si>
  <si>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</si>
  <si>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</si>
  <si>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</si>
  <si>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</si>
  <si>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</si>
  <si>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</si>
  <si>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</si>
  <si>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</si>
  <si>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</si>
  <si>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</si>
  <si>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</si>
  <si>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</si>
  <si>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</si>
  <si>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</si>
  <si>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</si>
  <si>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</si>
  <si>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</si>
  <si>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</si>
  <si>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</si>
  <si>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</si>
  <si>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</si>
  <si>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</si>
  <si>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</si>
  <si>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</si>
  <si>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</si>
  <si>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</si>
  <si>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</si>
  <si>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</si>
  <si>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</si>
  <si>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</si>
  <si>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</si>
  <si>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</si>
  <si>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</si>
  <si>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</si>
  <si>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</si>
  <si>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</si>
  <si>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</si>
  <si>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</si>
  <si>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</si>
  <si>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</si>
  <si>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</si>
  <si>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</si>
  <si>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</si>
  <si>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</si>
  <si>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</si>
  <si>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</si>
  <si>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</si>
  <si>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</si>
  <si>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</si>
  <si>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</si>
  <si>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</si>
  <si>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</si>
  <si>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</si>
  <si>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</si>
  <si>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</si>
  <si>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</si>
  <si>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</si>
  <si>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</si>
  <si>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</si>
  <si>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</si>
  <si>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</si>
  <si>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</si>
  <si>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</si>
  <si>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</si>
  <si>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</si>
  <si>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</si>
  <si>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</si>
  <si>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</si>
  <si>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</si>
  <si>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</si>
  <si>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</si>
  <si>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</si>
  <si>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</si>
  <si>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</si>
  <si>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</si>
  <si>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</si>
  <si>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</si>
  <si>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</si>
  <si>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</si>
  <si>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</si>
  <si>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</si>
  <si>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</si>
  <si>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</si>
  <si>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</si>
  <si>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</si>
  <si>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</si>
  <si>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</si>
  <si>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</si>
  <si>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</si>
  <si>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</si>
  <si>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</si>
  <si>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</si>
  <si>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</si>
  <si>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</si>
  <si>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</si>
  <si>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</si>
  <si>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</si>
  <si>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</si>
  <si>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</si>
  <si>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</si>
  <si>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</si>
  <si>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</si>
  <si>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</si>
  <si>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</si>
  <si>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</si>
  <si>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</si>
  <si>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</si>
  <si>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</si>
  <si>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</si>
  <si>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</si>
  <si>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</si>
  <si>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</si>
  <si>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</si>
  <si>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</si>
  <si>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</si>
  <si>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</si>
  <si>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</si>
  <si>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</si>
  <si>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</si>
  <si>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</si>
  <si>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</si>
  <si>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</si>
  <si>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</si>
  <si>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</si>
  <si>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</si>
  <si>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</si>
  <si>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</si>
  <si>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</si>
  <si>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</si>
  <si>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</si>
  <si>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</si>
  <si>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</si>
  <si>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</si>
  <si>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</si>
  <si>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</si>
  <si>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</si>
  <si>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</si>
  <si>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</si>
  <si>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</si>
  <si>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</si>
  <si>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</si>
  <si>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</si>
  <si>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</si>
  <si>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</si>
  <si>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</si>
  <si>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</si>
  <si>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</si>
  <si>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</si>
  <si>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</si>
  <si>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</si>
  <si>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</si>
  <si>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</si>
  <si>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</si>
  <si>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</si>
  <si>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</si>
  <si>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</si>
  <si>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</si>
  <si>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</si>
  <si>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</si>
  <si>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</si>
  <si>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</si>
  <si>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</si>
  <si>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</si>
  <si>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</si>
  <si>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</si>
  <si>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</si>
  <si>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</si>
  <si>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</si>
  <si>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</si>
  <si>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</si>
  <si>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</si>
  <si>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</si>
  <si>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</si>
  <si>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</si>
  <si>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</si>
  <si>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</si>
  <si>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</si>
  <si>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</si>
  <si>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</si>
  <si>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</si>
  <si>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</si>
  <si>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</si>
  <si>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</si>
  <si>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</si>
  <si>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</si>
  <si>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</si>
  <si>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</si>
  <si>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</si>
  <si>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</si>
  <si>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</si>
  <si>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</si>
  <si>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</si>
  <si>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</si>
  <si>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</si>
  <si>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</si>
  <si>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</si>
  <si>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</si>
  <si>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</si>
  <si>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</si>
  <si>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</si>
  <si>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</si>
  <si>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</si>
  <si>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</si>
  <si>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</si>
  <si>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</si>
  <si>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</si>
  <si>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</si>
  <si>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</si>
  <si>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</si>
  <si>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</si>
  <si>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</si>
  <si>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</si>
  <si>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</si>
  <si>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</si>
  <si>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</si>
  <si>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</si>
  <si>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</si>
  <si>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</si>
  <si>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</si>
  <si>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</si>
  <si>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</si>
  <si>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</si>
  <si>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</si>
  <si>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</si>
  <si>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</si>
  <si>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</si>
  <si>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</si>
  <si>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</si>
  <si>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</si>
  <si>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</si>
  <si>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</si>
  <si>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</si>
  <si>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</si>
  <si>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</si>
  <si>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</si>
  <si>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</si>
  <si>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</si>
  <si>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</si>
  <si>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</si>
  <si>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</si>
  <si>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</si>
  <si>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</si>
  <si>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</si>
  <si>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</si>
  <si>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</si>
  <si>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</si>
  <si>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</si>
  <si>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</si>
  <si>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</si>
  <si>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</si>
  <si>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</si>
  <si>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</si>
  <si>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</si>
  <si>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</si>
  <si>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</si>
  <si>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</si>
  <si>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</si>
  <si>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</si>
  <si>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</si>
  <si>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</si>
  <si>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</si>
  <si>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</si>
  <si>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</si>
  <si>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</si>
  <si>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</si>
  <si>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</si>
  <si>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</si>
  <si>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</si>
  <si>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</si>
  <si>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</si>
  <si>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</si>
  <si>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</si>
  <si>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</si>
  <si>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</si>
  <si>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</si>
  <si>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</si>
  <si>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</si>
  <si>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</si>
  <si>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</si>
  <si>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</si>
  <si>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</si>
  <si>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</si>
  <si>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</si>
  <si>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</si>
  <si>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</si>
  <si>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</si>
  <si>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</si>
  <si>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</si>
  <si>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</si>
  <si>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</si>
  <si>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</si>
  <si>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</si>
  <si>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</si>
  <si>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</si>
  <si>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</si>
  <si>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</si>
  <si>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</si>
  <si>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</si>
  <si>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</si>
  <si>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</si>
  <si>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</si>
  <si>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</si>
  <si>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</si>
  <si>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</si>
  <si>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</si>
  <si>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</si>
  <si>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</si>
  <si>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</si>
  <si>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</si>
  <si>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</si>
  <si>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</si>
  <si>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</si>
  <si>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</si>
  <si>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</si>
  <si>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</si>
  <si>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</si>
  <si>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</si>
  <si>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</si>
  <si>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</si>
  <si>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</si>
  <si>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</si>
  <si>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</si>
  <si>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</si>
  <si>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</si>
  <si>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</si>
  <si>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</si>
  <si>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</si>
  <si>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</si>
  <si>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</si>
  <si>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</si>
  <si>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</si>
  <si>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</si>
  <si>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</si>
  <si>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</si>
  <si>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</si>
  <si>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</si>
  <si>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</si>
  <si>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</si>
  <si>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</si>
  <si>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</si>
  <si>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</si>
  <si>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</si>
  <si>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</si>
  <si>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</si>
  <si>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</si>
  <si>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</si>
  <si>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</si>
  <si>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</si>
  <si>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</si>
  <si>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</si>
  <si>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</si>
  <si>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</si>
  <si>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</si>
  <si>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</si>
  <si>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</si>
  <si>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</si>
  <si>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</si>
  <si>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</si>
  <si>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</si>
  <si>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</si>
  <si>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</si>
  <si>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</si>
  <si>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</si>
  <si>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</si>
  <si>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</si>
  <si>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</si>
  <si>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</si>
  <si>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</si>
  <si>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</si>
  <si>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</si>
  <si>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</si>
  <si>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</si>
  <si>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</si>
  <si>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</si>
  <si>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</si>
  <si>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</si>
  <si>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</si>
  <si>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</si>
  <si>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</si>
  <si>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</si>
  <si>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</si>
  <si>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</si>
  <si>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</si>
  <si>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</si>
  <si>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</si>
  <si>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</si>
  <si>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</si>
  <si>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</si>
  <si>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</si>
  <si>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</si>
  <si>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</si>
  <si>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</si>
  <si>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</si>
  <si>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</si>
  <si>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</si>
  <si>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</si>
  <si>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</si>
  <si>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</si>
  <si>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</si>
  <si>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</si>
  <si>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</si>
  <si>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</si>
  <si>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</si>
  <si>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</si>
  <si>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</si>
  <si>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</si>
  <si>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</si>
  <si>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</si>
  <si>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</si>
  <si>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</si>
  <si>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</si>
  <si>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</si>
  <si>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</si>
  <si>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</si>
  <si>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</si>
  <si>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</si>
  <si>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</si>
  <si>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</si>
  <si>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</si>
  <si>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</si>
  <si>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</si>
  <si>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</si>
  <si>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</si>
  <si>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</si>
  <si>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</si>
  <si>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</si>
  <si>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</si>
  <si>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</si>
  <si>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</si>
  <si>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</si>
  <si>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</si>
  <si>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</si>
  <si>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</si>
  <si>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</si>
  <si>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</si>
  <si>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</si>
  <si>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</si>
  <si>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</si>
  <si>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</si>
  <si>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</si>
  <si>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</si>
  <si>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</si>
  <si>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</si>
  <si>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</si>
  <si>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</si>
  <si>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</si>
  <si>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</si>
  <si>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</si>
  <si>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</si>
  <si>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</si>
  <si>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</si>
  <si>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</si>
  <si>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</si>
  <si>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</si>
  <si>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</si>
  <si>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</si>
  <si>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</si>
  <si>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</si>
  <si>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</si>
  <si>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</si>
  <si>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</si>
  <si>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</si>
  <si>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</si>
  <si>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</si>
  <si>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</si>
  <si>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</si>
  <si>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</si>
  <si>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</si>
  <si>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</si>
  <si>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</si>
  <si>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</si>
  <si>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</si>
  <si>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</si>
  <si>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</si>
  <si>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</si>
  <si>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</si>
  <si>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</si>
  <si>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</si>
  <si>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</si>
  <si>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</si>
  <si>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</si>
  <si>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</si>
  <si>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</si>
  <si>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</si>
  <si>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</si>
  <si>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</si>
  <si>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</si>
  <si>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</si>
  <si>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</si>
  <si>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</si>
  <si>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</si>
  <si>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</si>
  <si>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</si>
  <si>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</si>
  <si>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</si>
  <si>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</si>
  <si>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</si>
  <si>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</si>
  <si>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</si>
  <si>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</si>
  <si>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</si>
  <si>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</si>
  <si>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</si>
  <si>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</si>
  <si>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</si>
  <si>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</si>
  <si>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</si>
  <si>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</si>
  <si>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</si>
  <si>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</si>
  <si>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</si>
  <si>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</si>
  <si>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</si>
  <si>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</si>
  <si>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</si>
  <si>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</si>
  <si>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</si>
  <si>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</si>
  <si>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</si>
  <si>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</si>
  <si>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</si>
  <si>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</si>
  <si>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</si>
  <si>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</si>
  <si>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</si>
  <si>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</si>
  <si>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</si>
  <si>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</si>
  <si>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</si>
  <si>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</si>
  <si>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</si>
  <si>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</si>
  <si>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</si>
  <si>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</si>
  <si>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</si>
  <si>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</si>
  <si>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</si>
  <si>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</si>
  <si>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</si>
  <si>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</si>
  <si>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</si>
  <si>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</si>
  <si>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</si>
  <si>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</si>
  <si>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</si>
  <si>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</si>
  <si>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</si>
  <si>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</si>
  <si>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</si>
  <si>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</si>
  <si>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</si>
  <si>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</si>
  <si>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</si>
  <si>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</si>
  <si>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</si>
  <si>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</si>
  <si>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</si>
  <si>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</si>
  <si>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</si>
  <si>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</si>
  <si>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</si>
  <si>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</si>
  <si>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</si>
  <si>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</si>
  <si>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</si>
  <si>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</si>
  <si>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</si>
  <si>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</si>
  <si>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</si>
  <si>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</si>
  <si>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</si>
  <si>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</si>
  <si>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</si>
  <si>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</si>
  <si>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</si>
  <si>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</si>
  <si>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</si>
  <si>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</si>
  <si>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</si>
  <si>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</si>
  <si>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</si>
  <si>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</si>
  <si>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</si>
  <si>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</si>
  <si>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</si>
  <si>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</si>
  <si>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</si>
  <si>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</si>
  <si>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</si>
  <si>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</si>
  <si>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</si>
  <si>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</si>
  <si>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</si>
  <si>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</si>
  <si>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</si>
  <si>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</si>
  <si>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</si>
  <si>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</si>
  <si>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</si>
  <si>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</si>
  <si>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</si>
  <si>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</si>
  <si>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</si>
  <si>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</si>
  <si>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</si>
  <si>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</si>
  <si>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</si>
  <si>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</si>
  <si>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</si>
  <si>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</si>
  <si>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</si>
  <si>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</si>
  <si>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</si>
  <si>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</si>
  <si>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</si>
  <si>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</si>
  <si>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</si>
  <si>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</si>
  <si>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</si>
  <si>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</si>
  <si>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</si>
  <si>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</si>
  <si>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</si>
  <si>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</si>
  <si>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</si>
  <si>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</si>
  <si>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</si>
  <si>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</si>
  <si>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</si>
  <si>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</si>
  <si>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</si>
  <si>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</si>
  <si>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</si>
  <si>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</si>
  <si>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</si>
  <si>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</si>
  <si>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</si>
  <si>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</si>
  <si>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</si>
  <si>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</si>
  <si>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</si>
  <si>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</si>
  <si>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</si>
  <si>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</si>
  <si>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</si>
  <si>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</si>
  <si>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</si>
  <si>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</si>
  <si>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</si>
  <si>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</si>
  <si>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</si>
  <si>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</si>
  <si>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</si>
  <si>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</si>
  <si>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</si>
  <si>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</si>
  <si>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</si>
  <si>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</si>
  <si>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</si>
  <si>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</si>
  <si>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</si>
  <si>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</si>
  <si>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</si>
  <si>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</si>
  <si>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</si>
  <si>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</si>
  <si>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</si>
  <si>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</si>
  <si>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</si>
  <si>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</si>
  <si>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</si>
  <si>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</si>
  <si>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</si>
  <si>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</si>
  <si>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</si>
  <si>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</si>
  <si>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</si>
  <si>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</si>
  <si>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</si>
  <si>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</si>
  <si>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</si>
  <si>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</si>
  <si>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</si>
  <si>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</si>
  <si>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</si>
  <si>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</si>
  <si>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</si>
  <si>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</si>
  <si>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</si>
  <si>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</si>
  <si>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</si>
  <si>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</si>
  <si>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</si>
  <si>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</si>
  <si>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</si>
  <si>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</si>
  <si>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</si>
  <si>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</si>
  <si>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</si>
  <si>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</si>
  <si>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</si>
  <si>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</si>
  <si>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</si>
  <si>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</si>
  <si>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</si>
  <si>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</si>
  <si>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</si>
  <si>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</si>
  <si>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</si>
  <si>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</si>
  <si>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</si>
  <si>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</si>
  <si>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</si>
  <si>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</si>
  <si>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</si>
  <si>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</si>
  <si>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</si>
  <si>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</si>
  <si>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</si>
  <si>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</si>
  <si>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</si>
  <si>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</si>
  <si>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</si>
  <si>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</si>
  <si>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</si>
  <si>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</si>
  <si>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</si>
  <si>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</si>
  <si>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</si>
  <si>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</si>
  <si>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</si>
  <si>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</si>
  <si>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</si>
  <si>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</si>
  <si>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</si>
  <si>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</si>
  <si>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</si>
  <si>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</si>
  <si>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</si>
  <si>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</si>
  <si>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</si>
  <si>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</si>
  <si>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</si>
  <si>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</si>
  <si>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</si>
  <si>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</si>
  <si>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</si>
  <si>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</si>
  <si>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</si>
  <si>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</si>
  <si>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</si>
  <si>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</si>
  <si>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</si>
  <si>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</si>
  <si>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</si>
  <si>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</si>
  <si>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</si>
  <si>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</si>
  <si>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</si>
  <si>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</si>
  <si>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</si>
  <si>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</si>
  <si>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</si>
  <si>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</si>
  <si>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</si>
  <si>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</si>
  <si>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</si>
  <si>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</si>
  <si>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</si>
  <si>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</si>
  <si>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</si>
  <si>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</si>
  <si>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</si>
  <si>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</si>
  <si>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</si>
  <si>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</si>
  <si>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</si>
  <si>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</si>
  <si>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</si>
  <si>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</si>
  <si>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</si>
  <si>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</si>
  <si>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</si>
  <si>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</si>
  <si>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</si>
  <si>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</si>
  <si>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</si>
  <si>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</si>
  <si>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</si>
  <si>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</si>
  <si>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</si>
  <si>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</si>
  <si>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</si>
  <si>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</si>
  <si>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</si>
  <si>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</si>
  <si>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</si>
  <si>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</si>
  <si>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</si>
  <si>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</si>
  <si>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</si>
  <si>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</si>
  <si>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</si>
  <si>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</si>
  <si>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</si>
  <si>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</si>
  <si>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</si>
  <si>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</si>
  <si>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</si>
  <si>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</si>
  <si>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</si>
  <si>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</si>
  <si>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</si>
  <si>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</si>
  <si>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</si>
  <si>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</si>
  <si>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</si>
  <si>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</si>
  <si>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</si>
  <si>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</si>
  <si>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</si>
  <si>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</si>
  <si>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</si>
  <si>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</si>
  <si>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</si>
  <si>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</si>
  <si>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</si>
  <si>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</si>
  <si>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</si>
  <si>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</si>
  <si>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</si>
  <si>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</si>
  <si>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</si>
  <si>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</si>
  <si>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</si>
  <si>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</si>
  <si>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</si>
  <si>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</si>
  <si>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</si>
  <si>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</si>
  <si>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</si>
  <si>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</si>
  <si>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</si>
  <si>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</si>
  <si>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</si>
  <si>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</si>
  <si>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</si>
  <si>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</si>
  <si>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</si>
  <si>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</si>
  <si>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</si>
  <si>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</si>
  <si>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</si>
  <si>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</si>
  <si>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</si>
  <si>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</si>
  <si>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</si>
  <si>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</si>
  <si>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</si>
  <si>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</si>
  <si>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</si>
  <si>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</si>
  <si>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</si>
  <si>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</si>
  <si>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</si>
  <si>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</si>
  <si>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</si>
  <si>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</si>
  <si>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</si>
  <si>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</si>
  <si>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</si>
  <si>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</si>
  <si>
    <t>G5 - T3 TO Tw 2 - 5 Tables Grass Cutting work Completed</t>
  </si>
  <si>
    <t>G5 - Tw3 TO Tw 10 -8  Tables Grass Cutting work Completed</t>
  </si>
  <si>
    <t>G5 - Tw11 TO Tw 17 -8  Tables Grass Cutting work Completed</t>
  </si>
  <si>
    <t>G6 - Tw1 TO Tw 11 -11  Tables Grass Cutting work Completed</t>
  </si>
  <si>
    <t>G6 - T12 TO Tw 18 -06  Tables Grass Cutting work Completed</t>
  </si>
  <si>
    <t>G1 - T44 TO Tw 52 -08  Tables Grass Cutting work Completed</t>
  </si>
  <si>
    <t>T03</t>
  </si>
  <si>
    <t>G1 - T34 TO T 43 -10  Tables Grass Cutting work Completed</t>
  </si>
  <si>
    <t>G1 - T24 TO T 33 -10  Tables Grass Cutting work Completed</t>
  </si>
  <si>
    <t>G1 - T15 TO T 23 -9  Tables Grass Cutting work Completed</t>
  </si>
  <si>
    <t>G1 - T05 TO T 23 -10  Tables Grass Cutting work Completed</t>
  </si>
  <si>
    <t>T103</t>
  </si>
  <si>
    <t>Plant Name</t>
  </si>
  <si>
    <t>Export (kWh)</t>
  </si>
  <si>
    <t>Net Export (JMR) (kWh)</t>
  </si>
  <si>
    <t>Billed (kWh)</t>
  </si>
  <si>
    <t>Net Export (Manual) (kWh)</t>
  </si>
  <si>
    <t>Revised Net Export (Manual) (kWh)</t>
  </si>
  <si>
    <t>%Delta</t>
  </si>
  <si>
    <t>Operational AC Capacity (MW)</t>
  </si>
  <si>
    <t>Bugt AC Capacity (MW)</t>
  </si>
  <si>
    <t>Curtailment Gen Loss (MWh)</t>
  </si>
  <si>
    <t>Sr. No</t>
  </si>
  <si>
    <t>Categoty</t>
  </si>
  <si>
    <t>Equipment Name</t>
  </si>
  <si>
    <t>Inverter No.</t>
  </si>
  <si>
    <t>From</t>
  </si>
  <si>
    <t>To</t>
  </si>
  <si>
    <t>Duration in MIN</t>
  </si>
  <si>
    <t>Total Breakdown Hrs.</t>
  </si>
  <si>
    <t>Avg POA During BD time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</si>
  <si>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</si>
  <si>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</si>
  <si>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</si>
  <si>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</si>
  <si>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</si>
  <si>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</si>
  <si>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</si>
  <si>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</si>
  <si>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Inverter  Station Number (if Bd in filed)</t>
  </si>
  <si>
    <t>Inverter number (If Inv, SCb or Str BD)</t>
  </si>
  <si>
    <t>Inverter Module Number</t>
  </si>
  <si>
    <t>SCB Number (If SCB or Str BD)</t>
  </si>
  <si>
    <t>String Type(If String BD)</t>
  </si>
  <si>
    <t>Equipment (If any BD other than PV  array and inv)</t>
  </si>
  <si>
    <t>C1</t>
  </si>
  <si>
    <t>C2</t>
  </si>
  <si>
    <t>DC Capacity Affected (kW)</t>
  </si>
  <si>
    <t>Affected Equipment Location</t>
  </si>
  <si>
    <t xml:space="preserve">Acknowledgement Time </t>
  </si>
  <si>
    <t>Lost PoA(kWh/m2)</t>
  </si>
  <si>
    <t>Approximate Energy Loss (KWh)</t>
  </si>
  <si>
    <t>Scope</t>
  </si>
  <si>
    <t xml:space="preserve">Affected Equipment </t>
  </si>
  <si>
    <t>T22</t>
  </si>
  <si>
    <t>1 NO Iron Nut Replaced</t>
  </si>
  <si>
    <t>2 No Limit switch Replaced</t>
  </si>
  <si>
    <t>G1 - T01 TO T 04 &amp; G2 TW1 TO T2 -07  Tables Grass Cutting work Completed</t>
  </si>
  <si>
    <t>G2 - T31 TO T 40  -10  Tables Grass Cutting work Completed</t>
  </si>
  <si>
    <t>G2 - T21 TO T 30  -10  Tables Grass Cutting work Completed</t>
  </si>
  <si>
    <t>G1 - T06 TO T 20 -15  Tables Grass Cutting work Completed</t>
  </si>
  <si>
    <t xml:space="preserve">G3 </t>
  </si>
  <si>
    <t>1 NO Motor replaced</t>
  </si>
  <si>
    <t>G6 - T01 TO T 16 -16 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</si>
</sst>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409]dd/mmm/yy;@"/>
    <numFmt numFmtId="172" formatCode="_(* #,##0.00_);_(* \(#,##0.00\);_(* &quot;-&quot;??_);_(@_)"/>
  </numFmts>
  <fonts count="8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  <font>
      <sz val="10"/>
      <name val="Calibri"/>
    </font>
    <font>
      <sz val="11"/>
      <name val="Calibri"/>
    </font>
    <font>
      <sz val="1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F2CB"/>
        <bgColor rgb="FFFEF2CB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4043">
    <xf numFmtId="0" fontId="0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43" fontId="62" fillId="0" borderId="0" applyFont="0" applyFill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9" fontId="62" fillId="0" borderId="0" applyFont="0" applyFill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41" fillId="2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41" fillId="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41" fillId="3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55" fillId="3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9" fontId="48" fillId="29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49" fillId="0" borderId="0"/>
    <xf numFmtId="0" fontId="62" fillId="0" borderId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49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49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49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56" fillId="0" borderId="17" applyNumberFormat="0" applyFill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54" fillId="0" borderId="0" applyNumberFormat="0" applyFill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58" fillId="0" borderId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41" fillId="3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49" fillId="0" borderId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43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58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41" fillId="3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41" fillId="39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41" fillId="4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46" fillId="0" borderId="0" applyNumberFormat="0" applyFill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0" fillId="0" borderId="0" applyNumberFormat="0" applyFill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53" fillId="0" borderId="18" applyNumberFormat="0" applyFill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49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43" fontId="62" fillId="0" borderId="0" applyFont="0" applyFill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40" fillId="27" borderId="16" applyNumberForma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41" fillId="38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59" fillId="34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58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41" fillId="11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41" fillId="4" borderId="0" applyNumberFormat="0" applyBorder="0" applyAlignment="0" applyProtection="0"/>
    <xf numFmtId="0" fontId="62" fillId="0" borderId="0"/>
    <xf numFmtId="0" fontId="62" fillId="0" borderId="0"/>
    <xf numFmtId="0" fontId="41" fillId="36" borderId="0" applyNumberFormat="0" applyBorder="0" applyAlignment="0" applyProtection="0"/>
    <xf numFmtId="0" fontId="62" fillId="0" borderId="0"/>
    <xf numFmtId="0" fontId="41" fillId="36" borderId="0" applyNumberFormat="0" applyBorder="0" applyAlignment="0" applyProtection="0"/>
    <xf numFmtId="0" fontId="62" fillId="0" borderId="0"/>
    <xf numFmtId="0" fontId="62" fillId="0" borderId="0"/>
    <xf numFmtId="0" fontId="41" fillId="37" borderId="0" applyNumberFormat="0" applyBorder="0" applyAlignment="0" applyProtection="0"/>
    <xf numFmtId="0" fontId="41" fillId="37" borderId="0" applyNumberFormat="0" applyBorder="0" applyAlignment="0" applyProtection="0"/>
    <xf numFmtId="0" fontId="41" fillId="35" borderId="0" applyNumberFormat="0" applyBorder="0" applyAlignment="0" applyProtection="0"/>
    <xf numFmtId="0" fontId="41" fillId="35" borderId="0" applyNumberFormat="0" applyBorder="0" applyAlignment="0" applyProtection="0"/>
    <xf numFmtId="0" fontId="41" fillId="8" borderId="0" applyNumberFormat="0" applyBorder="0" applyAlignment="0" applyProtection="0"/>
    <xf numFmtId="0" fontId="62" fillId="0" borderId="0"/>
    <xf numFmtId="0" fontId="41" fillId="3" borderId="0" applyNumberFormat="0" applyBorder="0" applyAlignment="0" applyProtection="0"/>
    <xf numFmtId="0" fontId="45" fillId="26" borderId="15" applyNumberFormat="0" applyAlignment="0" applyProtection="0"/>
    <xf numFmtId="43" fontId="62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62" fillId="0" borderId="0" applyFont="0" applyFill="0" applyBorder="0" applyAlignment="0" applyProtection="0"/>
    <xf numFmtId="0" fontId="57" fillId="31" borderId="0" applyNumberFormat="0" applyBorder="0" applyAlignment="0" applyProtection="0"/>
    <xf numFmtId="0" fontId="62" fillId="0" borderId="0"/>
    <xf numFmtId="0" fontId="51" fillId="0" borderId="19" applyNumberFormat="0" applyFill="0" applyAlignment="0" applyProtection="0"/>
    <xf numFmtId="0" fontId="47" fillId="0" borderId="20" applyNumberFormat="0" applyFill="0" applyAlignment="0" applyProtection="0"/>
    <xf numFmtId="0" fontId="46" fillId="0" borderId="21" applyNumberFormat="0" applyFill="0" applyAlignment="0" applyProtection="0"/>
    <xf numFmtId="0" fontId="62" fillId="21" borderId="13" applyNumberFormat="0" applyFont="0" applyAlignment="0" applyProtection="0"/>
    <xf numFmtId="0" fontId="61" fillId="32" borderId="15" applyNumberFormat="0" applyAlignment="0" applyProtection="0"/>
    <xf numFmtId="0" fontId="59" fillId="34" borderId="0" applyNumberFormat="0" applyBorder="0" applyAlignment="0" applyProtection="0"/>
    <xf numFmtId="0" fontId="49" fillId="0" borderId="0"/>
    <xf numFmtId="0" fontId="62" fillId="0" borderId="0"/>
    <xf numFmtId="0" fontId="58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49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49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52" fillId="0" borderId="0"/>
    <xf numFmtId="0" fontId="62" fillId="0" borderId="0"/>
    <xf numFmtId="165" fontId="62" fillId="0" borderId="0"/>
    <xf numFmtId="0" fontId="52" fillId="0" borderId="0"/>
    <xf numFmtId="0" fontId="50" fillId="0" borderId="0"/>
    <xf numFmtId="0" fontId="62" fillId="0" borderId="0"/>
    <xf numFmtId="0" fontId="50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50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58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44" fillId="26" borderId="14" applyNumberFormat="0" applyAlignment="0" applyProtection="0"/>
    <xf numFmtId="9" fontId="58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72" fontId="3" fillId="0" borderId="0" applyFont="0" applyFill="0" applyBorder="0" applyAlignment="0" applyProtection="0"/>
  </cellStyleXfs>
  <cellXfs count="35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6" fillId="3" borderId="1" xfId="23226" applyFont="1" applyFill="1" applyBorder="1" applyAlignment="1">
      <alignment horizontal="center" vertical="center" wrapText="1"/>
    </xf>
    <xf numFmtId="168" fontId="36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36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36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7" fillId="3" borderId="4" xfId="23226" applyFont="1" applyFill="1" applyBorder="1" applyAlignment="1">
      <alignment horizontal="center" vertical="center" wrapText="1"/>
    </xf>
    <xf numFmtId="0" fontId="37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37" fillId="3" borderId="7" xfId="23226" applyFont="1" applyFill="1" applyBorder="1" applyAlignment="1">
      <alignment horizontal="center" vertical="center" wrapText="1"/>
    </xf>
    <xf numFmtId="168" fontId="37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37" fillId="3" borderId="3" xfId="23226" applyFont="1" applyFill="1" applyBorder="1" applyAlignment="1">
      <alignment horizontal="center" vertical="center" wrapText="1"/>
    </xf>
    <xf numFmtId="0" fontId="37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37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36" fillId="3" borderId="12" xfId="23226" applyFont="1" applyFill="1" applyBorder="1" applyAlignment="1">
      <alignment horizontal="center" vertical="center" wrapText="1"/>
    </xf>
    <xf numFmtId="168" fontId="36" fillId="3" borderId="3" xfId="23226" applyNumberFormat="1" applyFont="1" applyFill="1" applyBorder="1" applyAlignment="1">
      <alignment horizontal="center" vertical="center" wrapText="1"/>
    </xf>
    <xf numFmtId="0" fontId="36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40" fillId="8" borderId="1" xfId="0" applyFont="1" applyFill="1" applyBorder="1" applyAlignment="1">
      <alignment vertical="center"/>
    </xf>
    <xf numFmtId="0" fontId="40" fillId="8" borderId="1" xfId="0" applyFont="1" applyFill="1" applyBorder="1" applyAlignment="1">
      <alignment horizontal="center" vertical="center" wrapText="1"/>
    </xf>
    <xf numFmtId="17" fontId="41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40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63" fillId="5" borderId="1" xfId="0" applyFont="1" applyFill="1" applyBorder="1" applyAlignment="1">
      <alignment horizontal="center"/>
    </xf>
    <xf numFmtId="17" fontId="63" fillId="5" borderId="1" xfId="0" applyNumberFormat="1" applyFont="1" applyFill="1" applyBorder="1"/>
    <xf numFmtId="15" fontId="63" fillId="5" borderId="1" xfId="0" applyNumberFormat="1" applyFont="1" applyFill="1" applyBorder="1"/>
    <xf numFmtId="0" fontId="63" fillId="5" borderId="10" xfId="0" applyFont="1" applyFill="1" applyBorder="1" applyAlignment="1">
      <alignment horizontal="center"/>
    </xf>
    <xf numFmtId="17" fontId="63" fillId="5" borderId="10" xfId="0" applyNumberFormat="1" applyFont="1" applyFill="1" applyBorder="1"/>
    <xf numFmtId="15" fontId="63" fillId="5" borderId="10" xfId="0" applyNumberFormat="1" applyFont="1" applyFill="1" applyBorder="1"/>
    <xf numFmtId="0" fontId="64" fillId="0" borderId="0" xfId="0" applyFont="1" applyAlignment="1">
      <alignment horizontal="center"/>
    </xf>
    <xf numFmtId="0" fontId="42" fillId="13" borderId="22" xfId="0" applyFont="1" applyFill="1" applyBorder="1"/>
    <xf numFmtId="168" fontId="43" fillId="13" borderId="23" xfId="14686" applyNumberFormat="1" applyFont="1" applyFill="1" applyBorder="1" applyAlignment="1">
      <alignment horizontal="left" vertical="center"/>
    </xf>
    <xf numFmtId="168" fontId="43" fillId="13" borderId="24" xfId="14686" applyNumberFormat="1" applyFont="1" applyFill="1" applyBorder="1" applyAlignment="1">
      <alignment horizontal="left" vertical="center"/>
    </xf>
    <xf numFmtId="0" fontId="63" fillId="5" borderId="8" xfId="0" applyFont="1" applyFill="1" applyBorder="1" applyAlignment="1">
      <alignment horizontal="center"/>
    </xf>
    <xf numFmtId="0" fontId="63" fillId="5" borderId="25" xfId="0" applyFont="1" applyFill="1" applyBorder="1" applyAlignment="1">
      <alignment horizontal="center"/>
    </xf>
    <xf numFmtId="15" fontId="63" fillId="5" borderId="8" xfId="0" applyNumberFormat="1" applyFont="1" applyFill="1" applyBorder="1"/>
    <xf numFmtId="0" fontId="67" fillId="14" borderId="29" xfId="0" applyFont="1" applyFill="1" applyBorder="1"/>
    <xf numFmtId="0" fontId="67" fillId="14" borderId="32" xfId="0" applyFont="1" applyFill="1" applyBorder="1"/>
    <xf numFmtId="0" fontId="67" fillId="14" borderId="26" xfId="0" applyFont="1" applyFill="1" applyBorder="1" applyAlignment="1">
      <alignment horizontal="center" vertical="center" wrapText="1"/>
    </xf>
    <xf numFmtId="0" fontId="67" fillId="14" borderId="27" xfId="0" applyFont="1" applyFill="1" applyBorder="1" applyAlignment="1">
      <alignment horizontal="center" vertical="center" wrapText="1"/>
    </xf>
    <xf numFmtId="0" fontId="69" fillId="13" borderId="29" xfId="0" applyFont="1" applyFill="1" applyBorder="1" applyAlignment="1">
      <alignment horizontal="center" vertical="center"/>
    </xf>
    <xf numFmtId="0" fontId="69" fillId="13" borderId="30" xfId="0" applyFont="1" applyFill="1" applyBorder="1"/>
    <xf numFmtId="1" fontId="68" fillId="13" borderId="30" xfId="14686" applyNumberFormat="1" applyFont="1" applyFill="1" applyBorder="1" applyAlignment="1">
      <alignment horizontal="center" vertical="center"/>
    </xf>
    <xf numFmtId="3" fontId="69" fillId="13" borderId="30" xfId="0" applyNumberFormat="1" applyFont="1" applyFill="1" applyBorder="1" applyAlignment="1">
      <alignment horizontal="center"/>
    </xf>
    <xf numFmtId="10" fontId="69" fillId="13" borderId="30" xfId="34037" applyNumberFormat="1" applyFont="1" applyFill="1" applyBorder="1" applyAlignment="1">
      <alignment horizontal="center"/>
    </xf>
    <xf numFmtId="1" fontId="69" fillId="0" borderId="30" xfId="0" applyNumberFormat="1" applyFont="1" applyBorder="1" applyAlignment="1">
      <alignment horizontal="center"/>
    </xf>
    <xf numFmtId="1" fontId="69" fillId="13" borderId="30" xfId="0" applyNumberFormat="1" applyFont="1" applyFill="1" applyBorder="1" applyAlignment="1">
      <alignment horizontal="center"/>
    </xf>
    <xf numFmtId="164" fontId="68" fillId="13" borderId="30" xfId="96" applyNumberFormat="1" applyFont="1" applyFill="1" applyBorder="1" applyAlignment="1">
      <alignment horizontal="center" vertical="center"/>
    </xf>
    <xf numFmtId="164" fontId="69" fillId="13" borderId="30" xfId="96" applyNumberFormat="1" applyFont="1" applyFill="1" applyBorder="1" applyAlignment="1">
      <alignment horizontal="center"/>
    </xf>
    <xf numFmtId="164" fontId="68" fillId="13" borderId="30" xfId="34037" applyNumberFormat="1" applyFont="1" applyFill="1" applyBorder="1" applyAlignment="1">
      <alignment horizontal="center" vertical="center"/>
    </xf>
    <xf numFmtId="0" fontId="69" fillId="13" borderId="32" xfId="0" applyFont="1" applyFill="1" applyBorder="1" applyAlignment="1">
      <alignment horizontal="center" vertical="center"/>
    </xf>
    <xf numFmtId="0" fontId="69" fillId="13" borderId="36" xfId="0" applyFont="1" applyFill="1" applyBorder="1"/>
    <xf numFmtId="164" fontId="69" fillId="13" borderId="36" xfId="96" applyNumberFormat="1" applyFont="1" applyFill="1" applyBorder="1" applyAlignment="1">
      <alignment horizontal="center"/>
    </xf>
    <xf numFmtId="10" fontId="69" fillId="13" borderId="36" xfId="34037" applyNumberFormat="1" applyFont="1" applyFill="1" applyBorder="1" applyAlignment="1">
      <alignment horizontal="center"/>
    </xf>
    <xf numFmtId="0" fontId="35" fillId="0" borderId="0" xfId="34038"/>
    <xf numFmtId="0" fontId="35" fillId="0" borderId="1" xfId="34038" applyBorder="1"/>
    <xf numFmtId="14" fontId="35" fillId="0" borderId="1" xfId="34038" applyNumberFormat="1" applyBorder="1"/>
    <xf numFmtId="1" fontId="35" fillId="0" borderId="1" xfId="34038" applyNumberFormat="1" applyBorder="1"/>
    <xf numFmtId="43" fontId="0" fillId="0" borderId="0" xfId="34039" applyFont="1"/>
    <xf numFmtId="3" fontId="35" fillId="0" borderId="1" xfId="34038" applyNumberFormat="1" applyBorder="1"/>
    <xf numFmtId="0" fontId="64" fillId="0" borderId="0" xfId="0" applyFont="1"/>
    <xf numFmtId="10" fontId="69" fillId="13" borderId="30" xfId="96" applyNumberFormat="1" applyFont="1" applyFill="1" applyBorder="1" applyAlignment="1">
      <alignment horizontal="center" vertical="center"/>
    </xf>
    <xf numFmtId="10" fontId="69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9" fillId="13" borderId="30" xfId="0" applyFont="1" applyFill="1" applyBorder="1" applyAlignment="1">
      <alignment horizontal="left" vertical="top"/>
    </xf>
    <xf numFmtId="0" fontId="38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63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63" fillId="5" borderId="1" xfId="0" applyNumberFormat="1" applyFont="1" applyFill="1" applyBorder="1" applyAlignment="1">
      <alignment horizontal="center"/>
    </xf>
    <xf numFmtId="2" fontId="63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41" fillId="8" borderId="1" xfId="0" applyNumberFormat="1" applyFont="1" applyFill="1" applyBorder="1" applyAlignment="1">
      <alignment horizontal="center"/>
    </xf>
    <xf numFmtId="0" fontId="40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68" fillId="13" borderId="30" xfId="96" applyNumberFormat="1" applyFont="1" applyFill="1" applyBorder="1" applyAlignment="1">
      <alignment horizontal="center" vertical="center"/>
    </xf>
    <xf numFmtId="2" fontId="69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40" fillId="0" borderId="39" xfId="96" applyNumberFormat="1" applyFont="1" applyFill="1" applyBorder="1" applyAlignment="1">
      <alignment horizontal="center" vertical="center"/>
    </xf>
    <xf numFmtId="10" fontId="40" fillId="0" borderId="40" xfId="96" applyNumberFormat="1" applyFont="1" applyFill="1" applyBorder="1" applyAlignment="1">
      <alignment horizontal="center" vertical="center"/>
    </xf>
    <xf numFmtId="10" fontId="40" fillId="0" borderId="41" xfId="96" applyNumberFormat="1" applyFont="1" applyFill="1" applyBorder="1" applyAlignment="1">
      <alignment horizontal="center" vertical="center"/>
    </xf>
    <xf numFmtId="168" fontId="37" fillId="0" borderId="38" xfId="23226" applyNumberFormat="1" applyFont="1" applyBorder="1" applyAlignment="1">
      <alignment horizontal="center" vertical="center" wrapText="1"/>
    </xf>
    <xf numFmtId="0" fontId="37" fillId="0" borderId="38" xfId="23226" applyFont="1" applyBorder="1" applyAlignment="1">
      <alignment horizontal="center" vertical="center" wrapText="1"/>
    </xf>
    <xf numFmtId="0" fontId="40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63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67" fillId="14" borderId="28" xfId="0" applyFont="1" applyFill="1" applyBorder="1" applyAlignment="1" applyProtection="1">
      <alignment horizontal="center" vertical="center" wrapText="1"/>
      <protection locked="0"/>
    </xf>
    <xf numFmtId="0" fontId="69" fillId="13" borderId="31" xfId="0" applyFont="1" applyFill="1" applyBorder="1" applyAlignment="1" applyProtection="1">
      <alignment vertical="top"/>
      <protection locked="0"/>
    </xf>
    <xf numFmtId="0" fontId="69" fillId="13" borderId="31" xfId="0" applyFont="1" applyFill="1" applyBorder="1" applyProtection="1">
      <protection locked="0"/>
    </xf>
    <xf numFmtId="1" fontId="69" fillId="13" borderId="31" xfId="0" applyNumberFormat="1" applyFont="1" applyFill="1" applyBorder="1" applyProtection="1">
      <protection locked="0"/>
    </xf>
    <xf numFmtId="0" fontId="69" fillId="13" borderId="31" xfId="0" applyFont="1" applyFill="1" applyBorder="1" applyAlignment="1" applyProtection="1">
      <alignment wrapText="1"/>
      <protection locked="0"/>
    </xf>
    <xf numFmtId="0" fontId="69" fillId="0" borderId="31" xfId="0" applyFont="1" applyBorder="1" applyAlignment="1" applyProtection="1">
      <alignment wrapText="1"/>
      <protection locked="0"/>
    </xf>
    <xf numFmtId="0" fontId="69" fillId="0" borderId="31" xfId="0" applyFont="1" applyBorder="1" applyProtection="1">
      <protection locked="0"/>
    </xf>
    <xf numFmtId="0" fontId="69" fillId="13" borderId="37" xfId="0" applyFont="1" applyFill="1" applyBorder="1" applyProtection="1">
      <protection locked="0"/>
    </xf>
    <xf numFmtId="0" fontId="73" fillId="5" borderId="8" xfId="0" applyFont="1" applyFill="1" applyBorder="1" applyAlignment="1">
      <alignment horizontal="center"/>
    </xf>
    <xf numFmtId="2" fontId="73" fillId="5" borderId="8" xfId="0" applyNumberFormat="1" applyFont="1" applyFill="1" applyBorder="1" applyAlignment="1">
      <alignment horizontal="center"/>
    </xf>
    <xf numFmtId="15" fontId="73" fillId="5" borderId="8" xfId="0" applyNumberFormat="1" applyFont="1" applyFill="1" applyBorder="1"/>
    <xf numFmtId="0" fontId="73" fillId="5" borderId="1" xfId="0" applyFont="1" applyFill="1" applyBorder="1" applyAlignment="1">
      <alignment horizontal="center"/>
    </xf>
    <xf numFmtId="164" fontId="74" fillId="0" borderId="1" xfId="96" applyNumberFormat="1" applyFont="1" applyBorder="1" applyAlignment="1">
      <alignment horizontal="center"/>
    </xf>
    <xf numFmtId="164" fontId="74" fillId="0" borderId="6" xfId="96" applyNumberFormat="1" applyFont="1" applyBorder="1" applyAlignment="1">
      <alignment horizontal="center"/>
    </xf>
    <xf numFmtId="17" fontId="63" fillId="5" borderId="8" xfId="0" applyNumberFormat="1" applyFont="1" applyFill="1" applyBorder="1" applyAlignment="1">
      <alignment horizontal="center"/>
    </xf>
    <xf numFmtId="17" fontId="63" fillId="5" borderId="25" xfId="0" applyNumberFormat="1" applyFont="1" applyFill="1" applyBorder="1" applyAlignment="1">
      <alignment horizontal="center"/>
    </xf>
    <xf numFmtId="15" fontId="63" fillId="5" borderId="25" xfId="0" applyNumberFormat="1" applyFont="1" applyFill="1" applyBorder="1"/>
    <xf numFmtId="2" fontId="63" fillId="5" borderId="25" xfId="0" applyNumberFormat="1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0" fontId="34" fillId="0" borderId="0" xfId="0" applyFont="1"/>
    <xf numFmtId="0" fontId="34" fillId="0" borderId="0" xfId="0" applyFont="1" applyAlignment="1">
      <alignment vertical="center"/>
    </xf>
    <xf numFmtId="0" fontId="34" fillId="0" borderId="0" xfId="0" applyFont="1" applyAlignment="1">
      <alignment horizontal="left" vertical="center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0" fontId="34" fillId="5" borderId="25" xfId="0" applyFont="1" applyFill="1" applyBorder="1" applyAlignment="1">
      <alignment horizontal="left"/>
    </xf>
    <xf numFmtId="0" fontId="33" fillId="0" borderId="0" xfId="0" applyFont="1"/>
    <xf numFmtId="0" fontId="33" fillId="0" borderId="0" xfId="0" applyFont="1" applyAlignment="1">
      <alignment horizontal="left"/>
    </xf>
    <xf numFmtId="0" fontId="32" fillId="0" borderId="0" xfId="0" applyFont="1"/>
    <xf numFmtId="0" fontId="31" fillId="0" borderId="0" xfId="0" applyFont="1"/>
    <xf numFmtId="0" fontId="30" fillId="0" borderId="0" xfId="0" applyFont="1"/>
    <xf numFmtId="0" fontId="75" fillId="5" borderId="8" xfId="0" applyFont="1" applyFill="1" applyBorder="1" applyAlignment="1">
      <alignment horizontal="center"/>
    </xf>
    <xf numFmtId="2" fontId="75" fillId="5" borderId="8" xfId="0" applyNumberFormat="1" applyFont="1" applyFill="1" applyBorder="1" applyAlignment="1">
      <alignment horizontal="center"/>
    </xf>
    <xf numFmtId="0" fontId="75" fillId="5" borderId="1" xfId="0" applyFont="1" applyFill="1" applyBorder="1" applyAlignment="1">
      <alignment horizontal="center"/>
    </xf>
    <xf numFmtId="15" fontId="75" fillId="5" borderId="1" xfId="0" applyNumberFormat="1" applyFont="1" applyFill="1" applyBorder="1"/>
    <xf numFmtId="0" fontId="29" fillId="0" borderId="0" xfId="0" applyFont="1"/>
    <xf numFmtId="0" fontId="28" fillId="0" borderId="0" xfId="0" applyFont="1"/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7" fillId="0" borderId="0" xfId="0" applyFont="1"/>
    <xf numFmtId="164" fontId="76" fillId="0" borderId="1" xfId="96" applyNumberFormat="1" applyFont="1" applyBorder="1" applyAlignment="1">
      <alignment horizontal="center"/>
    </xf>
    <xf numFmtId="164" fontId="76" fillId="0" borderId="6" xfId="96" applyNumberFormat="1" applyFont="1" applyBorder="1" applyAlignment="1">
      <alignment horizontal="center"/>
    </xf>
    <xf numFmtId="0" fontId="75" fillId="5" borderId="10" xfId="0" applyFont="1" applyFill="1" applyBorder="1" applyAlignment="1">
      <alignment horizontal="center"/>
    </xf>
    <xf numFmtId="15" fontId="75" fillId="5" borderId="10" xfId="0" applyNumberFormat="1" applyFont="1" applyFill="1" applyBorder="1"/>
    <xf numFmtId="0" fontId="31" fillId="0" borderId="0" xfId="0" applyFont="1" applyAlignment="1">
      <alignment horizontal="left"/>
    </xf>
    <xf numFmtId="0" fontId="26" fillId="0" borderId="0" xfId="0" applyFont="1"/>
    <xf numFmtId="0" fontId="30" fillId="0" borderId="0" xfId="0" applyFont="1" applyAlignment="1">
      <alignment horizontal="left"/>
    </xf>
    <xf numFmtId="0" fontId="25" fillId="0" borderId="0" xfId="0" applyFont="1"/>
    <xf numFmtId="0" fontId="25" fillId="0" borderId="0" xfId="0" applyFont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77" fillId="5" borderId="1" xfId="0" applyFont="1" applyFill="1" applyBorder="1" applyAlignment="1">
      <alignment horizontal="center"/>
    </xf>
    <xf numFmtId="164" fontId="78" fillId="0" borderId="1" xfId="96" applyNumberFormat="1" applyFont="1" applyBorder="1" applyAlignment="1">
      <alignment horizontal="center"/>
    </xf>
    <xf numFmtId="164" fontId="78" fillId="0" borderId="6" xfId="96" applyNumberFormat="1" applyFont="1" applyBorder="1" applyAlignment="1">
      <alignment horizontal="center"/>
    </xf>
    <xf numFmtId="0" fontId="23" fillId="0" borderId="0" xfId="0" applyFont="1"/>
    <xf numFmtId="164" fontId="63" fillId="0" borderId="1" xfId="96" applyNumberFormat="1" applyFont="1" applyBorder="1" applyAlignment="1">
      <alignment horizontal="center"/>
    </xf>
    <xf numFmtId="0" fontId="22" fillId="0" borderId="0" xfId="0" applyFont="1"/>
    <xf numFmtId="0" fontId="21" fillId="40" borderId="25" xfId="0" applyFont="1" applyFill="1" applyBorder="1" applyAlignment="1">
      <alignment horizontal="center" vertical="center"/>
    </xf>
    <xf numFmtId="0" fontId="21" fillId="0" borderId="0" xfId="0" applyFont="1"/>
    <xf numFmtId="0" fontId="20" fillId="0" borderId="0" xfId="0" applyFont="1"/>
    <xf numFmtId="0" fontId="53" fillId="0" borderId="0" xfId="0" applyFont="1"/>
    <xf numFmtId="0" fontId="19" fillId="0" borderId="0" xfId="0" applyFont="1"/>
    <xf numFmtId="0" fontId="18" fillId="0" borderId="0" xfId="0" applyFont="1"/>
    <xf numFmtId="0" fontId="79" fillId="5" borderId="1" xfId="0" applyFont="1" applyFill="1" applyBorder="1" applyAlignment="1">
      <alignment horizontal="center"/>
    </xf>
    <xf numFmtId="164" fontId="80" fillId="0" borderId="1" xfId="96" applyNumberFormat="1" applyFont="1" applyBorder="1" applyAlignment="1">
      <alignment horizontal="center"/>
    </xf>
    <xf numFmtId="164" fontId="80" fillId="0" borderId="6" xfId="96" applyNumberFormat="1" applyFont="1" applyBorder="1" applyAlignment="1">
      <alignment horizontal="center"/>
    </xf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65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15" fontId="79" fillId="5" borderId="1" xfId="0" applyNumberFormat="1" applyFont="1" applyFill="1" applyBorder="1"/>
    <xf numFmtId="0" fontId="37" fillId="0" borderId="45" xfId="34040" applyFont="1" applyBorder="1" applyAlignment="1">
      <alignment horizontal="center" vertical="center" wrapText="1"/>
    </xf>
    <xf numFmtId="0" fontId="37" fillId="0" borderId="38" xfId="34040" applyFont="1" applyBorder="1" applyAlignment="1">
      <alignment horizontal="center" vertical="center" wrapText="1"/>
    </xf>
    <xf numFmtId="0" fontId="3" fillId="0" borderId="0" xfId="34040" applyAlignment="1">
      <alignment horizontal="center" vertical="center"/>
    </xf>
    <xf numFmtId="17" fontId="3" fillId="0" borderId="43" xfId="34040" applyNumberFormat="1" applyBorder="1" applyAlignment="1">
      <alignment horizontal="center" vertical="center"/>
    </xf>
    <xf numFmtId="0" fontId="3" fillId="0" borderId="8" xfId="34040" applyBorder="1" applyAlignment="1">
      <alignment horizontal="center" vertical="center"/>
    </xf>
    <xf numFmtId="1" fontId="3" fillId="0" borderId="8" xfId="34040" applyNumberFormat="1" applyBorder="1" applyAlignment="1">
      <alignment horizontal="center" vertical="center"/>
    </xf>
    <xf numFmtId="10" fontId="0" fillId="0" borderId="44" xfId="34041" applyNumberFormat="1" applyFont="1" applyBorder="1" applyAlignment="1">
      <alignment horizontal="center" vertical="center"/>
    </xf>
    <xf numFmtId="17" fontId="3" fillId="0" borderId="46" xfId="34040" applyNumberFormat="1" applyBorder="1" applyAlignment="1">
      <alignment horizontal="center" vertical="center"/>
    </xf>
    <xf numFmtId="0" fontId="3" fillId="0" borderId="25" xfId="34040" applyBorder="1" applyAlignment="1">
      <alignment horizontal="center" vertical="center"/>
    </xf>
    <xf numFmtId="1" fontId="3" fillId="0" borderId="25" xfId="34040" applyNumberFormat="1" applyBorder="1" applyAlignment="1">
      <alignment horizontal="center" vertical="center"/>
    </xf>
    <xf numFmtId="10" fontId="0" fillId="0" borderId="47" xfId="34041" applyNumberFormat="1" applyFont="1" applyBorder="1" applyAlignment="1">
      <alignment horizontal="center" vertical="center"/>
    </xf>
    <xf numFmtId="1" fontId="3" fillId="0" borderId="0" xfId="34040" applyNumberFormat="1" applyAlignment="1">
      <alignment horizontal="center" vertical="center"/>
    </xf>
    <xf numFmtId="10" fontId="3" fillId="0" borderId="0" xfId="34040" applyNumberFormat="1" applyAlignment="1">
      <alignment horizontal="center" vertical="center"/>
    </xf>
    <xf numFmtId="0" fontId="53" fillId="0" borderId="48" xfId="34040" applyFont="1" applyBorder="1" applyAlignment="1">
      <alignment vertical="center" wrapText="1"/>
    </xf>
    <xf numFmtId="0" fontId="53" fillId="0" borderId="4" xfId="34040" applyFont="1" applyBorder="1" applyAlignment="1">
      <alignment vertical="center" wrapText="1"/>
    </xf>
    <xf numFmtId="0" fontId="53" fillId="0" borderId="5" xfId="34040" applyFont="1" applyBorder="1" applyAlignment="1">
      <alignment vertical="center" wrapText="1"/>
    </xf>
    <xf numFmtId="0" fontId="3" fillId="0" borderId="0" xfId="34040"/>
    <xf numFmtId="0" fontId="3" fillId="0" borderId="49" xfId="34040" applyBorder="1"/>
    <xf numFmtId="0" fontId="3" fillId="0" borderId="1" xfId="34040" applyBorder="1"/>
    <xf numFmtId="171" fontId="3" fillId="0" borderId="1" xfId="34040" applyNumberFormat="1" applyBorder="1"/>
    <xf numFmtId="169" fontId="3" fillId="0" borderId="1" xfId="34040" applyNumberFormat="1" applyBorder="1"/>
    <xf numFmtId="2" fontId="3" fillId="0" borderId="1" xfId="34040" applyNumberFormat="1" applyBorder="1"/>
    <xf numFmtId="2" fontId="3" fillId="0" borderId="1" xfId="34040" applyNumberFormat="1" applyBorder="1" applyAlignment="1">
      <alignment wrapText="1"/>
    </xf>
    <xf numFmtId="172" fontId="0" fillId="0" borderId="1" xfId="34042" applyFont="1" applyBorder="1"/>
    <xf numFmtId="0" fontId="3" fillId="0" borderId="1" xfId="34040" applyBorder="1" applyAlignment="1">
      <alignment wrapText="1"/>
    </xf>
    <xf numFmtId="0" fontId="3" fillId="0" borderId="6" xfId="34040" applyBorder="1"/>
    <xf numFmtId="0" fontId="36" fillId="3" borderId="48" xfId="34040" applyFont="1" applyFill="1" applyBorder="1" applyAlignment="1">
      <alignment horizontal="center" vertical="center" wrapText="1"/>
    </xf>
    <xf numFmtId="0" fontId="36" fillId="3" borderId="4" xfId="34040" applyFont="1" applyFill="1" applyBorder="1" applyAlignment="1">
      <alignment horizontal="center" vertical="center" wrapText="1"/>
    </xf>
    <xf numFmtId="0" fontId="36" fillId="3" borderId="5" xfId="34040" applyFont="1" applyFill="1" applyBorder="1" applyAlignment="1">
      <alignment horizontal="center" vertical="center" wrapText="1"/>
    </xf>
    <xf numFmtId="0" fontId="3" fillId="41" borderId="49" xfId="34040" applyFill="1" applyBorder="1" applyAlignment="1">
      <alignment horizontal="center"/>
    </xf>
    <xf numFmtId="168" fontId="81" fillId="42" borderId="1" xfId="34040" applyNumberFormat="1" applyFont="1" applyFill="1" applyBorder="1" applyAlignment="1">
      <alignment vertical="center"/>
    </xf>
    <xf numFmtId="1" fontId="3" fillId="41" borderId="1" xfId="34040" applyNumberFormat="1" applyFill="1" applyBorder="1" applyAlignment="1">
      <alignment horizontal="center" vertical="center"/>
    </xf>
    <xf numFmtId="0" fontId="3" fillId="41" borderId="1" xfId="34040" applyFill="1" applyBorder="1" applyAlignment="1">
      <alignment horizontal="center" vertical="center"/>
    </xf>
    <xf numFmtId="17" fontId="3" fillId="0" borderId="1" xfId="34040" applyNumberFormat="1" applyBorder="1" applyAlignment="1">
      <alignment horizontal="center"/>
    </xf>
    <xf numFmtId="169" fontId="3" fillId="0" borderId="1" xfId="34040" applyNumberFormat="1" applyBorder="1" applyAlignment="1">
      <alignment vertical="center"/>
    </xf>
    <xf numFmtId="166" fontId="3" fillId="0" borderId="1" xfId="34040" applyNumberFormat="1" applyBorder="1" applyAlignment="1">
      <alignment horizontal="center" vertical="center"/>
    </xf>
    <xf numFmtId="166" fontId="3" fillId="0" borderId="1" xfId="34040" applyNumberFormat="1" applyBorder="1" applyAlignment="1">
      <alignment horizontal="left"/>
    </xf>
    <xf numFmtId="1" fontId="3" fillId="0" borderId="1" xfId="34040" applyNumberFormat="1" applyBorder="1" applyAlignment="1">
      <alignment horizontal="center"/>
    </xf>
    <xf numFmtId="10" fontId="3" fillId="0" borderId="1" xfId="34040" applyNumberFormat="1" applyBorder="1" applyAlignment="1">
      <alignment horizontal="center" vertical="center"/>
    </xf>
    <xf numFmtId="0" fontId="82" fillId="42" borderId="1" xfId="34040" applyFont="1" applyFill="1" applyBorder="1" applyAlignment="1">
      <alignment horizontal="center"/>
    </xf>
    <xf numFmtId="0" fontId="82" fillId="42" borderId="1" xfId="34040" applyFont="1" applyFill="1" applyBorder="1" applyAlignment="1">
      <alignment horizontal="left"/>
    </xf>
    <xf numFmtId="0" fontId="82" fillId="42" borderId="1" xfId="34040" applyFont="1" applyFill="1" applyBorder="1" applyAlignment="1">
      <alignment horizontal="left" vertical="center"/>
    </xf>
    <xf numFmtId="20" fontId="82" fillId="42" borderId="1" xfId="34040" applyNumberFormat="1" applyFont="1" applyFill="1" applyBorder="1" applyAlignment="1">
      <alignment horizontal="center"/>
    </xf>
    <xf numFmtId="2" fontId="3" fillId="0" borderId="1" xfId="34040" applyNumberFormat="1" applyBorder="1" applyAlignment="1">
      <alignment horizontal="center" vertical="center"/>
    </xf>
    <xf numFmtId="2" fontId="3" fillId="0" borderId="1" xfId="34040" applyNumberFormat="1" applyBorder="1" applyAlignment="1">
      <alignment horizontal="center"/>
    </xf>
    <xf numFmtId="0" fontId="3" fillId="0" borderId="1" xfId="34040" applyBorder="1" applyAlignment="1">
      <alignment horizontal="left" vertical="center"/>
    </xf>
    <xf numFmtId="0" fontId="3" fillId="0" borderId="1" xfId="34040" applyBorder="1" applyAlignment="1">
      <alignment horizontal="center"/>
    </xf>
    <xf numFmtId="170" fontId="3" fillId="0" borderId="1" xfId="34040" applyNumberFormat="1" applyBorder="1" applyAlignment="1">
      <alignment horizontal="center"/>
    </xf>
    <xf numFmtId="0" fontId="3" fillId="0" borderId="6" xfId="34040" applyBorder="1" applyAlignment="1">
      <alignment horizontal="center"/>
    </xf>
    <xf numFmtId="0" fontId="3" fillId="0" borderId="0" xfId="34040" applyAlignment="1">
      <alignment horizontal="center"/>
    </xf>
    <xf numFmtId="9" fontId="3" fillId="0" borderId="1" xfId="96" applyFont="1" applyBorder="1" applyAlignment="1">
      <alignment horizontal="center"/>
    </xf>
    <xf numFmtId="0" fontId="3" fillId="0" borderId="0" xfId="34040" applyAlignment="1">
      <alignment horizontal="center" vertical="center" wrapText="1"/>
    </xf>
    <xf numFmtId="14" fontId="3" fillId="0" borderId="0" xfId="34040" applyNumberFormat="1" applyAlignment="1">
      <alignment horizontal="center" vertical="center"/>
    </xf>
    <xf numFmtId="0" fontId="3" fillId="0" borderId="3" xfId="34040" applyBorder="1" applyAlignment="1">
      <alignment horizontal="center"/>
    </xf>
    <xf numFmtId="17" fontId="3" fillId="0" borderId="3" xfId="34040" applyNumberFormat="1" applyBorder="1" applyAlignment="1">
      <alignment horizontal="center"/>
    </xf>
    <xf numFmtId="0" fontId="3" fillId="0" borderId="3" xfId="34040" applyBorder="1" applyAlignment="1">
      <alignment horizontal="center" vertical="center"/>
    </xf>
    <xf numFmtId="20" fontId="3" fillId="0" borderId="0" xfId="34040" applyNumberFormat="1" applyAlignment="1">
      <alignment horizontal="center" vertical="center"/>
    </xf>
    <xf numFmtId="2" fontId="3" fillId="0" borderId="0" xfId="34040" applyNumberFormat="1" applyAlignment="1">
      <alignment horizontal="center" vertical="center"/>
    </xf>
    <xf numFmtId="166" fontId="3" fillId="0" borderId="0" xfId="34040" applyNumberFormat="1" applyAlignment="1">
      <alignment horizontal="center" vertical="center"/>
    </xf>
    <xf numFmtId="10" fontId="0" fillId="0" borderId="0" xfId="34041" applyNumberFormat="1" applyFont="1" applyAlignment="1">
      <alignment horizontal="center" vertical="center"/>
    </xf>
    <xf numFmtId="0" fontId="3" fillId="0" borderId="0" xfId="34040" applyAlignment="1">
      <alignment horizontal="left" vertical="center"/>
    </xf>
    <xf numFmtId="0" fontId="3" fillId="41" borderId="50" xfId="34040" applyFill="1" applyBorder="1" applyAlignment="1">
      <alignment horizontal="center"/>
    </xf>
    <xf numFmtId="1" fontId="3" fillId="41" borderId="10" xfId="34040" applyNumberFormat="1" applyFill="1" applyBorder="1" applyAlignment="1">
      <alignment horizontal="center" vertical="center"/>
    </xf>
    <xf numFmtId="17" fontId="3" fillId="0" borderId="10" xfId="34040" applyNumberFormat="1" applyBorder="1" applyAlignment="1">
      <alignment horizontal="center"/>
    </xf>
    <xf numFmtId="0" fontId="3" fillId="0" borderId="10" xfId="34040" applyBorder="1"/>
    <xf numFmtId="169" fontId="3" fillId="0" borderId="10" xfId="34040" applyNumberFormat="1" applyBorder="1" applyAlignment="1">
      <alignment vertical="center"/>
    </xf>
    <xf numFmtId="166" fontId="3" fillId="0" borderId="10" xfId="34040" applyNumberFormat="1" applyBorder="1" applyAlignment="1">
      <alignment horizontal="center" vertical="center"/>
    </xf>
    <xf numFmtId="1" fontId="3" fillId="0" borderId="10" xfId="34040" applyNumberFormat="1" applyBorder="1" applyAlignment="1">
      <alignment horizontal="center"/>
    </xf>
    <xf numFmtId="20" fontId="83" fillId="42" borderId="10" xfId="34040" applyNumberFormat="1" applyFont="1" applyFill="1" applyBorder="1" applyAlignment="1">
      <alignment horizontal="center"/>
    </xf>
    <xf numFmtId="2" fontId="3" fillId="0" borderId="10" xfId="34040" applyNumberFormat="1" applyBorder="1" applyAlignment="1">
      <alignment horizontal="center" vertical="center"/>
    </xf>
    <xf numFmtId="2" fontId="3" fillId="0" borderId="10" xfId="34040" applyNumberFormat="1" applyBorder="1" applyAlignment="1">
      <alignment horizontal="center"/>
    </xf>
    <xf numFmtId="0" fontId="3" fillId="0" borderId="10" xfId="34040" applyBorder="1" applyAlignment="1">
      <alignment horizontal="center"/>
    </xf>
    <xf numFmtId="170" fontId="3" fillId="0" borderId="10" xfId="34040" applyNumberFormat="1" applyBorder="1" applyAlignment="1">
      <alignment horizontal="center"/>
    </xf>
    <xf numFmtId="0" fontId="3" fillId="0" borderId="11" xfId="34040" applyBorder="1" applyAlignment="1">
      <alignment horizontal="center"/>
    </xf>
    <xf numFmtId="0" fontId="2" fillId="0" borderId="0" xfId="0" applyFont="1"/>
    <xf numFmtId="168" fontId="68" fillId="13" borderId="33" xfId="14686" applyNumberFormat="1" applyFont="1" applyFill="1" applyBorder="1" applyAlignment="1">
      <alignment horizontal="left" vertical="center"/>
    </xf>
    <xf numFmtId="168" fontId="68" fillId="13" borderId="34" xfId="14686" applyNumberFormat="1" applyFont="1" applyFill="1" applyBorder="1" applyAlignment="1">
      <alignment horizontal="left" vertical="center"/>
    </xf>
    <xf numFmtId="168" fontId="68" fillId="13" borderId="35" xfId="14686" applyNumberFormat="1" applyFont="1" applyFill="1" applyBorder="1" applyAlignment="1">
      <alignment horizontal="left" vertical="center"/>
    </xf>
    <xf numFmtId="0" fontId="66" fillId="14" borderId="26" xfId="0" applyFont="1" applyFill="1" applyBorder="1" applyAlignment="1">
      <alignment horizontal="center"/>
    </xf>
    <xf numFmtId="0" fontId="66" fillId="14" borderId="27" xfId="0" applyFont="1" applyFill="1" applyBorder="1" applyAlignment="1">
      <alignment horizontal="center"/>
    </xf>
    <xf numFmtId="0" fontId="66" fillId="14" borderId="28" xfId="0" applyFont="1" applyFill="1" applyBorder="1" applyAlignment="1">
      <alignment horizontal="center"/>
    </xf>
    <xf numFmtId="167" fontId="68" fillId="13" borderId="30" xfId="14686" applyNumberFormat="1" applyFont="1" applyFill="1" applyBorder="1" applyAlignment="1" applyProtection="1">
      <alignment horizontal="left" vertical="center"/>
      <protection locked="0"/>
    </xf>
    <xf numFmtId="167" fontId="68" fillId="13" borderId="31" xfId="14686" applyNumberFormat="1" applyFont="1" applyFill="1" applyBorder="1" applyAlignment="1" applyProtection="1">
      <alignment horizontal="left" vertical="center"/>
      <protection locked="0"/>
    </xf>
    <xf numFmtId="168" fontId="68" fillId="13" borderId="30" xfId="14686" applyNumberFormat="1" applyFont="1" applyFill="1" applyBorder="1" applyAlignment="1" applyProtection="1">
      <alignment horizontal="left" vertical="center"/>
      <protection locked="0"/>
    </xf>
    <xf numFmtId="168" fontId="68" fillId="13" borderId="31" xfId="14686" applyNumberFormat="1" applyFont="1" applyFill="1" applyBorder="1" applyAlignment="1" applyProtection="1">
      <alignment horizontal="left" vertical="center"/>
      <protection locked="0"/>
    </xf>
    <xf numFmtId="0" fontId="69" fillId="13" borderId="30" xfId="0" applyFont="1" applyFill="1" applyBorder="1" applyAlignment="1">
      <alignment horizontal="left"/>
    </xf>
    <xf numFmtId="0" fontId="69" fillId="13" borderId="31" xfId="0" applyFont="1" applyFill="1" applyBorder="1" applyAlignment="1">
      <alignment horizontal="left"/>
    </xf>
    <xf numFmtId="168" fontId="68" fillId="13" borderId="30" xfId="14686" applyNumberFormat="1" applyFont="1" applyFill="1" applyBorder="1" applyAlignment="1">
      <alignment horizontal="left" vertical="center"/>
    </xf>
    <xf numFmtId="168" fontId="68" fillId="13" borderId="31" xfId="14686" applyNumberFormat="1" applyFont="1" applyFill="1" applyBorder="1" applyAlignment="1">
      <alignment horizontal="left" vertical="center"/>
    </xf>
    <xf numFmtId="0" fontId="39" fillId="7" borderId="1" xfId="0" applyFont="1" applyFill="1" applyBorder="1" applyAlignment="1">
      <alignment horizontal="center" vertical="center"/>
    </xf>
    <xf numFmtId="0" fontId="3" fillId="0" borderId="0" xfId="34040" applyFill="1" applyAlignment="1">
      <alignment horizontal="center" vertical="center"/>
    </xf>
    <xf numFmtId="0" fontId="3" fillId="0" borderId="0" xfId="34040" applyNumberFormat="1" applyFill="1" applyAlignment="1">
      <alignment horizontal="center" vertical="center"/>
    </xf>
    <xf numFmtId="1" fontId="3" fillId="0" borderId="0" xfId="34040" applyNumberFormat="1" applyFill="1" applyAlignment="1">
      <alignment horizontal="center" vertical="center"/>
    </xf>
    <xf numFmtId="10" fontId="3" fillId="0" borderId="0" xfId="34040" applyNumberFormat="1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  <xf numFmtId="0" fontId="1" fillId="0" borderId="0" xfId="0" applyFont="1"/>
    <xf numFmtId="0" fontId="3" fillId="0" borderId="10" xfId="34040" applyNumberFormat="1" applyBorder="1" applyAlignment="1"/>
  </cellXfs>
  <cellStyles count="34043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7" xfId="34039" xr:uid="{00000000-0005-0000-0000-00001B600000}"/>
    <cellStyle name="Comma 8" xfId="34042" xr:uid="{BAE4297E-5802-4544-AA16-CA5CE2568D4D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28" xfId="34040" xr:uid="{EE195D40-6815-4133-80BD-4A1F3237BBBF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Percent 5" xfId="34041" xr:uid="{B0EB2316-827F-480B-911D-A296B3F16505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402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71" formatCode="[$-409]dd/mmm/yy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z val="10"/>
        <color auto="1"/>
      </font>
      <numFmt numFmtId="168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 vertical="center" textRotation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2power.sharepoint.com/sites/OMSO2/Shared%20Documents/1_MIS/New%20DGR%2030-07-2025/DGR_CSPPL.xlsx" TargetMode="External"/><Relationship Id="rId1" Type="http://schemas.openxmlformats.org/officeDocument/2006/relationships/externalLinkPath" Target="https://o2power.sharepoint.com/sites/OMSO2/Shared%20Documents/1_MIS/New%20DGR%2030-07-2025/DGR_CSPP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Annual_KPI"/>
      <sheetName val="Monthly_KPI"/>
      <sheetName val="Raw_Data"/>
      <sheetName val="Daily KPI"/>
      <sheetName val="JMR"/>
      <sheetName val="Plant BD"/>
      <sheetName val="Grid BD"/>
      <sheetName val="Inv_SY"/>
      <sheetName val="Basic Data "/>
      <sheetName val="Inv_SY_B"/>
      <sheetName val="Curtailment records"/>
      <sheetName val="Modelling N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V279" totalsRowShown="0" headerRowDxfId="401" dataDxfId="399" totalsRowDxfId="397" headerRowBorderDxfId="400" tableBorderDxfId="398" totalsRowBorderDxfId="396">
  <autoFilter ref="A1:AV279" xr:uid="{3B203726-2095-49D8-A694-A659B4A14C0A}"/>
  <tableColumns count="48">
    <tableColumn id="1" xr3:uid="{B36BF4A6-6646-4E37-9931-481490CDA446}" name="Date" dataDxfId="395" totalsRowDxfId="394" dataCellStyle="Normal 26"/>
    <tableColumn id="2" xr3:uid="{32B5F69F-CAF4-42EF-81F1-E39E663892A6}" name="Financial Year" dataDxfId="393" totalsRowDxfId="392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391" totalsRowDxfId="390" dataCellStyle="Normal 26">
      <calculatedColumnFormula>YEAR(Table13[[#This Row],[Date]])</calculatedColumnFormula>
    </tableColumn>
    <tableColumn id="4" xr3:uid="{B39F6B26-8B25-4CD8-A0B7-A55F882646CA}" name="Month Year" dataDxfId="389" totalsRowDxfId="388" dataCellStyle="Normal 26">
      <calculatedColumnFormula>Table13[[#This Row],[Date]]-DAY(Table13[[#This Row],[Date]])+1</calculatedColumnFormula>
    </tableColumn>
    <tableColumn id="5" xr3:uid="{9F418D6A-88FF-41E2-98F8-57B1A3119F4D}" name="Days" dataDxfId="387" totalsRowDxfId="386" dataCellStyle="Normal 26">
      <calculatedColumnFormula>DAY(EOMONTH(A2,0))</calculatedColumnFormula>
    </tableColumn>
    <tableColumn id="6" xr3:uid="{C83063EE-3C83-4AD0-B400-47BC684578DD}" name="Operating Hours" dataDxfId="385" dataCellStyle="Percent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384" totalsRowDxfId="383" dataCellStyle="Percent">
      <calculatedColumnFormula>IFERROR(_xlfn.XLOOKUP($A2,'Raw Data'!$G:$G,'Raw Data'!S:S)/1000,"")</calculatedColumnFormula>
    </tableColumn>
    <tableColumn id="8" xr3:uid="{819639AF-5E01-4BB8-96B8-95DEA64A3642}" name="GHI-Down(KWh/m2)" dataDxfId="382" totalsRowDxfId="381" dataCellStyle="Percent"/>
    <tableColumn id="9" xr3:uid="{9CF74BFE-F028-40BD-8723-837648011BA2}" name="POA-UP(KWh/m2)" dataDxfId="380" totalsRowDxfId="379" dataCellStyle="Percent">
      <calculatedColumnFormula>IFERROR(_xlfn.XLOOKUP($A2,'Raw Data'!$G:$G,'Raw Data'!AF:AF)/1000,"")</calculatedColumnFormula>
    </tableColumn>
    <tableColumn id="10" xr3:uid="{3FCEF7FC-EF63-46E1-95A5-314606E92C51}" name="POA-Down(KWh/m2)" dataDxfId="378" totalsRowDxfId="377" dataCellStyle="Percent"/>
    <tableColumn id="11" xr3:uid="{D01F2C3A-D029-4284-B462-498A82B6AF53}" name="Amb_Temp(°C)" dataDxfId="376" totalsRowDxfId="375" dataCellStyle="Percent">
      <calculatedColumnFormula>IFERROR(_xlfn.XLOOKUP($A2,'Raw Data'!$G:$G,'Raw Data'!W:W),"")</calculatedColumnFormula>
    </tableColumn>
    <tableColumn id="12" xr3:uid="{B8B964F0-21A3-419F-80E0-858F3A6FDDDA}" name="Mod_Temp(°C)" dataDxfId="374" totalsRowDxfId="373" dataCellStyle="Percent">
      <calculatedColumnFormula>IFERROR(_xlfn.XLOOKUP($A2,'Raw Data'!$G:$G,'Raw Data'!X:X),"")</calculatedColumnFormula>
    </tableColumn>
    <tableColumn id="13" xr3:uid="{C86907D5-3718-4C45-A6EF-CFE61922E917}" name="WS_Avg(m/s)" dataDxfId="372" totalsRowDxfId="371" dataCellStyle="Percent">
      <calculatedColumnFormula>IFERROR(_xlfn.XLOOKUP($A2,'Raw Data'!$G:$G,'Raw Data'!Y:Y),"")</calculatedColumnFormula>
    </tableColumn>
    <tableColumn id="14" xr3:uid="{9156C628-C602-42E0-901F-E94719A18723}" name="WS_Max(m/s)" dataDxfId="370" totalsRowDxfId="369" dataCellStyle="Percent">
      <calculatedColumnFormula>IFERROR(_xlfn.XLOOKUP($A2,'Raw Data'!$G:$G,'Raw Data'!Z:Z),"")</calculatedColumnFormula>
    </tableColumn>
    <tableColumn id="15" xr3:uid="{77799DFF-861A-420F-803B-0DA89C346D67}" name="PA(%)" dataDxfId="368" totalsRowDxfId="367" dataCellStyle="Percent">
      <calculatedColumnFormula>IFERROR(1-SUMIF('Plant BD'!$B:$B,$A2,'Plant BD'!$AM:$AM)/($AA2+SUMIF('Plant BD'!$B:$B,$A2,'Plant BD'!$AM:$AM)),"")</calculatedColumnFormula>
    </tableColumn>
    <tableColumn id="16" xr3:uid="{C39F6BDC-4808-46D7-9BBF-FC36B15364BA}" name="MA (%)" dataDxfId="366" totalsRowDxfId="365" dataCellStyle="Percent"/>
    <tableColumn id="17" xr3:uid="{0A470E74-7518-44C3-A94E-75C23C701894}" name="IGA (%)" dataDxfId="364" dataCellStyle="Percent"/>
    <tableColumn id="18" xr3:uid="{37093BBE-6B5B-42CC-ADC3-2D9CAE6F7DB7}" name="EGA(%)" dataDxfId="363" totalsRowDxfId="362" dataCellStyle="Percent">
      <calculatedColumnFormula>IFERROR(1-SUMIF('Grid BD'!$B:$B,$A2,'Grid BD'!$AE:$AE)/($AA2+SUMIF('Grid BD'!$B:$B,$A2,'Grid BD'!$AE:$AE)),"")</calculatedColumnFormula>
    </tableColumn>
    <tableColumn id="19" xr3:uid="{9FD9B8B9-FCBB-4EA6-9EA5-692BD0875DDD}" name="EMA (%)" dataDxfId="361" totalsRowDxfId="360"/>
    <tableColumn id="20" xr3:uid="{B7D6CD28-7334-4AEF-B40C-553876059BB6}" name="TA (%)" dataDxfId="359" totalsRowDxfId="358" dataCellStyle="Percent">
      <calculatedColumnFormula>IFERROR(1-SUMIF(Tracker_BD!H:H,$A2,Tracker_BD!AI:AI)/$F2,"")</calculatedColumnFormula>
    </tableColumn>
    <tableColumn id="21" xr3:uid="{9B2AB745-B571-4BFF-9942-5CFE04DD7B06}" name="PR(%)" dataDxfId="357" totalsRowDxfId="356" dataCellStyle="Percent">
      <calculatedColumnFormula>IFERROR(AA2/(I2*1000)/AB2,"")</calculatedColumnFormula>
    </tableColumn>
    <tableColumn id="22" xr3:uid="{3638135D-F6AE-4E2F-BF56-323A76F92578}" name="WPR(%)" dataDxfId="355" totalsRowDxfId="354"/>
    <tableColumn id="23" xr3:uid="{C907397F-3EB0-4AEA-B374-1D071F4050CD}" name="CUF(%)" dataDxfId="353" totalsRowDxfId="352" dataCellStyle="Percent">
      <calculatedColumnFormula>IFERROR(AA2/(24*1000*AR2),"")</calculatedColumnFormula>
    </tableColumn>
    <tableColumn id="24" xr3:uid="{B886B0B7-4D8D-4046-A426-E86A630EF187}" name="Gen_Exp (kWh)" dataDxfId="351" totalsRowDxfId="350">
      <calculatedColumnFormula>IFERROR(_xlfn.XLOOKUP($A2,'Raw Data'!$G:$G,'Raw Data'!AB:AB),"")</calculatedColumnFormula>
    </tableColumn>
    <tableColumn id="25" xr3:uid="{6A8669F7-953B-4D68-A2FE-D457F2C6A628}" name="Mtr_Export (kWh)" dataDxfId="349" totalsRowDxfId="348">
      <calculatedColumnFormula>IFERROR(_xlfn.XLOOKUP($A2,'Raw Data'!$G:$G,'Raw Data'!AC:AC),"")</calculatedColumnFormula>
    </tableColumn>
    <tableColumn id="26" xr3:uid="{6912CAF9-9D0C-487E-9FC3-D2ECE7DDA472}" name="Mtr_Import (kWh)" dataDxfId="347" totalsRowDxfId="346">
      <calculatedColumnFormula>IFERROR(_xlfn.XLOOKUP($A2,'Raw Data'!$G:$G,'Raw Data'!AD:AD),"")</calculatedColumnFormula>
    </tableColumn>
    <tableColumn id="27" xr3:uid="{705C8BEE-95DF-458C-A47F-5E2788EED62E}" name="Mtr_Net_Exp (KWh)" dataDxfId="345" totalsRowDxfId="344">
      <calculatedColumnFormula>IFERROR(_xlfn.XLOOKUP($A2,'Raw Data'!$G:$G,'Raw Data'!AE:AE)*(1+(_xlfn.XLOOKUP(Table13[[#This Row],[Month Year]],JMR!$A:$A,JMR!$J:$J))),"")</calculatedColumnFormula>
    </tableColumn>
    <tableColumn id="28" xr3:uid="{DF9E0A65-74EA-43CC-9C69-CFEA4320FEC9}" name="Operational Capacity (MW)" dataDxfId="343" totalsRowDxfId="342">
      <calculatedColumnFormula>_xlfn.XLOOKUP($D2,'Modelling New'!D:D,'Modelling New'!N:N)</calculatedColumnFormula>
    </tableColumn>
    <tableColumn id="29" xr3:uid="{58450F02-BD4F-4A04-953C-16A280E69218}" name="Bugt_Resource" dataDxfId="341" totalsRowDxfId="340">
      <calculatedColumnFormula>IFERROR(_xlfn.XLOOKUP($D2,'Modelling New'!$D:$D,'Modelling New'!P:P),"")</calculatedColumnFormula>
    </tableColumn>
    <tableColumn id="30" xr3:uid="{290567AF-8670-44A6-9DC9-EAEC0C4913A4}" name="Bugt_Energy" dataDxfId="339" totalsRowDxfId="338">
      <calculatedColumnFormula>IFERROR(_xlfn.XLOOKUP($D2,'Modelling New'!$D:$D,'Modelling New'!T:T)*1000,"")</calculatedColumnFormula>
    </tableColumn>
    <tableColumn id="43" xr3:uid="{CAAAB824-62BF-4439-B76F-EB113EE9C176}" name="Bugt PR" dataDxfId="337" totalsRowDxfId="336" dataCellStyle="Percent">
      <calculatedColumnFormula>IFERROR(AD2/AC2/AB2/1000,"")</calculatedColumnFormula>
    </tableColumn>
    <tableColumn id="42" xr3:uid="{1172D2D7-CC4A-4D71-B024-C8883FB9CB5E}" name="Bugt CUF" dataDxfId="335" totalsRowDxfId="334" dataCellStyle="Percent">
      <calculatedColumnFormula>IFERROR(_xlfn.XLOOKUP($D2,'Modelling New'!$D:$D,'Modelling New'!W:W),"")</calculatedColumnFormula>
    </tableColumn>
    <tableColumn id="31" xr3:uid="{C00E5B4E-EAAB-416E-9FC1-91EB40DD4F1E}" name="Bugt_PA" dataDxfId="333" totalsRowDxfId="332" dataCellStyle="Percent">
      <calculatedColumnFormula>IFERROR(_xlfn.XLOOKUP($D2,'Modelling New'!$D:$D,'Modelling New'!AD:AD),"")</calculatedColumnFormula>
    </tableColumn>
    <tableColumn id="32" xr3:uid="{C985CD1A-FAEA-41B1-A5FC-427CF716F4D8}" name="Bugt_EGA" dataDxfId="331" totalsRowDxfId="330" dataCellStyle="Percent">
      <calculatedColumnFormula>IFERROR(_xlfn.XLOOKUP($D2,'Modelling New'!$D:$D,'Modelling New'!AE:AE),"")</calculatedColumnFormula>
    </tableColumn>
    <tableColumn id="33" xr3:uid="{622758B9-CD04-4D9B-84DD-65AF754FDF3D}" name="Expected Energy" dataDxfId="329" totalsRowDxfId="328"/>
    <tableColumn id="34" xr3:uid="{1B930253-5CDA-4378-ABEC-3656645B95DE}" name="Actual Energy WPR" dataDxfId="327" totalsRowDxfId="326"/>
    <tableColumn id="35" xr3:uid="{E3D691AB-9923-44E8-A854-2690587E2067}" name="RA (%)" dataDxfId="325" totalsRowDxfId="324"/>
    <tableColumn id="36" xr3:uid="{C6F29227-EFFA-49C6-9999-6B8F67DCDD1B}" name="Mod Clean Dry (Num)" dataDxfId="323" totalsRowDxfId="322"/>
    <tableColumn id="37" xr3:uid="{0C8B08A0-AE2C-43E6-8D7D-7CDA86E83C29}" name="Mod Clean Wet (Num)" dataDxfId="321" totalsRowDxfId="320"/>
    <tableColumn id="38" xr3:uid="{951342E6-D1AF-4E2C-9624-5AD2A92065F3}" name="Line Loss(%)" dataDxfId="319" totalsRowDxfId="318" dataCellStyle="Percent"/>
    <tableColumn id="39" xr3:uid="{3D128F10-6261-46F8-A13F-B7A0DEA08E2E}" name="Reactive Power (%)" dataDxfId="317" totalsRowDxfId="316" dataCellStyle="Percent"/>
    <tableColumn id="40" xr3:uid="{223B99FB-CA8F-4264-86EE-1D5C9F575461}" name="Bugt Line loss (%) (Wind)" dataDxfId="315" totalsRowDxfId="314" dataCellStyle="Percent"/>
    <tableColumn id="41" xr3:uid="{3F16F312-DDB7-495C-81B7-179FBEA33785}" name="Bugt Reactive Power (%) (Wind)" dataDxfId="313" totalsRowDxfId="312" dataCellStyle="Percent"/>
    <tableColumn id="44" xr3:uid="{098ECCC4-3F2E-421A-8A73-8A07C435E978}" name="Bugt Capacity" dataDxfId="311" totalsRowDxfId="310">
      <calculatedColumnFormula>IFERROR(_xlfn.XLOOKUP($D2,'Modelling New'!$D:$D,'Modelling New'!$N:$N),"")</calculatedColumnFormula>
    </tableColumn>
    <tableColumn id="45" xr3:uid="{336C6ADE-A0CD-4EEA-81B0-34940699180D}" name="CC*Bugt" dataDxfId="309" totalsRowDxfId="308"/>
    <tableColumn id="46" xr3:uid="{15E178DD-5089-443D-8A52-0DCB25E770B0}" name="Operational AC Capacity (MW)" dataDxfId="307" totalsRowDxfId="306">
      <calculatedColumnFormula>IFERROR(_xlfn.XLOOKUP(Table13[[#This Row],[Date]],'Raw Data'!$G:$G,'Raw Data'!$AJ:$AJ),"")</calculatedColumnFormula>
    </tableColumn>
    <tableColumn id="47" xr3:uid="{7D1092DB-0C1B-404C-AE31-442443A0DFD3}" name="Bugt AC Capacity (MW)" dataDxfId="305" totalsRowDxfId="304">
      <calculatedColumnFormula>IFERROR(_xlfn.XLOOKUP(Table13[[#This Row],[Month Year]],'Modelling New'!$D:$D,'Modelling New'!$AN:$AN),"")</calculatedColumnFormula>
    </tableColumn>
    <tableColumn id="48" xr3:uid="{A67C9D98-8429-4FFD-A081-ADF3B04CFFB8}" name="Curtailment Gen Loss (MWh)" dataDxfId="303" totalsRowDxfId="302">
      <calculatedColumnFormula>SUMIF('Curtailment records'!$C:$C,Table13[[#This Row],[Date]],'Curtailment records'!$R:$R)/1000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J132" totalsRowShown="0" headerRowDxfId="301" dataDxfId="300">
  <tableColumns count="36">
    <tableColumn id="1" xr3:uid="{00000000-0010-0000-0300-000001000000}" name="Finacial Year" dataDxfId="299"/>
    <tableColumn id="2" xr3:uid="{00000000-0010-0000-0300-000002000000}" name="Calendar Year" dataDxfId="298"/>
    <tableColumn id="3" xr3:uid="{00000000-0010-0000-0300-000003000000}" name="Contrcatual Year" dataDxfId="297"/>
    <tableColumn id="4" xr3:uid="{00000000-0010-0000-0300-000004000000}" name="Operating Year" dataDxfId="296"/>
    <tableColumn id="5" xr3:uid="{00000000-0010-0000-0300-000005000000}" name="Month Year" dataDxfId="295"/>
    <tableColumn id="6" xr3:uid="{00000000-0010-0000-0300-000006000000}" name="Days" dataDxfId="294">
      <calculatedColumnFormula>DAY(EOMONTH(Raw_Data[[#This Row],[Month Year]],0))</calculatedColumnFormula>
    </tableColumn>
    <tableColumn id="7" xr3:uid="{00000000-0010-0000-0300-000007000000}" name="Date" dataDxfId="293"/>
    <tableColumn id="8" xr3:uid="{00000000-0010-0000-0300-000008000000}" name="Plant DC Capcity (MW)" dataDxfId="292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291"/>
    <tableColumn id="10" xr3:uid="{00000000-0010-0000-0300-00000A000000}" name="Sunset Time (POA&lt;20 W/m2)" dataDxfId="290"/>
    <tableColumn id="11" xr3:uid="{00000000-0010-0000-0300-00000B000000}" name="IC1_Inv1" dataDxfId="289"/>
    <tableColumn id="12" xr3:uid="{00000000-0010-0000-0300-00000C000000}" name="IC1_Inv2" dataDxfId="288"/>
    <tableColumn id="13" xr3:uid="{00000000-0010-0000-0300-00000D000000}" name="IC1_Inv3" dataDxfId="287"/>
    <tableColumn id="14" xr3:uid="{00000000-0010-0000-0300-00000E000000}" name="IC1_Inv4" dataDxfId="286"/>
    <tableColumn id="15" xr3:uid="{00000000-0010-0000-0300-00000F000000}" name="IC2_Inv1" dataDxfId="285"/>
    <tableColumn id="16" xr3:uid="{00000000-0010-0000-0300-000010000000}" name="IC2_Inv2" dataDxfId="284"/>
    <tableColumn id="17" xr3:uid="{00000000-0010-0000-0300-000011000000}" name="66 kV ABT Main Meter Reading (Export)" dataDxfId="283"/>
    <tableColumn id="18" xr3:uid="{00000000-0010-0000-0300-000012000000}" name="66 kV CRP MFM Reading (Import)" dataDxfId="282"/>
    <tableColumn id="19" xr3:uid="{00000000-0010-0000-0300-000013000000}" name="GHI(Wh/m2)" dataDxfId="281"/>
    <tableColumn id="20" xr3:uid="{00000000-0010-0000-0300-000014000000}" name="POA1(Wh/m2)" dataDxfId="280"/>
    <tableColumn id="21" xr3:uid="{00000000-0010-0000-0300-000015000000}" name="POA2(Wh/m2)" dataDxfId="279"/>
    <tableColumn id="34" xr3:uid="{00000000-0010-0000-0300-000022000000}" name="Avg. POA Lost (W/m2)" dataDxfId="278"/>
    <tableColumn id="25" xr3:uid="{00000000-0010-0000-0300-000019000000}" name="Avg. Ambient Temp (POA&gt;20W/m2)" dataDxfId="277"/>
    <tableColumn id="26" xr3:uid="{00000000-0010-0000-0300-00001A000000}" name="Avg. Module Temp (POA&gt;20W/m2)" dataDxfId="276"/>
    <tableColumn id="27" xr3:uid="{00000000-0010-0000-0300-00001B000000}" name="Avg. Wind Speed (m/s)" dataDxfId="275"/>
    <tableColumn id="28" xr3:uid="{00000000-0010-0000-0300-00001C000000}" name="Max. Wind Speed (m/s)" dataDxfId="274"/>
    <tableColumn id="29" xr3:uid="{00000000-0010-0000-0300-00001D000000}" name="Rain Fall (mm)" dataDxfId="273"/>
    <tableColumn id="37" xr3:uid="{00000000-0010-0000-0300-000025000000}" name="Inverters Generation ( kWh)" dataDxfId="272">
      <calculatedColumnFormula>SUM(Raw_Data[[#This Row],[IC1_Inv1]:[IC2_Inv2]])</calculatedColumnFormula>
    </tableColumn>
    <tableColumn id="30" xr3:uid="{00000000-0010-0000-0300-00001E000000}" name="Export  (kWh)" dataDxfId="271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270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269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268">
      <calculatedColumnFormula>IFERROR(AVERAGE(Raw_Data[[#This Row],[POA1(Wh/m2)]:[POA2(Wh/m2)]]),"")</calculatedColumnFormula>
    </tableColumn>
    <tableColumn id="32" xr3:uid="{00000000-0010-0000-0300-000020000000}" name="Net Avg. POA with Exclusion (W/m2)" dataDxfId="267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266"/>
    <tableColumn id="23" xr3:uid="{CF0011E2-BA16-46F9-B2B2-12B23224CB26}" name="Operating Hours" dataDxfId="265">
      <calculatedColumnFormula>(J4-I4)*24</calculatedColumnFormula>
    </tableColumn>
    <tableColumn id="24" xr3:uid="{42EB51AE-5C3D-40C3-846E-F90A5069E00C}" name="Operational AC Capacity (MW)" dataDxfId="264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ED60331-7F81-4FBB-BD77-E1B7E14D7FA8}" name="JMR" displayName="JMR" ref="A1:J13" totalsRowShown="0" headerRowDxfId="263" dataDxfId="261" headerRowBorderDxfId="262" tableBorderDxfId="260" totalsRowBorderDxfId="259">
  <autoFilter ref="A1:J13" xr:uid="{8745D0B3-BF9B-404E-8C2D-369EEC93627D}"/>
  <tableColumns count="10">
    <tableColumn id="1" xr3:uid="{1E2880C5-126B-430C-AFE1-86FABEF96A4C}" name="Month Year" dataDxfId="258"/>
    <tableColumn id="2" xr3:uid="{826FB2E5-F944-47E9-ACA9-91468E3AE875}" name="Plant Name" dataDxfId="257"/>
    <tableColumn id="3" xr3:uid="{1A05E9BC-970A-4443-92D8-EC7BE261E877}" name="Export (kWh)" dataDxfId="256"/>
    <tableColumn id="4" xr3:uid="{B716A463-E089-43E0-A11B-1DE5264286F1}" name="Import (kWh)" dataDxfId="255"/>
    <tableColumn id="5" xr3:uid="{2E777675-9973-4454-8B26-B941931AAD7C}" name="Net Export (JMR) (kWh)" dataDxfId="254">
      <calculatedColumnFormula>JMR[[#This Row],[Export (kWh)]]-(115%*JMR[[#This Row],[Import (kWh)]])</calculatedColumnFormula>
    </tableColumn>
    <tableColumn id="6" xr3:uid="{21F5178E-6BCD-4276-A901-B1507E9CBB91}" name="Billed (kWh)" dataDxfId="253"/>
    <tableColumn id="7" xr3:uid="{7D3966AB-5F5A-4EDB-A0EF-49D095A9B81F}" name="Net Export (Manual) (kWh)" dataDxfId="252">
      <calculatedColumnFormula>SUMIF('Daily KPI'!$D:$D,$A2,'Daily KPI'!$Y:$Y)-SUMIF('Daily KPI'!$D:$D,$A2,'Daily KPI'!$Z:$Z)</calculatedColumnFormula>
    </tableColumn>
    <tableColumn id="8" xr3:uid="{F6A533D5-1AB9-4E24-8F59-CEDD70907C50}" name="Difference" dataDxfId="251">
      <calculatedColumnFormula>IF(C2="",0,JMR[[#This Row],[Net Export (JMR) (kWh)]]-JMR[[#This Row],[Net Export (Manual) (kWh)]])</calculatedColumnFormula>
    </tableColumn>
    <tableColumn id="9" xr3:uid="{2F753ED8-1771-4DD8-9516-DE0E2BF9783B}" name="Revised Net Export (Manual) (kWh)" dataDxfId="250">
      <calculatedColumnFormula>SUMIF('Daily KPI'!$D:$D,$A2,'Daily KPI'!$AA:$AA)</calculatedColumnFormula>
    </tableColumn>
    <tableColumn id="10" xr3:uid="{04B39250-1C6E-4EE2-A451-3E489572D9D0}" name="%Delta" dataDxfId="249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N49" totalsRowShown="0" headerRowDxfId="248" dataDxfId="246" headerRowBorderDxfId="247" tableBorderDxfId="245" totalsRowBorderDxfId="244">
  <tableColumns count="40">
    <tableColumn id="1" xr3:uid="{DC4F1C70-8E0E-4A94-A68F-C7E59A1DAADF}" name="Sr. No." dataDxfId="243"/>
    <tableColumn id="2" xr3:uid="{05716246-A067-4427-AEC4-590FE64887B7}" name="Month Name" dataDxfId="242"/>
    <tableColumn id="3" xr3:uid="{EDA9F2C6-3B85-4740-B784-8D1EE854337B}" name="Month Number" dataDxfId="241"/>
    <tableColumn id="4" xr3:uid="{742B9556-BA9D-4826-A3B8-00C3401AE164}" name="Month" dataDxfId="240"/>
    <tableColumn id="5" xr3:uid="{76BADD07-BDF9-4C09-8FB5-6956825DD8C9}" name="CY" dataDxfId="239">
      <calculatedColumnFormula>YEAR(D2)</calculatedColumnFormula>
    </tableColumn>
    <tableColumn id="6" xr3:uid="{DA822165-8867-44C9-BC5F-672E8B4ABD28}" name="FY" dataDxfId="238"/>
    <tableColumn id="7" xr3:uid="{ECAC6780-9799-45E6-8587-152C16F04C90}" name="No. of Days in Month" dataDxfId="237">
      <calculatedColumnFormula>DAY(EOMONTH(D2,0))</calculatedColumnFormula>
    </tableColumn>
    <tableColumn id="8" xr3:uid="{01C904AE-0A41-40E1-9D70-5FFCED124845}" name="GHI" dataDxfId="236"/>
    <tableColumn id="9" xr3:uid="{2BFA708F-BE7B-4118-BF49-A1E43F980440}" name="POA" dataDxfId="235"/>
    <tableColumn id="10" xr3:uid="{A39F5365-2B9A-4CA5-8153-1D01973802AD}" name="WS" dataDxfId="234"/>
    <tableColumn id="11" xr3:uid="{ADC561AA-B5DE-4F56-BAB6-7CCFF7C3EE4C}" name="Tamb" dataDxfId="233"/>
    <tableColumn id="12" xr3:uid="{0398DC60-5207-4169-80FB-2572E14928F8}" name="Tmod" dataDxfId="232"/>
    <tableColumn id="13" xr3:uid="{9E56E7CD-928F-4498-B5FE-70192B08096A}" name="Egrid (MWh)" dataDxfId="231"/>
    <tableColumn id="14" xr3:uid="{AF3FADFA-994F-4BC0-BAD2-8F38A2345347}" name="Bugt_Capacity" dataDxfId="230"/>
    <tableColumn id="15" xr3:uid="{44C568DB-270B-4268-8726-73E63ADBAB42}" name="PR" dataDxfId="229">
      <calculatedColumnFormula>M2/I2/N2</calculatedColumnFormula>
    </tableColumn>
    <tableColumn id="16" xr3:uid="{0E54F59E-3FF6-44D2-A5EB-88D9444C9A2D}" name="Daily POA" dataDxfId="228">
      <calculatedColumnFormula>I2/G2</calculatedColumnFormula>
    </tableColumn>
    <tableColumn id="17" xr3:uid="{5B074378-FA1A-411A-ABF4-11A5313C5D5E}" name="Days Operated" dataDxfId="227">
      <calculatedColumnFormula>COUNTIFS('Daily KPI'!D:D,D2,'Daily KPI'!K:K,"&gt;0")</calculatedColumnFormula>
    </tableColumn>
    <tableColumn id="18" xr3:uid="{BC9BD28D-4E80-46FA-B421-274F3C5C0536}" name="MTD POA" dataDxfId="226">
      <calculatedColumnFormula>I2/G2*Q2</calculatedColumnFormula>
    </tableColumn>
    <tableColumn id="27" xr3:uid="{59873C86-3562-4ED2-862E-8C3DCD7E39B4}" name="YTD POA" dataDxfId="225">
      <calculatedColumnFormula>SUMIF($F$2:F2,F2,$R$2:R2)</calculatedColumnFormula>
    </tableColumn>
    <tableColumn id="19" xr3:uid="{87481DD4-7C5C-465C-A685-94B9264E08D3}" name="Daily Energy (MWh)" dataDxfId="224">
      <calculatedColumnFormula>M2/G2</calculatedColumnFormula>
    </tableColumn>
    <tableColumn id="20" xr3:uid="{FF4B2DBF-7024-46F6-9408-176699420A15}" name="MTD Energy (MWh)" dataDxfId="223">
      <calculatedColumnFormula>M2/G2*Q2</calculatedColumnFormula>
    </tableColumn>
    <tableColumn id="28" xr3:uid="{B49B09A7-5F1C-474D-A918-A5088ADB0C58}" name="YTD Energy (MWh)" dataDxfId="222">
      <calculatedColumnFormula>SUMIF($F$2:F2,F2,$U$2:U2)</calculatedColumnFormula>
    </tableColumn>
    <tableColumn id="38" xr3:uid="{4324E2B6-7E3E-4159-A949-1050997C7DFF}" name="Bugt CUF (%)" dataDxfId="221" dataCellStyle="Percent">
      <calculatedColumnFormula>T2/(24*N2)</calculatedColumnFormula>
    </tableColumn>
    <tableColumn id="37" xr3:uid="{C8218568-E608-4704-B8EB-3CE2B0E63E03}" name="Bugt CUF (%) MTD" dataDxfId="220" dataCellStyle="Percent">
      <calculatedColumnFormula>IFERROR(U2/(24*N2*Q2),"")</calculatedColumnFormula>
    </tableColumn>
    <tableColumn id="36" xr3:uid="{293B680A-29C3-4B2B-A234-00FC36D9C60E}" name="Bugt CUF (%)YTD" dataDxfId="219" dataCellStyle="Percent">
      <calculatedColumnFormula>IFERROR(V2/(24*N2*SUMIFS($Q:$Q,$F:$F,$F2,$D:$D,"&lt;="&amp;D2)),"")</calculatedColumnFormula>
    </tableColumn>
    <tableColumn id="21" xr3:uid="{F2492D6C-F8E5-40A0-8CCA-A50C8CFF1379}" name="Ave. Cap MTD" dataDxfId="218">
      <calculatedColumnFormula>IFERROR(AVERAGEIF('Daily KPI'!D:D,Table14[[#This Row],[Month]],'Daily KPI'!AB:AB),"")</calculatedColumnFormula>
    </tableColumn>
    <tableColumn id="29" xr3:uid="{A1F9BD8C-2ED2-4F45-A1DF-C681E402E60E}" name="Ave. Cap YTD" dataDxfId="217">
      <calculatedColumnFormula>IFERROR(AVERAGEIF($F$2:F2,F2,$Z$2:Z2),"")</calculatedColumnFormula>
    </tableColumn>
    <tableColumn id="22" xr3:uid="{23A4BD19-C376-4E4E-8F31-491A7C256439}" name="CC Energy MTD" dataDxfId="216"/>
    <tableColumn id="23" xr3:uid="{3D6642AC-0020-4760-A56D-AB7CCD247AFA}" name="WS_YTD" dataDxfId="215"/>
    <tableColumn id="24" xr3:uid="{5E780D62-B24E-4B09-BB28-1669C1B484A9}" name="Bugt PA" dataDxfId="214" dataCellStyle="Percent"/>
    <tableColumn id="25" xr3:uid="{6C8EC636-075E-4C38-922E-1EE0D0C4C7DF}" name="Bugt EGA" dataDxfId="213" dataCellStyle="Percent"/>
    <tableColumn id="35" xr3:uid="{BB31BF3C-98CF-46F4-B0EA-6150C6EE761F}" name="Bugt TA" dataDxfId="212" dataCellStyle="Percent"/>
    <tableColumn id="26" xr3:uid="{E82FCE46-08EF-4A12-B8FF-68D69B97B6F0}" name="Bugt MA" dataDxfId="211" dataCellStyle="Percent"/>
    <tableColumn id="30" xr3:uid="{B9462841-21F9-411E-8582-40A1737CB651}" name="Bugt IGA" dataDxfId="210" dataCellStyle="Percent"/>
    <tableColumn id="32" xr3:uid="{55F5BF99-03B6-44E4-86F1-0F0B59A69120}" name="Corelation" dataDxfId="209" dataCellStyle="Percent"/>
    <tableColumn id="33" xr3:uid="{D71EDA12-0F1C-4671-84F9-9353E4CBDB4D}" name="Bugt Line loss" dataDxfId="208" dataCellStyle="Percent"/>
    <tableColumn id="34" xr3:uid="{48B318D9-D8B7-44AD-BB34-9D850A6B67F0}" name="Bugt Reactive Power" dataDxfId="207" dataCellStyle="Percent"/>
    <tableColumn id="31" xr3:uid="{836E8AB5-5AB8-47EA-8C4A-31E55EDE09AE}" name="Bugt Capacity" dataDxfId="206" dataCellStyle="Percent"/>
    <tableColumn id="39" xr3:uid="{975C0F3C-55FC-422A-98FF-67A42CF018D4}" name="CC*Bugt" dataDxfId="205" dataCellStyle="Percent"/>
    <tableColumn id="40" xr3:uid="{FE3D3685-D02D-46C6-B70C-401AE142C0F4}" name="Bugt AC Capacity (MW)" dataDxfId="204" dataCellStyle="Percent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203"/>
    <tableColumn id="2" xr3:uid="{00000000-0010-0000-0400-000002000000}" name="Start Month" dataDxfId="202"/>
    <tableColumn id="3" xr3:uid="{00000000-0010-0000-0400-000003000000}" name="Calendor Year" dataDxfId="201"/>
    <tableColumn id="4" xr3:uid="{00000000-0010-0000-0400-000004000000}" name="Contrcatual Year" dataDxfId="200"/>
    <tableColumn id="5" xr3:uid="{00000000-0010-0000-0400-000005000000}" name="Operating Year" dataDxfId="199"/>
    <tableColumn id="6" xr3:uid="{00000000-0010-0000-0400-000006000000}" name="Month Year" dataDxfId="198"/>
    <tableColumn id="7" xr3:uid="{00000000-0010-0000-0400-000007000000}" name="Days" dataDxfId="197">
      <calculatedColumnFormula>DAY(EOMONTH(F3,0))</calculatedColumnFormula>
    </tableColumn>
    <tableColumn id="8" xr3:uid="{00000000-0010-0000-0400-000008000000}" name="Date" dataDxfId="196">
      <calculatedColumnFormula>H2+1</calculatedColumnFormula>
    </tableColumn>
    <tableColumn id="9" xr3:uid="{00000000-0010-0000-0400-000009000000}" name="Plant DC Capcity (MW)" dataDxfId="195">
      <calculatedColumnFormula>_xlfn.XLOOKUP(Table12[[#This Row],[Month Year]],'Modelling New'!D:D,'Modelling New'!N:N)</calculatedColumnFormula>
    </tableColumn>
    <tableColumn id="10" xr3:uid="{00000000-0010-0000-0400-00000A000000}" name="IC1_Inv1" dataDxfId="194">
      <calculatedColumnFormula>'Raw Data'!#REF!/J$1</calculatedColumnFormula>
    </tableColumn>
    <tableColumn id="11" xr3:uid="{00000000-0010-0000-0400-00000B000000}" name="IC1_Inv2" dataDxfId="193">
      <calculatedColumnFormula>'Raw Data'!#REF!/K$1</calculatedColumnFormula>
    </tableColumn>
    <tableColumn id="12" xr3:uid="{00000000-0010-0000-0400-00000C000000}" name="IC1_Inv3" dataDxfId="192">
      <calculatedColumnFormula>'Raw Data'!#REF!/L$1</calculatedColumnFormula>
    </tableColumn>
    <tableColumn id="13" xr3:uid="{00000000-0010-0000-0400-00000D000000}" name="IC1_Inv4" dataDxfId="191">
      <calculatedColumnFormula>'Raw Data'!#REF!/M$1</calculatedColumnFormula>
    </tableColumn>
    <tableColumn id="14" xr3:uid="{00000000-0010-0000-0400-00000E000000}" name="IC2_Inv1" dataDxfId="190">
      <calculatedColumnFormula>'Raw Data'!#REF!/N$1</calculatedColumnFormula>
    </tableColumn>
    <tableColumn id="15" xr3:uid="{00000000-0010-0000-0400-00000F000000}" name="IC2_Inv2" dataDxfId="189">
      <calculatedColumnFormula>'Raw Data'!#REF!/O$1</calculatedColumnFormula>
    </tableColumn>
    <tableColumn id="16" xr3:uid="{00000000-0010-0000-0400-000010000000}" name="Avg. SY" dataDxfId="188">
      <calculatedColumnFormula>IFERROR(AVERAGEIF(J3:O3,"&gt;"&amp;0,J3:O3),"")</calculatedColumnFormula>
    </tableColumn>
    <tableColumn id="17" xr3:uid="{00000000-0010-0000-0400-000011000000}" name="Max. SY" dataDxfId="187">
      <calculatedColumnFormula>MAXA(J3:O3)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25" totalsRowShown="0">
  <autoFilter ref="A3:AL125" xr:uid="{00000000-0009-0000-0100-000002000000}"/>
  <tableColumns count="38">
    <tableColumn id="1" xr3:uid="{00000000-0010-0000-0600-000001000000}" name="Sr. No." dataDxfId="186">
      <calculatedColumnFormula>A3+1</calculatedColumnFormula>
    </tableColumn>
    <tableColumn id="2" xr3:uid="{00000000-0010-0000-0600-000002000000}" name="Financial Year" dataDxfId="185"/>
    <tableColumn id="3" xr3:uid="{00000000-0010-0000-0600-000003000000}" name="Calendar Year" dataDxfId="184"/>
    <tableColumn id="4" xr3:uid="{00000000-0010-0000-0600-000004000000}" name="Contractual Year" dataDxfId="183"/>
    <tableColumn id="5" xr3:uid="{00000000-0010-0000-0600-000005000000}" name="Operating Year" dataDxfId="182"/>
    <tableColumn id="6" xr3:uid="{00000000-0010-0000-0600-000006000000}" name="Month Year" dataDxfId="181"/>
    <tableColumn id="7" xr3:uid="{00000000-0010-0000-0600-000007000000}" name="Days" dataDxfId="180">
      <calculatedColumnFormula>DAY(EOMONTH(Tracker_BD[[#This Row],[Month Year]],0))</calculatedColumnFormula>
    </tableColumn>
    <tableColumn id="8" xr3:uid="{00000000-0010-0000-0600-000008000000}" name="Date" dataDxfId="179"/>
    <tableColumn id="36" xr3:uid="{00000000-0010-0000-0600-000024000000}" name="Sunrise Time (POA&gt;20 W/m2)" dataDxfId="178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77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76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75"/>
    <tableColumn id="10" xr3:uid="{00000000-0010-0000-0600-00000A000000}" name="Plant Equivalent Weightage" dataDxfId="174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73"/>
    <tableColumn id="26" xr3:uid="{00000000-0010-0000-0600-00001A000000}" name="Grid Number" dataDxfId="172"/>
    <tableColumn id="27" xr3:uid="{00000000-0010-0000-0600-00001B000000}" name="MSAT Number"/>
    <tableColumn id="28" xr3:uid="{00000000-0010-0000-0600-00001C000000}" name="Table Number" dataDxfId="171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70"/>
    <tableColumn id="16" xr3:uid="{00000000-0010-0000-0600-000010000000}" name="Fault Acknowledgement Time " dataDxfId="169"/>
    <tableColumn id="17" xr3:uid="{00000000-0010-0000-0600-000011000000}" name="Work Start time on Fault" dataDxfId="168"/>
    <tableColumn id="18" xr3:uid="{00000000-0010-0000-0600-000012000000}" name="Work Completion time on fault" dataDxfId="167"/>
    <tableColumn id="19" xr3:uid="{00000000-0010-0000-0600-000013000000}" name="Acknowledgement time" dataDxfId="166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165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164"/>
    <tableColumn id="35" xr3:uid="{00000000-0010-0000-0600-000023000000}" name="Breakdown Time" dataDxfId="163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162"/>
    <tableColumn id="24" xr3:uid="{00000000-0010-0000-0600-000018000000}" name="Approximate Energy Loss Factor (%)" dataDxfId="161"/>
    <tableColumn id="34" xr3:uid="{00000000-0010-0000-0600-000022000000}" name="Plant Equivalent breakdown" dataDxfId="160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26" totalsRowShown="0">
  <tableColumns count="21">
    <tableColumn id="1" xr3:uid="{00000000-0010-0000-0500-000001000000}" name="Finacial Year" dataDxfId="159"/>
    <tableColumn id="2" xr3:uid="{00000000-0010-0000-0500-000002000000}" name="Start Month" dataDxfId="158"/>
    <tableColumn id="3" xr3:uid="{00000000-0010-0000-0500-000003000000}" name="Calendor Year" dataDxfId="157"/>
    <tableColumn id="4" xr3:uid="{00000000-0010-0000-0500-000004000000}" name="Contrcatual Year" dataDxfId="156"/>
    <tableColumn id="5" xr3:uid="{00000000-0010-0000-0500-000005000000}" name="Operating Year" dataDxfId="155"/>
    <tableColumn id="6" xr3:uid="{00000000-0010-0000-0500-000006000000}" name="Month Year" dataDxfId="154"/>
    <tableColumn id="7" xr3:uid="{00000000-0010-0000-0500-000007000000}" name="Days" dataDxfId="153">
      <calculatedColumnFormula>DAY(EOMONTH(F2,0))</calculatedColumnFormula>
    </tableColumn>
    <tableColumn id="8" xr3:uid="{00000000-0010-0000-0500-000008000000}" name="Date" dataDxfId="152">
      <calculatedColumnFormula>H1+1</calculatedColumnFormula>
    </tableColumn>
    <tableColumn id="9" xr3:uid="{00000000-0010-0000-0500-000009000000}" name="Plant DC Capcity (MW)" dataDxfId="151">
      <calculatedColumnFormula>_xlfn.XLOOKUP(Table5[[#This Row],[Month Year]],'Modelling New'!D:D,'Modelling New'!N:N)</calculatedColumnFormula>
    </tableColumn>
    <tableColumn id="10" xr3:uid="{00000000-0010-0000-0500-00000A000000}" name="IC1_Inv1 WRT Avg." dataDxfId="150" dataCellStyle="Percent">
      <calculatedColumnFormula>IFERROR(Inv_SY!J3/Inv_SY!$P3-1,"")</calculatedColumnFormula>
    </tableColumn>
    <tableColumn id="11" xr3:uid="{00000000-0010-0000-0500-00000B000000}" name="IC1_Inv2 wrt Avg." dataDxfId="149" dataCellStyle="Percent">
      <calculatedColumnFormula>IFERROR(Inv_SY!K3/Inv_SY!$P3-1,"")</calculatedColumnFormula>
    </tableColumn>
    <tableColumn id="12" xr3:uid="{00000000-0010-0000-0500-00000C000000}" name="IC1_Inv3 wrt Avg." dataDxfId="148" dataCellStyle="Percent">
      <calculatedColumnFormula>IFERROR(Inv_SY!L3/Inv_SY!$P3-1,"")</calculatedColumnFormula>
    </tableColumn>
    <tableColumn id="13" xr3:uid="{00000000-0010-0000-0500-00000D000000}" name="IC1_Inv4 wrt Avg." dataDxfId="147" dataCellStyle="Percent">
      <calculatedColumnFormula>IFERROR(Inv_SY!M3/Inv_SY!$P3-1,"")</calculatedColumnFormula>
    </tableColumn>
    <tableColumn id="14" xr3:uid="{00000000-0010-0000-0500-00000E000000}" name="IC2_Inv1 wrt Avg." dataDxfId="146" dataCellStyle="Percent">
      <calculatedColumnFormula>IFERROR(Inv_SY!N3/Inv_SY!$P3-1,"")</calculatedColumnFormula>
    </tableColumn>
    <tableColumn id="15" xr3:uid="{00000000-0010-0000-0500-00000F000000}" name="IC2_Inv2 wrt Avg." dataDxfId="145" dataCellStyle="Percent">
      <calculatedColumnFormula>IFERROR(Inv_SY!O3/Inv_SY!$P3-1,"")</calculatedColumnFormula>
    </tableColumn>
    <tableColumn id="16" xr3:uid="{00000000-0010-0000-0500-000010000000}" name="IC1_Inv1 wrt Max." dataDxfId="144" dataCellStyle="Percent">
      <calculatedColumnFormula>IFERROR(Inv_SY!J3/Inv_SY!$Q3-1,"")</calculatedColumnFormula>
    </tableColumn>
    <tableColumn id="17" xr3:uid="{00000000-0010-0000-0500-000011000000}" name="IC1_Inv2 wrt Max." dataDxfId="143" dataCellStyle="Percent">
      <calculatedColumnFormula>IFERROR(Inv_SY!K3/Inv_SY!$Q3-1,"")</calculatedColumnFormula>
    </tableColumn>
    <tableColumn id="18" xr3:uid="{00000000-0010-0000-0500-000012000000}" name="IC1_Inv3 wrt Max." dataDxfId="142" dataCellStyle="Percent">
      <calculatedColumnFormula>IFERROR(Inv_SY!L3/Inv_SY!$Q3-1,"")</calculatedColumnFormula>
    </tableColumn>
    <tableColumn id="19" xr3:uid="{00000000-0010-0000-0500-000013000000}" name="IC1_Inv4 wrt Max." dataDxfId="141" dataCellStyle="Percent">
      <calculatedColumnFormula>IFERROR(Inv_SY!M3/Inv_SY!$Q3-1,"")</calculatedColumnFormula>
    </tableColumn>
    <tableColumn id="20" xr3:uid="{00000000-0010-0000-0500-000014000000}" name="IC2_Inv1 wrt Max." dataDxfId="140" dataCellStyle="Percent">
      <calculatedColumnFormula>IFERROR(Inv_SY!N3/Inv_SY!$Q3-1,"")</calculatedColumnFormula>
    </tableColumn>
    <tableColumn id="21" xr3:uid="{00000000-0010-0000-0500-000015000000}" name="IC2_Inv2 wrt Max." dataDxfId="139" dataCellStyle="Percent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362BAF-6C18-4139-8F9D-B26EB46D6073}" name="Plant_BD" displayName="Plant_BD" ref="A1:AP42" totalsRowShown="0" headerRowDxfId="138" dataDxfId="136" headerRowBorderDxfId="137" tableBorderDxfId="135" totalsRowBorderDxfId="134">
  <tableColumns count="42">
    <tableColumn id="1" xr3:uid="{BD033009-9AA7-413C-905F-013B60B5ED90}" name="Sr. No." dataDxfId="133"/>
    <tableColumn id="34" xr3:uid="{78704566-72C6-49EF-BAC5-FAC058A75AC7}" name="Date" dataDxfId="132"/>
    <tableColumn id="2" xr3:uid="{DECD7262-CC6E-4E8F-BF96-063A0DFAB908}" name="Financial Year" dataDxfId="131">
      <calculatedColumnFormula>YEAR(Plant_BD[[#This Row],[Date]])+IF(MONTH(Plant_BD[[#This Row],[Date]])&gt;=4,1,0)</calculatedColumnFormula>
    </tableColumn>
    <tableColumn id="3" xr3:uid="{7E95DFD3-DD21-4FD6-8FEB-1DB07ADE0D16}" name="Calendar Year" dataDxfId="130">
      <calculatedColumnFormula>YEAR(Plant_BD[[#This Row],[Date]])</calculatedColumnFormula>
    </tableColumn>
    <tableColumn id="4" xr3:uid="{C1A8AFDF-4040-4A50-8ACE-4304D3EEEF24}" name="Contractual Year" dataDxfId="129"/>
    <tableColumn id="5" xr3:uid="{DB03C0E5-1CDB-4348-ACF1-0E612904296E}" name="Operating Year" dataDxfId="128"/>
    <tableColumn id="6" xr3:uid="{C0D8956E-8473-496C-BA8D-70C1757F8190}" name="Month Year" dataDxfId="127">
      <calculatedColumnFormula>Plant_BD[[#This Row],[Date]]-DAY(Plant_BD[[#This Row],[Date]])+1</calculatedColumnFormula>
    </tableColumn>
    <tableColumn id="7" xr3:uid="{F47CD51D-DB0E-47BC-9E3E-43B2AEDCA3F3}" name="Days" dataDxfId="126">
      <calculatedColumnFormula>DAY(EOMONTH(Plant_BD[[#This Row],[Month Year]],0))</calculatedColumnFormula>
    </tableColumn>
    <tableColumn id="26" xr3:uid="{769BA230-E8FC-4E27-8FC3-743CF5223EB1}" name="Sunrise Time (POA&gt;20 W/m2)" dataDxfId="125">
      <calculatedColumnFormula>_xlfn.XLOOKUP(Plant_BD[[#This Row],[Date]],'Raw Data'!$G:$G,'Raw Data'!$I:$I)</calculatedColumnFormula>
    </tableColumn>
    <tableColumn id="27" xr3:uid="{D087A41E-E5E8-4B56-84DA-3C305DA00A2E}" name="Sunset Time (POA&lt;20 W/m2)" dataDxfId="124">
      <calculatedColumnFormula>_xlfn.XLOOKUP(Plant_BD[[#This Row],[Date]],'Raw Data'!$G:$G,'Raw Data'!$J:$J)</calculatedColumnFormula>
    </tableColumn>
    <tableColumn id="28" xr3:uid="{C1302E2B-CD4F-4C79-8A12-944E37A3DF63}" name="Total Generation Time" dataDxfId="123">
      <calculatedColumnFormula>IFERROR((Plant_BD[[#This Row],[Sunset Time (POA&lt;20 W/m2)]]-Plant_BD[[#This Row],[Sunrise Time (POA&gt;20 W/m2)]])*24,"")</calculatedColumnFormula>
    </tableColumn>
    <tableColumn id="42" xr3:uid="{E62BEA9E-A012-4316-BCC4-35EA122D30C2}" name="Inverter  Station Number (if Bd in filed)" dataDxfId="122"/>
    <tableColumn id="41" xr3:uid="{DC83AE1D-7AF7-48EB-A4D8-0FD7B273A71D}" name="Inverter number (If Inv, SCb or Str BD)" dataDxfId="121"/>
    <tableColumn id="40" xr3:uid="{E69B9584-99DB-4480-AD96-CA99FFD6B4F4}" name="Inverter Module Number" dataDxfId="120"/>
    <tableColumn id="39" xr3:uid="{6B28BDB8-E4D3-48AE-98B8-D0EBAF3E8DC1}" name="SCB Number (If SCB or Str BD)" dataDxfId="119"/>
    <tableColumn id="38" xr3:uid="{20F80E53-9629-433B-A93E-BAA817BF40D9}" name="String Type(If String BD)" dataDxfId="118"/>
    <tableColumn id="37" xr3:uid="{5B52BB8D-F894-4D5B-9541-5C19265F52A5}" name="Equipment (If any BD other than PV  array and inv)" dataDxfId="117"/>
    <tableColumn id="36" xr3:uid="{E9AC671A-DC19-4D27-9674-08C681F0BD62}" name="C1" dataDxfId="116"/>
    <tableColumn id="35" xr3:uid="{977869B3-C2AB-4390-AF8E-EF9077928175}" name="C2" dataDxfId="115"/>
    <tableColumn id="9" xr3:uid="{7DC0056A-51D3-451B-BC0A-B20F94C06686}" name="Affected Equipment" dataDxfId="114"/>
    <tableColumn id="10" xr3:uid="{A7DFBEA5-0134-4241-AD6E-E920DDC54F70}" name="DC Capacity Affected (kW)" dataDxfId="113">
      <calculatedColumnFormula>IFERROR(_xlfn.XLOOKUP(Plant_BD[[#This Row],[Affected Equipment]],'Basic Data'!$A:$A,'Basic Data'!$B:$B),"")</calculatedColumnFormula>
    </tableColumn>
    <tableColumn id="29" xr3:uid="{BCBE4DC1-F570-49E3-A9A4-B8E6932B5E46}" name="Plant Equivalent Weightage" dataDxfId="112">
      <calculatedColumnFormula>IFERROR(_xlfn.XLOOKUP(Plant_BD[[#This Row],[Affected Equipment]],'Basic Data'!$A:$A,'Basic Data'!$C:$C),"")</calculatedColumnFormula>
    </tableColumn>
    <tableColumn id="11" xr3:uid="{54BE6A28-D4FE-4C91-BEAC-7000A4BE8A87}" name="Affected Equipment Location" dataDxfId="111"/>
    <tableColumn id="12" xr3:uid="{1417064F-FDE7-4182-B163-3DD1E61E547C}" name="Fault Category" dataDxfId="110"/>
    <tableColumn id="13" xr3:uid="{878BCC83-8CEB-4C9F-9449-465DA770D1CD}" name="Fault Code (As per HMI)" dataDxfId="109"/>
    <tableColumn id="14" xr3:uid="{BB2B8D31-AC54-4DA2-9FDC-30D028030581}" name="Breakdown Description" dataDxfId="108"/>
    <tableColumn id="15" xr3:uid="{E74DB531-BEF7-481E-B2F7-64D291CC7376}" name="Fault Time" dataDxfId="107"/>
    <tableColumn id="16" xr3:uid="{B973CAA1-9A78-46AD-B643-B8B9769B885E}" name="Acknowledgement Time " dataDxfId="106"/>
    <tableColumn id="17" xr3:uid="{7B7C1FE2-E2E0-499C-A833-90D8F96FA10F}" name="Work Start time on Fault" dataDxfId="105"/>
    <tableColumn id="18" xr3:uid="{9A5AEF0B-9F44-4D44-BA84-9C4970540A29}" name="Work Completion time on fault" dataDxfId="104"/>
    <tableColumn id="19" xr3:uid="{914167D5-C7DA-413F-AC8C-5A152EF412D8}" name="Acknowledgement time" dataDxfId="103">
      <calculatedColumnFormula>IF(Plant_BD[[#This Row],[Acknowledgement Time ]]="NA","",(Plant_BD[[#This Row],[Acknowledgement Time ]]-Plant_BD[[#This Row],[Fault Time]])*24)</calculatedColumnFormula>
    </tableColumn>
    <tableColumn id="20" xr3:uid="{F1457F48-4AE9-434C-ABBE-923C97C0FBF5}" name="Response Time" dataDxfId="102">
      <calculatedColumnFormula>IF(Plant_BD[[#This Row],[Work Start time on Fault]]="NA","",(Plant_BD[[#This Row],[Work Start time on Fault]]-Plant_BD[[#This Row],[Fault Time]])*24)</calculatedColumnFormula>
    </tableColumn>
    <tableColumn id="21" xr3:uid="{046A5660-D2C3-430B-AC50-CCD54FC4DC57}" name="Resolution Time" dataDxfId="101">
      <calculatedColumnFormula>(Plant_BD[[#This Row],[Work Completion time on fault]]-Plant_BD[[#This Row],[Fault Time]])*24</calculatedColumnFormula>
    </tableColumn>
    <tableColumn id="30" xr3:uid="{E727AD2F-B473-4139-896A-01E0B51E4A6D}" name="Breakdown Time" dataDxfId="100">
      <calculatedColumnFormula>IFERROR((Plant_BD[[#This Row],[Work Completion time on fault]]-Plant_BD[[#This Row],[Fault Time]])*24,"")</calculatedColumnFormula>
    </tableColumn>
    <tableColumn id="22" xr3:uid="{DA89B753-1E7C-497F-9563-0213CA4BEC51}" name="Action taken" dataDxfId="99"/>
    <tableColumn id="23" xr3:uid="{6291830E-2F4B-41C1-8E77-1A50DA9C535B}" name="Status" dataDxfId="98"/>
    <tableColumn id="31" xr3:uid="{45CB6200-52C6-40EC-AAEA-2957665C835C}" name="Plant Equivalent breakdown" dataDxfId="97">
      <calculatedColumnFormula>IFERROR(Plant_BD[[#This Row],[Breakdown Time]]*Plant_BD[[#This Row],[Plant Equivalent Weightage]],"")</calculatedColumnFormula>
    </tableColumn>
    <tableColumn id="25" xr3:uid="{485C5B52-BCA8-4F61-9BFF-0647F30F8C5A}" name="Lost PoA(kWh/m2)" dataDxfId="96"/>
    <tableColumn id="24" xr3:uid="{D8615273-EDBC-4D70-A083-3C2688080D2D}" name="Approximate Energy Loss (KWh)" dataDxfId="95">
      <calculatedColumnFormula>IF(Plant_BD[[#This Row],[Lost PoA(kWh/m2)]]&gt;0,_xlfn.XLOOKUP($B4,'[1]Daily KPI'!$A:$A,'[1]Daily KPI'!$AE:$AE)*Plant_BD[[#This Row],[Lost PoA(kWh/m2)]]*U4,0)</calculatedColumnFormula>
    </tableColumn>
    <tableColumn id="32" xr3:uid="{5B332487-EC3D-48C8-82E6-5787E6974C98}" name="Job Card No." dataDxfId="94"/>
    <tableColumn id="33" xr3:uid="{D956E286-322A-4E12-81BE-50A4D4007CB6}" name="PTW No." dataDxfId="93"/>
    <tableColumn id="43" xr3:uid="{5F35B966-1A58-49D9-B4E9-FCA49EE67DE3}" name="Scope" dataDxfId="92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A97AC9B-CAE0-4CA4-B316-93C04512CF32}" name="Grid_BD" displayName="Grid_BD" ref="A1:AE15" totalsRowShown="0" headerRowDxfId="91" dataDxfId="90">
  <autoFilter ref="A1:AE15" xr:uid="{2338FC6F-6E6F-4DF9-89B3-6B5E6C20CC58}"/>
  <tableColumns count="31">
    <tableColumn id="1" xr3:uid="{149DD5B4-F0D2-450C-BC1E-A93F86537BC2}" name="Sr. No." dataDxfId="89"/>
    <tableColumn id="2" xr3:uid="{B357B91E-27F5-4020-9F5F-B8E08C36671B}" name="Date" dataDxfId="88"/>
    <tableColumn id="3" xr3:uid="{4C6565CD-2192-4D02-ADB1-02FCCA2FFC1C}" name="Financial Year" dataDxfId="87">
      <calculatedColumnFormula>YEAR(Grid_BD[[#This Row],[Date]])+IF(MONTH(Grid_BD[[#This Row],[Date]])&gt;=4,1,0)</calculatedColumnFormula>
    </tableColumn>
    <tableColumn id="4" xr3:uid="{92EF2778-7225-43D1-B5A9-5D724A3C55F3}" name="Calendar Year" dataDxfId="86">
      <calculatedColumnFormula>YEAR(Grid_BD[[#This Row],[Date]])</calculatedColumnFormula>
    </tableColumn>
    <tableColumn id="5" xr3:uid="{A6115BC0-A6B3-43D7-BEEB-84BEF62F8C8D}" name="Contractual Year" dataDxfId="85"/>
    <tableColumn id="6" xr3:uid="{0CF72AE1-F28C-4C7A-A24C-774E51CB30BE}" name="Operating Year" dataDxfId="84"/>
    <tableColumn id="7" xr3:uid="{DC692C6C-4BD7-4CFD-89DC-DD83F080B66A}" name="Month Year" dataDxfId="83">
      <calculatedColumnFormula>Grid_BD[[#This Row],[Date]]-DAY(Grid_BD[[#This Row],[Date]])+1</calculatedColumnFormula>
    </tableColumn>
    <tableColumn id="8" xr3:uid="{50436A27-FC30-48BB-83C5-901537966129}" name="Days" dataDxfId="82">
      <calculatedColumnFormula>DAY(EOMONTH(Grid_BD[[#This Row],[Month Year]],0))</calculatedColumnFormula>
    </tableColumn>
    <tableColumn id="9" xr3:uid="{40983097-0A59-4D08-9CD6-A420197DBB3C}" name="Sunrise Time (POA&gt;20 W/m2)" dataDxfId="81">
      <calculatedColumnFormula>_xlfn.XLOOKUP(Plant_BD[[#This Row],[Date]],'Raw Data'!$G:$G,'Raw Data'!$I:$I)</calculatedColumnFormula>
    </tableColumn>
    <tableColumn id="10" xr3:uid="{5C820D27-BA1B-4B73-8CC1-6FAAD3EE26CE}" name="Sunset Time (POA&lt;20 W/m2)" dataDxfId="80">
      <calculatedColumnFormula>_xlfn.XLOOKUP(Grid_BD[[#This Row],[Date]],'Raw Data'!$G:$G,'Raw Data'!$J:$J)</calculatedColumnFormula>
    </tableColumn>
    <tableColumn id="11" xr3:uid="{A0B025E8-E689-4B05-9605-41843C93BF34}" name="Total Generation Time" dataDxfId="79">
      <calculatedColumnFormula>IFERROR((Grid_BD[[#This Row],[Sunset Time (POA&lt;20 W/m2)]]-Grid_BD[[#This Row],[Sunrise Time (POA&gt;20 W/m2)]])*24,"")</calculatedColumnFormula>
    </tableColumn>
    <tableColumn id="20" xr3:uid="{9732E825-307C-4C39-AAC3-BB6113764B78}" name="Affected Equipment " dataDxfId="78"/>
    <tableColumn id="21" xr3:uid="{77E313BD-28B2-4A2E-9903-388982BB12F6}" name="DC Capacity Affected (kW)" dataDxfId="77"/>
    <tableColumn id="22" xr3:uid="{BA1C4084-8587-4693-8EB0-59653A145C16}" name="Plant Equivalent Weightage" dataDxfId="76" dataCellStyle="Percent"/>
    <tableColumn id="23" xr3:uid="{0DC3B0EE-DADA-4CDD-BEFA-09CD099C2C8D}" name="Affected Equipment Location" dataDxfId="75"/>
    <tableColumn id="24" xr3:uid="{4729ECB3-B873-4ABB-82E7-FA59B2812A31}" name="Fault Category" dataDxfId="74"/>
    <tableColumn id="25" xr3:uid="{63697D32-8259-45C3-913A-30D0C5213B17}" name="Fault Code (As per HMI)" dataDxfId="73"/>
    <tableColumn id="26" xr3:uid="{64064C5D-263D-4973-83E7-465948F1C5AB}" name="Breakdown Description" dataDxfId="72"/>
    <tableColumn id="27" xr3:uid="{5FA4C5E8-4934-4C01-99BD-E529FE93E55A}" name="Fault Time" dataDxfId="71"/>
    <tableColumn id="28" xr3:uid="{7D531146-7F2D-487C-AF4A-1F8C56C198C5}" name="Acknowledgement Time " dataDxfId="70" dataCellStyle="Normal 28"/>
    <tableColumn id="29" xr3:uid="{F68CF9BD-950C-4094-897D-3D7164EAE927}" name="Work Start time on Fault" dataDxfId="69" dataCellStyle="Normal 28"/>
    <tableColumn id="30" xr3:uid="{E91A64C7-F842-4D4B-906C-DEACE21739AD}" name="Work Completion time on fault" dataDxfId="68"/>
    <tableColumn id="31" xr3:uid="{A20E02F3-90D6-4397-A06C-4499CD97B318}" name="Acknowledgement time" dataDxfId="67" dataCellStyle="Normal 28"/>
    <tableColumn id="32" xr3:uid="{39856F81-08B6-4470-8E86-5567FD330D31}" name="Response Time" dataDxfId="66">
      <calculatedColumnFormula>(Grid_BD[[#This Row],[Work Start time on Fault]]-Grid_BD[[#This Row],[Fault Time]])*24</calculatedColumnFormula>
    </tableColumn>
    <tableColumn id="33" xr3:uid="{992CDC57-9517-48EE-BC54-DDC08BBBF419}" name="Resolution Time" dataDxfId="65">
      <calculatedColumnFormula>(Grid_BD[[#This Row],[Work Completion time on fault]]-Grid_BD[[#This Row],[Fault Time]])*24</calculatedColumnFormula>
    </tableColumn>
    <tableColumn id="34" xr3:uid="{DCDBAE6F-FA98-4641-860F-1A48A8A631DA}" name="Breakdown Time" dataDxfId="64">
      <calculatedColumnFormula>(Grid_BD[[#This Row],[Work Completion time on fault]]-Grid_BD[[#This Row],[Fault Time]])*24</calculatedColumnFormula>
    </tableColumn>
    <tableColumn id="35" xr3:uid="{794B2EA5-2C67-4FD0-BB71-453DEBD3E4D3}" name="Action taken" dataDxfId="63"/>
    <tableColumn id="36" xr3:uid="{2BCA15F6-E2BE-4233-96BC-E1A7653F28BD}" name="Status" dataDxfId="62"/>
    <tableColumn id="37" xr3:uid="{0637CA00-1568-4B27-B1CB-A7EDC3D8E7FD}" name="Plant Equivalent breakdown" dataDxfId="61">
      <calculatedColumnFormula>IFERROR(Grid_BD[[#This Row],[Plant Equivalent Weightage]]*Grid_BD[[#This Row],[Resolution Time]],"")</calculatedColumnFormula>
    </tableColumn>
    <tableColumn id="38" xr3:uid="{B9B8A2AD-3E32-41E9-AACC-C9CD18108C5F}" name="Lost PoA(kWh/m2)" dataDxfId="60"/>
    <tableColumn id="39" xr3:uid="{AE8DAD4D-D0CE-4ECA-A1C4-ACB8566D1886}" name="Approximate Energy Loss (KWh)" dataDxfId="59">
      <calculatedColumnFormula>Grid_BD[[#This Row],[Lost PoA(kWh/m2)]]*Grid_BD[[#This Row],[DC Capacity Affected (kW)]]*_xlfn.XLOOKUP(Grid_BD[[#This Row],[Month Year]],'Modelling New'!$D:$D,'Modelling New'!$O:$O)/1000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16" totalsRowShown="0">
  <tableColumns count="24">
    <tableColumn id="1" xr3:uid="{00000000-0010-0000-0900-000001000000}" name="sl no" dataDxfId="58"/>
    <tableColumn id="2" xr3:uid="{00000000-0010-0000-0900-000002000000}" name="FY" dataDxfId="57"/>
    <tableColumn id="3" xr3:uid="{00000000-0010-0000-0900-000003000000}" name="Calendar Year" dataDxfId="56">
      <calculatedColumnFormula>YEAR(MC[[#This Row],[Date]])</calculatedColumnFormula>
    </tableColumn>
    <tableColumn id="4" xr3:uid="{00000000-0010-0000-0900-000004000000}" name="Year" dataDxfId="55"/>
    <tableColumn id="5" xr3:uid="{00000000-0010-0000-0900-000005000000}" name="year2" dataDxfId="54"/>
    <tableColumn id="6" xr3:uid="{00000000-0010-0000-0900-000006000000}" name="Month Year" dataDxfId="53"/>
    <tableColumn id="7" xr3:uid="{00000000-0010-0000-0900-000007000000}" name="Days" dataDxfId="52">
      <calculatedColumnFormula>DAY(EOMONTH(F3,0))</calculatedColumnFormula>
    </tableColumn>
    <tableColumn id="8" xr3:uid="{00000000-0010-0000-0900-000008000000}" name="Date" dataDxfId="5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50"/>
    <tableColumn id="12" xr3:uid="{00000000-0010-0000-0900-00000C000000}" name="IC1_Inv2_MC" dataDxfId="49"/>
    <tableColumn id="13" xr3:uid="{00000000-0010-0000-0900-00000D000000}" name="IC1_Inv3_MC" dataDxfId="48"/>
    <tableColumn id="14" xr3:uid="{00000000-0010-0000-0900-00000E000000}" name="IC1_Inv4_MC" dataDxfId="47"/>
    <tableColumn id="15" xr3:uid="{00000000-0010-0000-0900-00000F000000}" name="IC2_Inv1_MC" dataDxfId="46"/>
    <tableColumn id="16" xr3:uid="{00000000-0010-0000-0900-000010000000}" name="IC2_Inv2_MC" dataDxfId="45"/>
    <tableColumn id="17" xr3:uid="{00000000-0010-0000-0900-000011000000}" name="Total Module cleaned" dataDxfId="44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24" totalsRowShown="0">
  <tableColumns count="19">
    <tableColumn id="1" xr3:uid="{00000000-0010-0000-0A00-000001000000}" name="Sr. No." dataDxfId="43"/>
    <tableColumn id="2" xr3:uid="{00000000-0010-0000-0A00-000002000000}" name="Finacial Year" dataDxfId="42"/>
    <tableColumn id="3" xr3:uid="{00000000-0010-0000-0A00-000003000000}" name="Calendor Year" dataDxfId="41">
      <calculatedColumnFormula>YEAR(GC[[#This Row],[Date]])</calculatedColumnFormula>
    </tableColumn>
    <tableColumn id="4" xr3:uid="{00000000-0010-0000-0A00-000004000000}" name="Contrcatual Year" dataDxfId="40"/>
    <tableColumn id="5" xr3:uid="{00000000-0010-0000-0A00-000005000000}" name="Operating Year" dataDxfId="39"/>
    <tableColumn id="6" xr3:uid="{00000000-0010-0000-0A00-000006000000}" name="Month Year" dataDxfId="38"/>
    <tableColumn id="7" xr3:uid="{00000000-0010-0000-0A00-000007000000}" name="Days" dataDxfId="37">
      <calculatedColumnFormula>DAY(EOMONTH(F3,0))</calculatedColumnFormula>
    </tableColumn>
    <tableColumn id="8" xr3:uid="{00000000-0010-0000-0A00-000008000000}" name="Date" dataDxfId="36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35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36" totalsRowShown="0">
  <autoFilter ref="A1:M1636" xr:uid="{00000000-0009-0000-0100-00000B000000}"/>
  <tableColumns count="13">
    <tableColumn id="1" xr3:uid="{00000000-0010-0000-0B00-000001000000}" name="Sr. No." dataDxfId="34">
      <calculatedColumnFormula>A1+1</calculatedColumnFormula>
    </tableColumn>
    <tableColumn id="2" xr3:uid="{00000000-0010-0000-0B00-000002000000}" name="Finacial Year" dataDxfId="33"/>
    <tableColumn id="3" xr3:uid="{00000000-0010-0000-0B00-000003000000}" name="Calendor Year" dataDxfId="32"/>
    <tableColumn id="4" xr3:uid="{00000000-0010-0000-0B00-000004000000}" name="Contrcatual Year" dataDxfId="31"/>
    <tableColumn id="5" xr3:uid="{00000000-0010-0000-0B00-000005000000}" name="Operating Year" dataDxfId="30"/>
    <tableColumn id="6" xr3:uid="{00000000-0010-0000-0B00-000006000000}" name="Month Year" dataDxfId="29"/>
    <tableColumn id="7" xr3:uid="{00000000-0010-0000-0B00-000007000000}" name="Days" dataDxfId="28"/>
    <tableColumn id="8" xr3:uid="{00000000-0010-0000-0B00-000008000000}" name="Date" dataDxfId="27"/>
    <tableColumn id="9" xr3:uid="{00000000-0010-0000-0B00-000009000000}" name="Item Consumed"/>
    <tableColumn id="10" xr3:uid="{00000000-0010-0000-0B00-00000A000000}" name="Qty Consumed" dataDxfId="26"/>
    <tableColumn id="25" xr3:uid="{00000000-0010-0000-0B00-000019000000}" name="Place of Consumption" dataDxfId="25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07C6F8-8597-439C-9F56-605F6FFF31AC}" name="Table7" displayName="Table7" ref="A1:U6" totalsRowShown="0" headerRowDxfId="24" headerRowBorderDxfId="23" tableBorderDxfId="22" totalsRowBorderDxfId="21">
  <autoFilter ref="A1:U6" xr:uid="{48111DE6-271B-4C2B-9335-105D46643EA1}"/>
  <tableColumns count="21">
    <tableColumn id="1" xr3:uid="{BE6A43D6-A0CE-4F95-9ACA-F42AFAB5B599}" name="Sr. No" dataDxfId="20"/>
    <tableColumn id="2" xr3:uid="{BAADFD04-439C-4FB2-B10D-C2C45F27D52F}" name="Month" dataDxfId="19"/>
    <tableColumn id="3" xr3:uid="{308E91B4-956E-4F1A-B246-1871C16FAA31}" name="Date" dataDxfId="18"/>
    <tableColumn id="4" xr3:uid="{ED28F8CF-D4C2-4B07-99C2-D37CCB9D87E7}" name="Plant Name" dataDxfId="17"/>
    <tableColumn id="5" xr3:uid="{9517E203-817B-4B70-95E0-2A24B563FC65}" name="Categoty" dataDxfId="16"/>
    <tableColumn id="6" xr3:uid="{A3BEC0BF-AF19-4A66-AA2E-64E4D39765C0}" name="Equipment Name" dataDxfId="15"/>
    <tableColumn id="7" xr3:uid="{F6024C4E-B3FE-4B3E-ABAD-D0D178905A90}" name="Inverter No." dataDxfId="14"/>
    <tableColumn id="8" xr3:uid="{B572BBE0-BECC-4234-94B0-1015704CA921}" name="From" dataDxfId="13"/>
    <tableColumn id="9" xr3:uid="{0AFE6D1A-CFD5-4B98-AED5-0B2D038BFFA4}" name="To" dataDxfId="12"/>
    <tableColumn id="10" xr3:uid="{B56609DD-65FA-4B53-8A13-DE7230C8BC0A}" name="Duration in MIN" dataDxfId="11">
      <calculatedColumnFormula>I2-H2</calculatedColumnFormula>
    </tableColumn>
    <tableColumn id="11" xr3:uid="{706D5EDD-47B1-4530-8EE4-0DD79C0D1C6C}" name="Total Breakdown Hrs." dataDxfId="10">
      <calculatedColumnFormula>J2*24</calculatedColumnFormula>
    </tableColumn>
    <tableColumn id="12" xr3:uid="{E8F0717A-DEAA-4F15-A7EF-36AEA196A5E5}" name="Avg POA During BD time" dataDxfId="9"/>
    <tableColumn id="13" xr3:uid="{D6162764-E583-4AD9-B583-07BCAF9F4A54}" name="Lost POA" dataDxfId="8"/>
    <tableColumn id="14" xr3:uid="{A842F3FF-BEFA-47C4-8A36-1D681F9D9F63}" name="Total POA " dataDxfId="7"/>
    <tableColumn id="15" xr3:uid="{774E46DB-DD64-4C9E-80AD-6A8A88FCF8BC}" name="Net POA" dataDxfId="6">
      <calculatedColumnFormula>(N2-M2)</calculatedColumnFormula>
    </tableColumn>
    <tableColumn id="16" xr3:uid="{B946F632-E0A2-45F5-9B44-CE9FC43BD2D7}" name="Loss of Capacity in KWp" dataDxfId="5"/>
    <tableColumn id="17" xr3:uid="{F63F85CA-3E1B-4283-AB9A-C9FAB3D81DA3}" name="Estimated PR % (Pvsyst)" dataDxfId="4"/>
    <tableColumn id="18" xr3:uid="{95571C3D-6309-462F-9642-A5E2844FB55D}" name="Loss of Generation kWh" dataDxfId="3" dataCellStyle="Comma">
      <calculatedColumnFormula>(M2*P2*Q2)/100</calculatedColumnFormula>
    </tableColumn>
    <tableColumn id="19" xr3:uid="{4599FA84-70A8-49BD-92A5-4A459871FC9B}" name="Remark" dataDxfId="2"/>
    <tableColumn id="20" xr3:uid="{11FE9C80-453D-46D5-8660-0F10F3AD378E}" name="Current Load befor Load Sheeding (AC MW)" dataDxfId="1"/>
    <tableColumn id="21" xr3:uid="{F5FC2E94-04B7-462E-A521-8A5F8C534D8F}" name="Load to be maintain (AC Mw)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tabSelected="1" zoomScale="98" zoomScaleNormal="98" workbookViewId="0">
      <selection activeCell="D10" sqref="D10"/>
    </sheetView>
  </sheetViews>
  <sheetFormatPr defaultColWidth="8.5703125" defaultRowHeight="15"/>
  <cols>
    <col min="1" max="1" width="14.42578125" style="83" customWidth="1"/>
    <col min="2" max="2" width="17.5703125" style="83" customWidth="1"/>
    <col min="3" max="5" width="13.85546875" style="83" customWidth="1"/>
    <col min="6" max="6" width="29.140625" style="83" customWidth="1"/>
    <col min="7" max="16384" width="8.5703125" style="83"/>
  </cols>
  <sheetData>
    <row r="1" spans="1:6" ht="15" customHeight="1" thickBot="1">
      <c r="A1" s="339" t="s">
        <v>0</v>
      </c>
      <c r="B1" s="340"/>
      <c r="C1" s="340"/>
      <c r="D1" s="340"/>
      <c r="E1" s="340"/>
      <c r="F1" s="341"/>
    </row>
    <row r="2" spans="1:6" ht="16.5" thickTop="1" thickBot="1">
      <c r="A2" s="104" t="s">
        <v>1</v>
      </c>
      <c r="B2" s="342">
        <v>45870</v>
      </c>
      <c r="C2" s="342"/>
      <c r="D2" s="342"/>
      <c r="E2" s="342"/>
      <c r="F2" s="343"/>
    </row>
    <row r="3" spans="1:6" ht="16.5" thickTop="1" thickBot="1">
      <c r="A3" s="104" t="s">
        <v>2</v>
      </c>
      <c r="B3" s="344">
        <v>45873</v>
      </c>
      <c r="C3" s="344"/>
      <c r="D3" s="344"/>
      <c r="E3" s="344"/>
      <c r="F3" s="345"/>
    </row>
    <row r="4" spans="1:6" ht="16.5" thickTop="1" thickBot="1">
      <c r="A4" s="104" t="s">
        <v>3</v>
      </c>
      <c r="B4" s="346" t="s">
        <v>4</v>
      </c>
      <c r="C4" s="346"/>
      <c r="D4" s="346"/>
      <c r="E4" s="346"/>
      <c r="F4" s="347"/>
    </row>
    <row r="5" spans="1:6" ht="16.5" thickTop="1" thickBot="1">
      <c r="A5" s="104" t="s">
        <v>5</v>
      </c>
      <c r="B5" s="348">
        <v>45748</v>
      </c>
      <c r="C5" s="348"/>
      <c r="D5" s="348"/>
      <c r="E5" s="348"/>
      <c r="F5" s="349"/>
    </row>
    <row r="6" spans="1:6" ht="16.5" thickTop="1" thickBot="1">
      <c r="A6" s="105" t="s">
        <v>6</v>
      </c>
      <c r="B6" s="336">
        <v>46112</v>
      </c>
      <c r="C6" s="337"/>
      <c r="D6" s="337"/>
      <c r="E6" s="337"/>
      <c r="F6" s="338"/>
    </row>
    <row r="7" spans="1:6" ht="4.5" customHeight="1" thickBot="1">
      <c r="A7" s="98"/>
      <c r="B7" s="99"/>
      <c r="C7" s="99"/>
      <c r="D7" s="99"/>
      <c r="E7" s="99"/>
      <c r="F7" s="100"/>
    </row>
    <row r="8" spans="1:6" ht="15.75" thickBot="1">
      <c r="A8" s="106" t="s">
        <v>7</v>
      </c>
      <c r="B8" s="107" t="s">
        <v>8</v>
      </c>
      <c r="C8" s="107" t="s">
        <v>9</v>
      </c>
      <c r="D8" s="107" t="s">
        <v>10</v>
      </c>
      <c r="E8" s="107" t="s">
        <v>11</v>
      </c>
      <c r="F8" s="180" t="s">
        <v>12</v>
      </c>
    </row>
    <row r="9" spans="1:6" ht="16.5" thickTop="1" thickBot="1">
      <c r="A9" s="108">
        <v>1</v>
      </c>
      <c r="B9" s="109" t="s">
        <v>13</v>
      </c>
      <c r="C9" s="110">
        <f>_xlfn.XLOOKUP($B$3,'Daily KPI'!$A:$A,'Daily KPI'!AD:AD)/1000</f>
        <v>33.01225677497316</v>
      </c>
      <c r="D9" s="111">
        <f>_xlfn.XLOOKUP($B$3,'Daily KPI'!$A:$A,'Daily KPI'!AA:AA)/1000</f>
        <v>42.284440000001354</v>
      </c>
      <c r="E9" s="112">
        <f>-(C9-D9)/C9</f>
        <v>0.2808709288865554</v>
      </c>
      <c r="F9" s="181"/>
    </row>
    <row r="10" spans="1:6" ht="16.5" thickTop="1" thickBot="1">
      <c r="A10" s="108"/>
      <c r="B10" s="109" t="s">
        <v>14</v>
      </c>
      <c r="C10" s="110">
        <f>_xlfn.XLOOKUP($B$2,'Modelling New'!$D:$D,'Modelling New'!U:U)</f>
        <v>132.04902709989264</v>
      </c>
      <c r="D10" s="113">
        <f>'Monthly KPI'!$F$4</f>
        <v>148.7674999999947</v>
      </c>
      <c r="E10" s="112">
        <f t="shared" ref="E10:E26" si="0">-(C10-D10)/C10</f>
        <v>0.12660807328368154</v>
      </c>
      <c r="F10" s="182"/>
    </row>
    <row r="11" spans="1:6" ht="16.5" thickTop="1" thickBot="1">
      <c r="A11" s="108"/>
      <c r="B11" s="109" t="s">
        <v>15</v>
      </c>
      <c r="C11" s="110">
        <f>_xlfn.XLOOKUP($B$2,'Modelling New'!$D:$D,'Modelling New'!V:V)</f>
        <v>5387.2252809622933</v>
      </c>
      <c r="D11" s="114">
        <f>'Annual KPI'!$F$4</f>
        <v>5010.2890599999973</v>
      </c>
      <c r="E11" s="112">
        <f t="shared" si="0"/>
        <v>-6.9968527637842851E-2</v>
      </c>
      <c r="F11" s="182"/>
    </row>
    <row r="12" spans="1:6" ht="16.5" thickTop="1" thickBot="1">
      <c r="A12" s="108">
        <v>2</v>
      </c>
      <c r="B12" s="109" t="s">
        <v>16</v>
      </c>
      <c r="C12" s="115">
        <f>_xlfn.XLOOKUP($B3,'Daily KPI'!$A:$A,'Daily KPI'!$AF:$AF)</f>
        <v>0.13091374311955981</v>
      </c>
      <c r="D12" s="116">
        <f>_xlfn.XLOOKUP($B$3,'Daily KPI'!$A:$A,'Daily KPI'!W:W)</f>
        <v>0.1676836077535665</v>
      </c>
      <c r="E12" s="112">
        <f t="shared" si="0"/>
        <v>0.28087092888655563</v>
      </c>
      <c r="F12" s="183"/>
    </row>
    <row r="13" spans="1:6" ht="16.5" thickTop="1" thickBot="1">
      <c r="A13" s="108"/>
      <c r="B13" s="109" t="s">
        <v>17</v>
      </c>
      <c r="C13" s="115">
        <f>_xlfn.XLOOKUP($B$2,'Modelling New'!$D:$D,'Modelling New'!X:X)</f>
        <v>0.13091374311955981</v>
      </c>
      <c r="D13" s="116">
        <f>'Monthly KPI'!J4</f>
        <v>0.14748847990228212</v>
      </c>
      <c r="E13" s="112">
        <f t="shared" si="0"/>
        <v>0.1266080732836817</v>
      </c>
      <c r="F13" s="182"/>
    </row>
    <row r="14" spans="1:6" ht="16.5" thickTop="1" thickBot="1">
      <c r="A14" s="108"/>
      <c r="B14" s="109" t="s">
        <v>18</v>
      </c>
      <c r="C14" s="115">
        <f>_xlfn.XLOOKUP($B$2,'Modelling New'!$D:$D,'Modelling New'!Y:Y)</f>
        <v>0.16955266408946987</v>
      </c>
      <c r="D14" s="116">
        <f>'Annual KPI'!J4</f>
        <v>0.15768931382605592</v>
      </c>
      <c r="E14" s="112">
        <f t="shared" si="0"/>
        <v>-6.9968527637842823E-2</v>
      </c>
      <c r="F14" s="182"/>
    </row>
    <row r="15" spans="1:6" s="131" customFormat="1" ht="16.5" thickTop="1" thickBot="1">
      <c r="A15" s="108">
        <v>3</v>
      </c>
      <c r="B15" s="132" t="s">
        <v>19</v>
      </c>
      <c r="C15" s="115">
        <f>_xlfn.XLOOKUP($B$3,'Daily KPI'!$A:$A,'Daily KPI'!AE:AE)</f>
        <v>0.70656621050862611</v>
      </c>
      <c r="D15" s="129">
        <f>_xlfn.XLOOKUP($B$3,'Daily KPI'!$A:$A,'Daily KPI'!U:U)</f>
        <v>0.71228435151957448</v>
      </c>
      <c r="E15" s="130">
        <f t="shared" si="0"/>
        <v>8.0928594177071163E-3</v>
      </c>
      <c r="F15" s="184"/>
    </row>
    <row r="16" spans="1:6" ht="16.5" thickTop="1" thickBot="1">
      <c r="A16" s="108"/>
      <c r="B16" s="109" t="s">
        <v>20</v>
      </c>
      <c r="C16" s="115">
        <f>'Monthly KPI'!$G$4</f>
        <v>0.70656621050862611</v>
      </c>
      <c r="D16" s="116">
        <f>'Monthly KPI'!$H$4</f>
        <v>0.72092128669139932</v>
      </c>
      <c r="E16" s="112">
        <f t="shared" si="0"/>
        <v>2.0316675166846172E-2</v>
      </c>
      <c r="F16" s="182"/>
    </row>
    <row r="17" spans="1:6" ht="16.5" thickTop="1" thickBot="1">
      <c r="A17" s="108"/>
      <c r="B17" s="109" t="s">
        <v>21</v>
      </c>
      <c r="C17" s="115">
        <f>'Annual KPI'!$G$4</f>
        <v>0.68319053392845852</v>
      </c>
      <c r="D17" s="116">
        <f>'Annual KPI'!$H$4</f>
        <v>0.71632653415282121</v>
      </c>
      <c r="E17" s="112">
        <f t="shared" si="0"/>
        <v>4.8501843305446893E-2</v>
      </c>
      <c r="F17" s="182"/>
    </row>
    <row r="18" spans="1:6" ht="16.5" thickTop="1" thickBot="1">
      <c r="A18" s="108">
        <v>4</v>
      </c>
      <c r="B18" s="109" t="s">
        <v>22</v>
      </c>
      <c r="C18" s="167">
        <f>_xlfn.XLOOKUP($B$3,'Daily KPI'!$A:$A,'Daily KPI'!AC:AC)</f>
        <v>4.4467592536129033</v>
      </c>
      <c r="D18" s="168">
        <f>_xlfn.XLOOKUP($B$3,'Daily KPI'!$A:$A,'Daily KPI'!I:I)</f>
        <v>5.65</v>
      </c>
      <c r="E18" s="112">
        <f t="shared" si="0"/>
        <v>0.27058823690747097</v>
      </c>
      <c r="F18" s="182"/>
    </row>
    <row r="19" spans="1:6" ht="16.5" thickTop="1" thickBot="1">
      <c r="A19" s="108"/>
      <c r="B19" s="109" t="s">
        <v>23</v>
      </c>
      <c r="C19" s="167">
        <f>_xlfn.XLOOKUP($B$2,'Modelling New'!$D:$D,'Modelling New'!R:R)</f>
        <v>17.787037014451613</v>
      </c>
      <c r="D19" s="168">
        <f>'Monthly KPI'!$D$4</f>
        <v>19.64</v>
      </c>
      <c r="E19" s="112">
        <f t="shared" si="0"/>
        <v>0.10417491030366059</v>
      </c>
      <c r="F19" s="184"/>
    </row>
    <row r="20" spans="1:6" ht="16.5" thickTop="1" thickBot="1">
      <c r="A20" s="108"/>
      <c r="B20" s="109" t="s">
        <v>24</v>
      </c>
      <c r="C20" s="167">
        <f>_xlfn.XLOOKUP($B$2,'Modelling New'!$D:$D,'Modelling New'!S:S)</f>
        <v>750.48940338545151</v>
      </c>
      <c r="D20" s="168">
        <f>'Annual KPI'!$D$4</f>
        <v>665.69150000000036</v>
      </c>
      <c r="E20" s="112">
        <f t="shared" si="0"/>
        <v>-0.11299014083733695</v>
      </c>
      <c r="F20" s="185"/>
    </row>
    <row r="21" spans="1:6" ht="16.5" thickTop="1" thickBot="1">
      <c r="A21" s="108">
        <v>5</v>
      </c>
      <c r="B21" s="109" t="s">
        <v>25</v>
      </c>
      <c r="C21" s="117">
        <f>_xlfn.XLOOKUP($B$3,'Daily KPI'!$A:$A,'Daily KPI'!AG:AG)</f>
        <v>0.995</v>
      </c>
      <c r="D21" s="116">
        <f>_xlfn.XLOOKUP($B$3,'Daily KPI'!$A:$A,'Daily KPI'!O:O)</f>
        <v>0.99143214903279719</v>
      </c>
      <c r="E21" s="112">
        <f t="shared" si="0"/>
        <v>-3.5857798665354787E-3</v>
      </c>
      <c r="F21" s="184"/>
    </row>
    <row r="22" spans="1:6" ht="16.5" thickTop="1" thickBot="1">
      <c r="A22" s="108"/>
      <c r="B22" s="109" t="s">
        <v>26</v>
      </c>
      <c r="C22" s="117">
        <f>_xlfn.XLOOKUP($B$2,'Modelling New'!$D:$D,'Modelling New'!AD:AD)</f>
        <v>0.995</v>
      </c>
      <c r="D22" s="116">
        <f>'Monthly KPI'!$N$4</f>
        <v>0.99250943521921897</v>
      </c>
      <c r="E22" s="112">
        <f t="shared" si="0"/>
        <v>-2.5030801816894712E-3</v>
      </c>
      <c r="F22" s="184"/>
    </row>
    <row r="23" spans="1:6" ht="16.5" thickTop="1" thickBot="1">
      <c r="A23" s="108"/>
      <c r="B23" s="109" t="s">
        <v>27</v>
      </c>
      <c r="C23" s="117">
        <f>_xlfn.XLOOKUP($B$2,'Modelling New'!$D:$D,'Modelling New'!AD:AD)</f>
        <v>0.995</v>
      </c>
      <c r="D23" s="116">
        <f>'Annual KPI'!$N$4</f>
        <v>0.99265035155947157</v>
      </c>
      <c r="E23" s="112">
        <f t="shared" si="0"/>
        <v>-2.3614557191240491E-3</v>
      </c>
      <c r="F23" s="184"/>
    </row>
    <row r="24" spans="1:6" ht="16.5" thickTop="1" thickBot="1">
      <c r="A24" s="108">
        <v>6</v>
      </c>
      <c r="B24" s="109" t="s">
        <v>28</v>
      </c>
      <c r="C24" s="117">
        <f>_xlfn.XLOOKUP($B$3,'Daily KPI'!$A:$A,'Daily KPI'!AH:AH)</f>
        <v>0.997</v>
      </c>
      <c r="D24" s="116">
        <f>_xlfn.XLOOKUP($B$3,'Daily KPI'!$A:$A,'Daily KPI'!R:R)</f>
        <v>1</v>
      </c>
      <c r="E24" s="112">
        <f t="shared" si="0"/>
        <v>3.009027081243734E-3</v>
      </c>
      <c r="F24" s="186"/>
    </row>
    <row r="25" spans="1:6" ht="16.5" thickTop="1" thickBot="1">
      <c r="A25" s="108"/>
      <c r="B25" s="109" t="s">
        <v>29</v>
      </c>
      <c r="C25" s="117">
        <f>_xlfn.XLOOKUP($B$2,'Modelling New'!$D:$D,'Modelling New'!AE:AE)</f>
        <v>0.997</v>
      </c>
      <c r="D25" s="116">
        <f>'Monthly KPI'!$L$4</f>
        <v>1</v>
      </c>
      <c r="E25" s="112">
        <f t="shared" si="0"/>
        <v>3.009027081243734E-3</v>
      </c>
      <c r="F25" s="182"/>
    </row>
    <row r="26" spans="1:6" ht="16.5" thickTop="1" thickBot="1">
      <c r="A26" s="108"/>
      <c r="B26" s="109" t="s">
        <v>30</v>
      </c>
      <c r="C26" s="117">
        <f>_xlfn.XLOOKUP($B$2,'Modelling New'!$D:$D,'Modelling New'!AE:AE)</f>
        <v>0.997</v>
      </c>
      <c r="D26" s="116">
        <f>'Annual KPI'!$L$4</f>
        <v>0.99996375491071188</v>
      </c>
      <c r="E26" s="112">
        <f t="shared" si="0"/>
        <v>2.9726729295003812E-3</v>
      </c>
      <c r="F26" s="182"/>
    </row>
    <row r="27" spans="1:6" ht="16.5" thickTop="1" thickBot="1">
      <c r="A27" s="108">
        <v>7</v>
      </c>
      <c r="B27" s="109" t="s">
        <v>31</v>
      </c>
      <c r="C27" s="117">
        <f>_xlfn.XLOOKUP($B$2,'Modelling New'!$D:$D,'Modelling New'!AF:AF)</f>
        <v>0.999</v>
      </c>
      <c r="D27" s="116">
        <f>_xlfn.XLOOKUP($B$3,'Daily KPI'!$A:$A,'Daily KPI'!T:T)</f>
        <v>1</v>
      </c>
      <c r="E27" s="112">
        <f t="shared" ref="E27:E29" si="1">-(C27-D27)/C27</f>
        <v>1.0010010010010019E-3</v>
      </c>
      <c r="F27" s="182"/>
    </row>
    <row r="28" spans="1:6" ht="16.5" thickTop="1" thickBot="1">
      <c r="A28" s="108"/>
      <c r="B28" s="109" t="s">
        <v>32</v>
      </c>
      <c r="C28" s="117">
        <f>_xlfn.XLOOKUP($B$2,'Modelling New'!$D:$D,'Modelling New'!AF:AF)</f>
        <v>0.999</v>
      </c>
      <c r="D28" s="116">
        <f>'Monthly KPI'!$P$4</f>
        <v>1</v>
      </c>
      <c r="E28" s="112">
        <f t="shared" si="1"/>
        <v>1.0010010010010019E-3</v>
      </c>
      <c r="F28" s="182"/>
    </row>
    <row r="29" spans="1:6" ht="16.5" thickTop="1" thickBot="1">
      <c r="A29" s="118"/>
      <c r="B29" s="119" t="s">
        <v>33</v>
      </c>
      <c r="C29" s="120">
        <f>_xlfn.XLOOKUP($B$2,'Modelling New'!$D:$D,'Modelling New'!AF:AF)</f>
        <v>0.999</v>
      </c>
      <c r="D29" s="120">
        <f>'Annual KPI'!$P$4</f>
        <v>1</v>
      </c>
      <c r="E29" s="121">
        <f t="shared" si="1"/>
        <v>1.0010010010010019E-3</v>
      </c>
      <c r="F29" s="187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B4:G30"/>
  <sheetViews>
    <sheetView workbookViewId="0">
      <selection activeCell="I9" sqref="I9"/>
    </sheetView>
  </sheetViews>
  <sheetFormatPr defaultColWidth="9.140625" defaultRowHeight="15"/>
  <cols>
    <col min="1" max="1" width="9.140625" style="122"/>
    <col min="2" max="2" width="18.85546875" style="122" bestFit="1" customWidth="1"/>
    <col min="3" max="3" width="10.42578125" style="122" bestFit="1" customWidth="1"/>
    <col min="4" max="5" width="9.140625" style="122"/>
    <col min="6" max="6" width="12.5703125" style="122" bestFit="1" customWidth="1"/>
    <col min="7" max="16384" width="9.140625" style="122"/>
  </cols>
  <sheetData>
    <row r="4" spans="2:6">
      <c r="B4" s="122" t="s">
        <v>34</v>
      </c>
    </row>
    <row r="6" spans="2:6">
      <c r="B6" s="123" t="s">
        <v>35</v>
      </c>
      <c r="C6" s="123" t="s">
        <v>36</v>
      </c>
      <c r="D6" s="123" t="s">
        <v>9</v>
      </c>
      <c r="E6" s="123" t="s">
        <v>37</v>
      </c>
      <c r="F6" s="123" t="s">
        <v>38</v>
      </c>
    </row>
    <row r="7" spans="2:6">
      <c r="B7" s="123" t="s">
        <v>39</v>
      </c>
      <c r="C7" s="124">
        <f>'Daily Dashboard'!B3</f>
        <v>45873</v>
      </c>
      <c r="D7" s="125">
        <f>'Daily Dashboard'!C9</f>
        <v>33.01225677497316</v>
      </c>
      <c r="E7" s="125">
        <f>'Daily Dashboard'!D9</f>
        <v>42.284440000001354</v>
      </c>
      <c r="F7" s="125">
        <f>D7-E7</f>
        <v>-9.2721832250281935</v>
      </c>
    </row>
    <row r="8" spans="2:6">
      <c r="B8" s="123" t="s">
        <v>40</v>
      </c>
      <c r="C8" s="124">
        <f t="shared" ref="C8:C30" si="0">$C$7</f>
        <v>45873</v>
      </c>
      <c r="D8" s="123">
        <v>0</v>
      </c>
      <c r="E8" s="123">
        <v>0</v>
      </c>
      <c r="F8" s="123">
        <v>0</v>
      </c>
    </row>
    <row r="9" spans="2:6">
      <c r="B9" s="123" t="s">
        <v>41</v>
      </c>
      <c r="C9" s="124">
        <f t="shared" si="0"/>
        <v>45873</v>
      </c>
      <c r="D9" s="123">
        <v>0</v>
      </c>
      <c r="E9" s="123">
        <v>0</v>
      </c>
      <c r="F9" s="123">
        <v>0</v>
      </c>
    </row>
    <row r="10" spans="2:6">
      <c r="B10" s="123" t="s">
        <v>42</v>
      </c>
      <c r="C10" s="124">
        <f t="shared" si="0"/>
        <v>45873</v>
      </c>
      <c r="D10" s="123">
        <v>0</v>
      </c>
      <c r="E10" s="123">
        <v>0</v>
      </c>
      <c r="F10" s="123">
        <v>0</v>
      </c>
    </row>
    <row r="11" spans="2:6">
      <c r="B11" s="123" t="s">
        <v>43</v>
      </c>
      <c r="C11" s="124">
        <f t="shared" si="0"/>
        <v>45873</v>
      </c>
      <c r="D11" s="123">
        <v>0</v>
      </c>
      <c r="E11" s="123">
        <v>0</v>
      </c>
      <c r="F11" s="123">
        <v>0</v>
      </c>
    </row>
    <row r="12" spans="2:6">
      <c r="B12" s="123" t="s">
        <v>44</v>
      </c>
      <c r="C12" s="124">
        <f t="shared" si="0"/>
        <v>45873</v>
      </c>
      <c r="D12" s="123">
        <v>0</v>
      </c>
      <c r="E12" s="123">
        <v>0</v>
      </c>
      <c r="F12" s="123">
        <v>0</v>
      </c>
    </row>
    <row r="13" spans="2:6">
      <c r="B13" s="123" t="s">
        <v>45</v>
      </c>
      <c r="C13" s="124">
        <f t="shared" si="0"/>
        <v>45873</v>
      </c>
      <c r="D13" s="123">
        <v>0</v>
      </c>
      <c r="E13" s="123">
        <v>0</v>
      </c>
      <c r="F13" s="123">
        <v>0</v>
      </c>
    </row>
    <row r="14" spans="2:6">
      <c r="B14" s="123" t="s">
        <v>46</v>
      </c>
      <c r="C14" s="124">
        <f t="shared" si="0"/>
        <v>45873</v>
      </c>
      <c r="D14" s="123">
        <v>0</v>
      </c>
      <c r="E14" s="123">
        <v>0</v>
      </c>
      <c r="F14" s="123">
        <v>0</v>
      </c>
    </row>
    <row r="15" spans="2:6">
      <c r="B15" s="123" t="s">
        <v>47</v>
      </c>
      <c r="C15" s="124">
        <f t="shared" si="0"/>
        <v>45873</v>
      </c>
      <c r="D15" s="123">
        <v>0</v>
      </c>
      <c r="E15" s="123">
        <v>0</v>
      </c>
      <c r="F15" s="123">
        <v>0</v>
      </c>
    </row>
    <row r="16" spans="2:6">
      <c r="B16" s="123" t="s">
        <v>48</v>
      </c>
      <c r="C16" s="124">
        <f t="shared" si="0"/>
        <v>45873</v>
      </c>
      <c r="D16" s="123">
        <v>0</v>
      </c>
      <c r="E16" s="123">
        <v>0</v>
      </c>
      <c r="F16" s="123">
        <v>0</v>
      </c>
    </row>
    <row r="17" spans="2:7">
      <c r="B17" s="123" t="s">
        <v>49</v>
      </c>
      <c r="C17" s="124">
        <f t="shared" si="0"/>
        <v>45873</v>
      </c>
      <c r="D17" s="123">
        <v>0</v>
      </c>
      <c r="E17" s="123">
        <v>0</v>
      </c>
      <c r="F17" s="123">
        <v>0</v>
      </c>
    </row>
    <row r="18" spans="2:7">
      <c r="B18" s="123" t="s">
        <v>50</v>
      </c>
      <c r="C18" s="124">
        <f t="shared" si="0"/>
        <v>45873</v>
      </c>
      <c r="D18" s="123">
        <v>0</v>
      </c>
      <c r="E18" s="123">
        <v>0</v>
      </c>
      <c r="F18" s="123">
        <v>0</v>
      </c>
    </row>
    <row r="19" spans="2:7">
      <c r="B19" s="123" t="s">
        <v>51</v>
      </c>
      <c r="C19" s="124">
        <f t="shared" si="0"/>
        <v>45873</v>
      </c>
      <c r="D19" s="123">
        <v>0</v>
      </c>
      <c r="E19" s="123">
        <v>0</v>
      </c>
      <c r="F19" s="123">
        <v>0</v>
      </c>
    </row>
    <row r="20" spans="2:7">
      <c r="B20" s="123" t="s">
        <v>52</v>
      </c>
      <c r="C20" s="124">
        <f t="shared" si="0"/>
        <v>45873</v>
      </c>
      <c r="D20" s="123">
        <v>0</v>
      </c>
      <c r="E20" s="123">
        <v>0</v>
      </c>
      <c r="F20" s="123">
        <v>0</v>
      </c>
    </row>
    <row r="21" spans="2:7">
      <c r="B21" s="123" t="s">
        <v>53</v>
      </c>
      <c r="C21" s="124">
        <f t="shared" si="0"/>
        <v>45873</v>
      </c>
      <c r="D21" s="123">
        <f>'Daily Dashboard'!C21*100</f>
        <v>99.5</v>
      </c>
      <c r="E21" s="123">
        <f>'Daily Dashboard'!D21*100</f>
        <v>99.143214903279713</v>
      </c>
      <c r="F21" s="123">
        <f>E21-D21</f>
        <v>-0.35678509672028724</v>
      </c>
      <c r="G21" s="126">
        <f>(F21/100)*$D$7</f>
        <v>-0.11778281226413757</v>
      </c>
    </row>
    <row r="22" spans="2:7">
      <c r="B22" s="123" t="s">
        <v>54</v>
      </c>
      <c r="C22" s="124">
        <f t="shared" si="0"/>
        <v>45873</v>
      </c>
      <c r="D22" s="123">
        <f>'Daily Dashboard'!C24*100</f>
        <v>99.7</v>
      </c>
      <c r="E22" s="123">
        <f>'Daily Dashboard'!D24*100</f>
        <v>100</v>
      </c>
      <c r="F22" s="123">
        <f>E22-D22</f>
        <v>0.29999999999999716</v>
      </c>
      <c r="G22" s="126">
        <f>(F22/100)*$D$7</f>
        <v>9.9036770324918533E-2</v>
      </c>
    </row>
    <row r="23" spans="2:7">
      <c r="B23" s="123" t="s">
        <v>55</v>
      </c>
      <c r="C23" s="124">
        <f t="shared" si="0"/>
        <v>45873</v>
      </c>
      <c r="D23" s="123">
        <f>'Daily Dashboard'!C27*100</f>
        <v>99.9</v>
      </c>
      <c r="E23" s="123">
        <f>'Daily Dashboard'!D27*100</f>
        <v>100</v>
      </c>
      <c r="F23" s="123">
        <f>E23-D23</f>
        <v>9.9999999999994316E-2</v>
      </c>
      <c r="G23" s="126">
        <f>((F23/100)*$D$7)*20%</f>
        <v>6.6024513549942576E-3</v>
      </c>
    </row>
    <row r="24" spans="2:7">
      <c r="B24" s="123" t="s">
        <v>56</v>
      </c>
      <c r="C24" s="124">
        <f t="shared" si="0"/>
        <v>45873</v>
      </c>
      <c r="D24" s="123">
        <v>0</v>
      </c>
      <c r="E24" s="123">
        <v>0</v>
      </c>
      <c r="F24" s="123">
        <v>0</v>
      </c>
    </row>
    <row r="25" spans="2:7">
      <c r="B25" s="123" t="s">
        <v>57</v>
      </c>
      <c r="C25" s="124">
        <f t="shared" si="0"/>
        <v>45873</v>
      </c>
      <c r="D25" s="123">
        <v>0</v>
      </c>
      <c r="E25" s="123">
        <v>0</v>
      </c>
      <c r="F25" s="123">
        <v>0</v>
      </c>
    </row>
    <row r="26" spans="2:7">
      <c r="B26" s="123" t="s">
        <v>10</v>
      </c>
      <c r="C26" s="124">
        <f t="shared" si="0"/>
        <v>45873</v>
      </c>
      <c r="D26" s="127">
        <f>'Daily Dashboard'!$D$9</f>
        <v>42.284440000001354</v>
      </c>
      <c r="E26" s="127">
        <f>'Daily Dashboard'!$D$9</f>
        <v>42.284440000001354</v>
      </c>
      <c r="F26" s="127">
        <f>'Daily Dashboard'!$D$9</f>
        <v>42.284440000001354</v>
      </c>
    </row>
    <row r="27" spans="2:7">
      <c r="B27" s="123" t="s">
        <v>58</v>
      </c>
      <c r="C27" s="124">
        <f t="shared" si="0"/>
        <v>45873</v>
      </c>
      <c r="D27" s="123">
        <v>0</v>
      </c>
      <c r="E27" s="123">
        <v>0</v>
      </c>
      <c r="F27" s="123">
        <v>0</v>
      </c>
    </row>
    <row r="28" spans="2:7">
      <c r="B28" s="123" t="s">
        <v>59</v>
      </c>
      <c r="C28" s="124">
        <f t="shared" si="0"/>
        <v>45873</v>
      </c>
      <c r="D28" s="123">
        <v>0</v>
      </c>
      <c r="E28" s="123">
        <v>0</v>
      </c>
      <c r="F28" s="123">
        <v>0</v>
      </c>
    </row>
    <row r="29" spans="2:7">
      <c r="B29" s="123" t="s">
        <v>60</v>
      </c>
      <c r="C29" s="124">
        <f t="shared" si="0"/>
        <v>45873</v>
      </c>
      <c r="D29" s="123">
        <v>0</v>
      </c>
      <c r="E29" s="125">
        <f>-(F7+G30)+(SUM(G21:G23))</f>
        <v>0.32731127736726717</v>
      </c>
      <c r="F29" s="125">
        <f>E29</f>
        <v>0.32731127736726717</v>
      </c>
    </row>
    <row r="30" spans="2:7">
      <c r="B30" s="123" t="s">
        <v>61</v>
      </c>
      <c r="C30" s="124">
        <f t="shared" si="0"/>
        <v>45873</v>
      </c>
      <c r="D30" s="123">
        <f>'Daily Dashboard'!C18</f>
        <v>4.4467592536129033</v>
      </c>
      <c r="E30" s="123">
        <f>'Daily Dashboard'!D18</f>
        <v>5.65</v>
      </c>
      <c r="F30" s="123">
        <f>E30-D30</f>
        <v>1.2032407463870971</v>
      </c>
      <c r="G30" s="122">
        <f>(F30/D30)*D7</f>
        <v>8.9327283570767015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5"/>
  <cols>
    <col min="1" max="1" width="12.42578125" bestFit="1" customWidth="1"/>
    <col min="2" max="2" width="11.5703125" customWidth="1"/>
    <col min="3" max="4" width="13.42578125" customWidth="1"/>
    <col min="5" max="5" width="13.5703125" customWidth="1"/>
    <col min="6" max="6" width="14" customWidth="1"/>
    <col min="8" max="8" width="9.425781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  <col min="16" max="16" width="9.42578125" customWidth="1"/>
  </cols>
  <sheetData>
    <row r="1" spans="1:16">
      <c r="A1" s="75" t="s">
        <v>62</v>
      </c>
      <c r="B1" s="76">
        <f>'Daily Dashboard'!B3</f>
        <v>45873</v>
      </c>
      <c r="C1" s="69">
        <f>'Daily Dashboard'!$B$2</f>
        <v>45870</v>
      </c>
    </row>
    <row r="2" spans="1:16" ht="21">
      <c r="A2" s="350" t="s">
        <v>63</v>
      </c>
      <c r="B2" s="350"/>
      <c r="C2" s="350"/>
      <c r="D2" s="350"/>
      <c r="E2" s="350"/>
      <c r="F2" s="350"/>
      <c r="G2" s="350"/>
      <c r="H2" s="350"/>
      <c r="I2" s="350"/>
      <c r="J2" s="350"/>
      <c r="K2" s="350"/>
      <c r="L2" s="350"/>
      <c r="M2" s="350"/>
      <c r="N2" s="350"/>
      <c r="O2" s="350"/>
      <c r="P2" s="350"/>
    </row>
    <row r="3" spans="1:16" ht="45">
      <c r="A3" s="77" t="s">
        <v>64</v>
      </c>
      <c r="B3" s="77" t="s">
        <v>65</v>
      </c>
      <c r="C3" s="68" t="s">
        <v>66</v>
      </c>
      <c r="D3" s="68" t="s">
        <v>67</v>
      </c>
      <c r="E3" s="68" t="s">
        <v>68</v>
      </c>
      <c r="F3" s="68" t="s">
        <v>69</v>
      </c>
      <c r="G3" s="68" t="s">
        <v>70</v>
      </c>
      <c r="H3" s="68" t="s">
        <v>71</v>
      </c>
      <c r="I3" s="68" t="s">
        <v>72</v>
      </c>
      <c r="J3" s="68" t="s">
        <v>73</v>
      </c>
      <c r="K3" s="68" t="s">
        <v>74</v>
      </c>
      <c r="L3" s="68" t="s">
        <v>75</v>
      </c>
      <c r="M3" s="68" t="s">
        <v>76</v>
      </c>
      <c r="N3" s="68" t="s">
        <v>77</v>
      </c>
      <c r="O3" s="68" t="s">
        <v>78</v>
      </c>
      <c r="P3" s="68" t="s">
        <v>79</v>
      </c>
    </row>
    <row r="4" spans="1:16" s="1" customFormat="1" ht="18.75" customHeight="1">
      <c r="A4" s="148">
        <f>YEAR(B1)+IF(MONTH(B1)&gt;=4,1,0)</f>
        <v>2026</v>
      </c>
      <c r="B4" s="78">
        <f>($B$1-'Daily Dashboard'!$B$5)+1</f>
        <v>126</v>
      </c>
      <c r="C4" s="78">
        <f>_xlfn.XLOOKUP($C$1,'Modelling New'!$D:$D,'Modelling New'!$S:$S)</f>
        <v>750.48940338545151</v>
      </c>
      <c r="D4" s="79">
        <f>IFERROR(SUMIFS('Daily KPI'!$I:$I,'Daily KPI'!$B:$B,'Annual KPI'!$A4,'Daily KPI'!$A:$A,"&lt;="&amp;'Annual KPI'!$B$1),"")</f>
        <v>665.69150000000036</v>
      </c>
      <c r="E4" s="78">
        <f>_xlfn.XLOOKUP($C$1,'Modelling New'!$D:$D,'Modelling New'!$V:$V)</f>
        <v>5387.2252809622933</v>
      </c>
      <c r="F4" s="79">
        <f>IFERROR(SUMIFS('Daily KPI'!$AA:$AA,'Daily KPI'!$B:$B,'Annual KPI'!$A4,'Daily KPI'!$A:$A,"&lt;="&amp;'Annual KPI'!$B$1)/1000,"")</f>
        <v>5010.2890599999973</v>
      </c>
      <c r="G4" s="80">
        <f>IFERROR(E4/C4/'Modelling New'!$AP$1,"")</f>
        <v>0.68319053392845852</v>
      </c>
      <c r="H4" s="81">
        <f>IFERROR(F4/D4/'Modelling New'!$AP$1,"")</f>
        <v>0.71632653415282121</v>
      </c>
      <c r="I4" s="80">
        <f>IFERROR(E4/(B4*24*'Modelling New'!$AP$1),"")</f>
        <v>0.1695526640894699</v>
      </c>
      <c r="J4" s="81">
        <f>IFERROR(F4/(B4*24*'Modelling New'!$AP$1),"")</f>
        <v>0.15768931382605592</v>
      </c>
      <c r="K4" s="80">
        <f>_xlfn.XLOOKUP($C$1,'Modelling New'!$D:$D,'Modelling New'!$AE:$AE)</f>
        <v>0.997</v>
      </c>
      <c r="L4" s="82">
        <f>IFERROR(AVERAGEIFS('Daily KPI'!$R:$R,'Daily KPI'!$B:$B,'Annual KPI'!$A4,'Daily KPI'!$A:$A,"&lt;="&amp;'Annual KPI'!$B$1),"")</f>
        <v>0.99996375491071188</v>
      </c>
      <c r="M4" s="80">
        <f>_xlfn.XLOOKUP($C$1,'Modelling New'!$D:$D,'Modelling New'!$AD:$AD)</f>
        <v>0.995</v>
      </c>
      <c r="N4" s="82">
        <f>IFERROR(AVERAGEIFS('Daily KPI'!$O:$O,'Daily KPI'!$B:$B,'Annual KPI'!$A4,'Daily KPI'!$A:$A,"&lt;="&amp;'Annual KPI'!$B$1),"")</f>
        <v>0.99265035155947157</v>
      </c>
      <c r="O4" s="80">
        <f>_xlfn.XLOOKUP($C$1,'Modelling New'!$D:$D,'Modelling New'!$AF:$AF)</f>
        <v>0.999</v>
      </c>
      <c r="P4" s="82">
        <f>IFERROR(AVERAGEIFS('Daily KPI'!$T:$T,'Daily KPI'!$B:$B,'Annual KPI'!$A4,'Daily KPI'!$A:$A,"&lt;="&amp;'Annual KPI'!$B$1),"")</f>
        <v>1</v>
      </c>
    </row>
    <row r="7" spans="1:16" ht="21">
      <c r="A7" s="350" t="s">
        <v>63</v>
      </c>
      <c r="B7" s="350"/>
      <c r="C7" s="350"/>
      <c r="D7" s="350"/>
      <c r="E7" s="350"/>
      <c r="F7" s="350"/>
      <c r="G7" s="350"/>
      <c r="H7" s="350"/>
      <c r="I7" s="350"/>
      <c r="J7" s="350"/>
      <c r="K7" s="350"/>
      <c r="L7" s="350"/>
      <c r="M7" s="350"/>
      <c r="N7" s="350"/>
      <c r="O7" s="350"/>
      <c r="P7" s="350"/>
    </row>
    <row r="8" spans="1:16" ht="45">
      <c r="A8" s="67" t="s">
        <v>80</v>
      </c>
      <c r="B8" s="67" t="s">
        <v>65</v>
      </c>
      <c r="C8" s="68" t="s">
        <v>66</v>
      </c>
      <c r="D8" s="68" t="s">
        <v>67</v>
      </c>
      <c r="E8" s="68" t="s">
        <v>68</v>
      </c>
      <c r="F8" s="68" t="s">
        <v>69</v>
      </c>
      <c r="G8" s="68" t="s">
        <v>70</v>
      </c>
      <c r="H8" s="68" t="s">
        <v>71</v>
      </c>
      <c r="I8" s="68" t="s">
        <v>72</v>
      </c>
      <c r="J8" s="68" t="s">
        <v>73</v>
      </c>
      <c r="K8" s="68" t="s">
        <v>74</v>
      </c>
      <c r="L8" s="68" t="s">
        <v>75</v>
      </c>
      <c r="M8" s="68" t="s">
        <v>76</v>
      </c>
      <c r="N8" s="68" t="s">
        <v>77</v>
      </c>
      <c r="O8" s="68" t="s">
        <v>78</v>
      </c>
      <c r="P8" s="68" t="s">
        <v>79</v>
      </c>
    </row>
    <row r="9" spans="1:16">
      <c r="A9" s="69">
        <v>45748</v>
      </c>
      <c r="B9" s="70">
        <f>IFERROR(_xlfn.XLOOKUP($A9,'Modelling New'!$D:$D,'Modelling New'!$Q:$Q),"")</f>
        <v>30</v>
      </c>
      <c r="C9" s="70">
        <f>_xlfn.XLOOKUP($A9,'Modelling New'!$D:$D,'Modelling New'!$R:$R)</f>
        <v>227.68820475999999</v>
      </c>
      <c r="D9" s="71">
        <f>SUMIF('Daily KPI'!$D:$D,$A9,'Daily KPI'!$I:$I)</f>
        <v>203.34499999999997</v>
      </c>
      <c r="E9" s="70">
        <f>_xlfn.XLOOKUP($A9,'Modelling New'!$D:$D,'Modelling New'!$U:$U)</f>
        <v>1584.5716867700794</v>
      </c>
      <c r="F9" s="71">
        <f>SUMIF('Daily KPI'!$D:$D,$A9,'Daily KPI'!$AA:$AA)/1000</f>
        <v>1460.2205199999923</v>
      </c>
      <c r="G9" s="72">
        <f>IFERROR(E9/C9/'Modelling New'!$AP$1,"")</f>
        <v>0.66235775663544993</v>
      </c>
      <c r="H9" s="73">
        <f>IFERROR(F9/D9/'Modelling New'!$AP$1,"")</f>
        <v>0.68344916425537827</v>
      </c>
      <c r="I9" s="72">
        <f>IFERROR(E9/(B9*24*'Modelling New'!$AP$1),"")</f>
        <v>0.20945978960720357</v>
      </c>
      <c r="J9" s="73">
        <f>IFERROR(F9/(B9*24*'Modelling New'!$AP$1),"")</f>
        <v>0.19302218097987484</v>
      </c>
      <c r="K9" s="72">
        <f>_xlfn.XLOOKUP($A9,'Modelling New'!$D:$D,'Modelling New'!AE:AE)</f>
        <v>0.997</v>
      </c>
      <c r="L9" s="73">
        <f>IFERROR(AVERAGEIF('Daily KPI'!$D:$D,$A9,'Daily KPI'!$R:$R),"")</f>
        <v>1</v>
      </c>
      <c r="M9" s="72">
        <v>0.995</v>
      </c>
      <c r="N9" s="73">
        <f>IFERROR(AVERAGEIF('Daily KPI'!$D:$D,$A9,'Daily KPI'!O:O),"")</f>
        <v>0.98264102805739162</v>
      </c>
      <c r="O9" s="72">
        <v>0.999</v>
      </c>
      <c r="P9" s="73">
        <f>IFERROR(AVERAGEIF('Daily KPI'!$D:$D,$A9,'Daily KPI'!T:T),"")</f>
        <v>1</v>
      </c>
    </row>
    <row r="10" spans="1:16">
      <c r="A10" s="69">
        <v>45778</v>
      </c>
      <c r="B10" s="70">
        <f>IFERROR(_xlfn.XLOOKUP($A10,'Modelling New'!$D:$D,'Modelling New'!$Q:$Q),"")</f>
        <v>31</v>
      </c>
      <c r="C10" s="70">
        <f>_xlfn.XLOOKUP($A10,'Modelling New'!$D:$D,'Modelling New'!$R:$R)</f>
        <v>215.544309645</v>
      </c>
      <c r="D10" s="71">
        <f>SUMIF('Daily KPI'!$D:$D,$A10,'Daily KPI'!$I:$I)</f>
        <v>173.33149999999995</v>
      </c>
      <c r="E10" s="70">
        <f>_xlfn.XLOOKUP($A10,'Modelling New'!$D:$D,'Modelling New'!$U:$U)</f>
        <v>1574.4307077294884</v>
      </c>
      <c r="F10" s="71">
        <f>SUMIF('Daily KPI'!$D:$D,$A10,'Daily KPI'!$AA:$AA)/1000</f>
        <v>1312.1831800000045</v>
      </c>
      <c r="G10" s="72">
        <f>IFERROR(E10/C10/'Modelling New'!$AP$1,"")</f>
        <v>0.69519758920580965</v>
      </c>
      <c r="H10" s="73">
        <f>IFERROR(F10/D10/'Modelling New'!$AP$1,"")</f>
        <v>0.72050705702097495</v>
      </c>
      <c r="I10" s="72">
        <f>IFERROR(E10/(B10*24*'Modelling New'!$AP$1),"")</f>
        <v>0.20140575864547655</v>
      </c>
      <c r="J10" s="73">
        <f>IFERROR(F10/(B10*24*'Modelling New'!$AP$1),"")</f>
        <v>0.1678582916048805</v>
      </c>
      <c r="K10" s="72">
        <f>_xlfn.XLOOKUP($A10,'Modelling New'!$D:$D,'Modelling New'!AE:AE)</f>
        <v>0.997</v>
      </c>
      <c r="L10" s="73">
        <f>IFERROR(AVERAGEIF('Daily KPI'!$D:$D,$A10,'Daily KPI'!$R:$R),"")</f>
        <v>0.99997341260493822</v>
      </c>
      <c r="M10" s="72">
        <v>0.995</v>
      </c>
      <c r="N10" s="73">
        <f>IFERROR(AVERAGEIF('Daily KPI'!$D:$D,$A10,'Daily KPI'!O:O),"")</f>
        <v>0.99318221448150157</v>
      </c>
      <c r="O10" s="72">
        <v>0.999</v>
      </c>
      <c r="P10" s="73">
        <f>IFERROR(AVERAGEIF('Daily KPI'!$D:$D,$A10,'Daily KPI'!T:T),"")</f>
        <v>1</v>
      </c>
    </row>
    <row r="11" spans="1:16">
      <c r="A11" s="69">
        <v>45809</v>
      </c>
      <c r="B11" s="70">
        <f>IFERROR(_xlfn.XLOOKUP($A11,'Modelling New'!$D:$D,'Modelling New'!$Q:$Q),"")</f>
        <v>30</v>
      </c>
      <c r="C11" s="70">
        <f>_xlfn.XLOOKUP($A11,'Modelling New'!$D:$D,'Modelling New'!$R:$R)</f>
        <v>157.11701856600001</v>
      </c>
      <c r="D11" s="71">
        <f>SUMIF('Daily KPI'!$D:$D,$A11,'Daily KPI'!$I:$I)</f>
        <v>151.98499999999999</v>
      </c>
      <c r="E11" s="70">
        <f>_xlfn.XLOOKUP($A11,'Modelling New'!$D:$D,'Modelling New'!$U:$U)</f>
        <v>1121.9948589552118</v>
      </c>
      <c r="F11" s="71">
        <f>SUMIF('Daily KPI'!$D:$D,$A11,'Daily KPI'!$AA:$AA)/1000</f>
        <v>1169.0172799999984</v>
      </c>
      <c r="G11" s="72">
        <f>IFERROR(E11/C11/'Modelling New'!$AP$1,"")</f>
        <v>0.67965560892027499</v>
      </c>
      <c r="H11" s="73">
        <f>IFERROR(F11/D11/'Modelling New'!$AP$1,"")</f>
        <v>0.7320512233279638</v>
      </c>
      <c r="I11" s="72">
        <f>IFERROR(E11/(B11*24*'Modelling New'!$AP$1),"")</f>
        <v>0.14831314295168457</v>
      </c>
      <c r="J11" s="73">
        <f>IFERROR(F11/(B11*24*'Modelling New'!$AP$1),"")</f>
        <v>0.15452889607986189</v>
      </c>
      <c r="K11" s="72">
        <f>_xlfn.XLOOKUP($A11,'Modelling New'!$D:$D,'Modelling New'!AE:AE)</f>
        <v>0.997</v>
      </c>
      <c r="L11" s="73">
        <f>IFERROR(AVERAGEIF('Daily KPI'!$D:$D,$A11,'Daily KPI'!$R:$R),"")</f>
        <v>0.99987674462020015</v>
      </c>
      <c r="M11" s="72">
        <v>0.995</v>
      </c>
      <c r="N11" s="73">
        <f>IFERROR(AVERAGEIF('Daily KPI'!$D:$D,$A11,'Daily KPI'!O:O),"")</f>
        <v>0.99851420386515921</v>
      </c>
      <c r="O11" s="72">
        <v>0.999</v>
      </c>
      <c r="P11" s="73">
        <f>IFERROR(AVERAGEIF('Daily KPI'!$D:$D,$A11,'Daily KPI'!T:T),"")</f>
        <v>1</v>
      </c>
    </row>
    <row r="12" spans="1:16">
      <c r="A12" s="69">
        <v>45839</v>
      </c>
      <c r="B12" s="70">
        <f>IFERROR(_xlfn.XLOOKUP($A12,'Modelling New'!$D:$D,'Modelling New'!$Q:$Q),"")</f>
        <v>31</v>
      </c>
      <c r="C12" s="70">
        <f>_xlfn.XLOOKUP($A12,'Modelling New'!$D:$D,'Modelling New'!$R:$R)</f>
        <v>132.35283340000001</v>
      </c>
      <c r="D12" s="71">
        <f>SUMIF('Daily KPI'!$D:$D,$A12,'Daily KPI'!$I:$I)</f>
        <v>117.38999999999999</v>
      </c>
      <c r="E12" s="70">
        <f>_xlfn.XLOOKUP($A12,'Modelling New'!$D:$D,'Modelling New'!$U:$U)</f>
        <v>974.17900040762106</v>
      </c>
      <c r="F12" s="71">
        <f>SUMIF('Daily KPI'!$D:$D,$A12,'Daily KPI'!$AA:$AA)/1000</f>
        <v>920.10058000000754</v>
      </c>
      <c r="G12" s="72">
        <f>IFERROR(E12/C12/'Modelling New'!$AP$1,"")</f>
        <v>0.70053008017012453</v>
      </c>
      <c r="H12" s="73">
        <f>IFERROR(F12/D12/'Modelling New'!$AP$1,"")</f>
        <v>0.745977055135297</v>
      </c>
      <c r="I12" s="72">
        <f>IFERROR(E12/(B12*24*'Modelling New'!$AP$1),"")</f>
        <v>0.12461981316188864</v>
      </c>
      <c r="J12" s="73">
        <f>IFERROR(F12/(B12*24*'Modelling New'!$AP$1),"")</f>
        <v>0.11770194422356518</v>
      </c>
      <c r="K12" s="72">
        <f>_xlfn.XLOOKUP($A12,'Modelling New'!$D:$D,'Modelling New'!AE:AE)</f>
        <v>0.997</v>
      </c>
      <c r="L12" s="73">
        <f>IFERROR(AVERAGEIF('Daily KPI'!$D:$D,$A12,'Daily KPI'!$R:$R),"")</f>
        <v>0.99999854804485833</v>
      </c>
      <c r="M12" s="72">
        <v>0.995</v>
      </c>
      <c r="N12" s="73">
        <f>IFERROR(AVERAGEIF('Daily KPI'!$D:$D,$A12,'Daily KPI'!O:O),"")</f>
        <v>0.99614841771011131</v>
      </c>
      <c r="O12" s="72">
        <v>0.999</v>
      </c>
      <c r="P12" s="73">
        <f>IFERROR(AVERAGEIF('Daily KPI'!$D:$D,$A12,'Daily KPI'!T:T),"")</f>
        <v>1</v>
      </c>
    </row>
    <row r="13" spans="1:16">
      <c r="A13" s="69">
        <v>45870</v>
      </c>
      <c r="B13" s="70">
        <f>IFERROR(_xlfn.XLOOKUP($A13,'Modelling New'!$D:$D,'Modelling New'!$Q:$Q),"")</f>
        <v>4</v>
      </c>
      <c r="C13" s="70">
        <f>_xlfn.XLOOKUP($A13,'Modelling New'!$D:$D,'Modelling New'!$R:$R)</f>
        <v>17.787037014451613</v>
      </c>
      <c r="D13" s="71">
        <f>SUMIF('Daily KPI'!$D:$D,$A13,'Daily KPI'!$I:$I)</f>
        <v>19.64</v>
      </c>
      <c r="E13" s="70">
        <f>_xlfn.XLOOKUP($A13,'Modelling New'!$D:$D,'Modelling New'!$U:$U)</f>
        <v>132.04902709989264</v>
      </c>
      <c r="F13" s="71">
        <f>SUMIF('Daily KPI'!$D:$D,$A13,'Daily KPI'!$AA:$AA)/1000</f>
        <v>148.7674999999947</v>
      </c>
      <c r="G13" s="72">
        <f>IFERROR(E13/C13/'Modelling New'!$AP$1,"")</f>
        <v>0.70656621050862611</v>
      </c>
      <c r="H13" s="73">
        <f>IFERROR(F13/D13/'Modelling New'!$AP$1,"")</f>
        <v>0.72092128669139932</v>
      </c>
      <c r="I13" s="72">
        <f>IFERROR(E13/(B13*24*'Modelling New'!$AP$1),"")</f>
        <v>0.13091374311955981</v>
      </c>
      <c r="J13" s="73">
        <f>IFERROR(F13/(B13*24*'Modelling New'!$AP$1),"")</f>
        <v>0.14748847990228212</v>
      </c>
      <c r="K13" s="72">
        <f>_xlfn.XLOOKUP($A13,'Modelling New'!$D:$D,'Modelling New'!AE:AE)</f>
        <v>0.997</v>
      </c>
      <c r="L13" s="73">
        <f>IFERROR(AVERAGEIF('Daily KPI'!$D:$D,$A13,'Daily KPI'!$R:$R),"")</f>
        <v>1</v>
      </c>
      <c r="M13" s="72">
        <v>0.995</v>
      </c>
      <c r="N13" s="73">
        <f>IFERROR(AVERAGEIF('Daily KPI'!$D:$D,$A13,'Daily KPI'!O:O),"")</f>
        <v>0.99250943521921897</v>
      </c>
      <c r="O13" s="72">
        <v>0.999</v>
      </c>
      <c r="P13" s="73">
        <f>IFERROR(AVERAGEIF('Daily KPI'!$D:$D,$A13,'Daily KPI'!T:T),"")</f>
        <v>1</v>
      </c>
    </row>
    <row r="14" spans="1:16">
      <c r="A14" s="69">
        <v>45901</v>
      </c>
      <c r="B14" s="70">
        <f>IFERROR(_xlfn.XLOOKUP($A14,'Modelling New'!$D:$D,'Modelling New'!$Q:$Q),"")</f>
        <v>0</v>
      </c>
      <c r="C14" s="70">
        <f>_xlfn.XLOOKUP($A14,'Modelling New'!$D:$D,'Modelling New'!$R:$R)</f>
        <v>0</v>
      </c>
      <c r="D14" s="71">
        <f>SUMIF('Daily KPI'!$D:$D,$A14,'Daily KPI'!$I:$I)</f>
        <v>0</v>
      </c>
      <c r="E14" s="70">
        <f>_xlfn.XLOOKUP($A14,'Modelling New'!$D:$D,'Modelling New'!$U:$U)</f>
        <v>0</v>
      </c>
      <c r="F14" s="71">
        <f>SUMIF('Daily KPI'!$D:$D,$A14,'Daily KPI'!$AA:$AA)/1000</f>
        <v>0</v>
      </c>
      <c r="G14" s="72" t="str">
        <f>IFERROR(E14/C14/'Modelling New'!$AP$1,"")</f>
        <v/>
      </c>
      <c r="H14" s="73" t="str">
        <f>IFERROR(F14/D14/'Modelling New'!$AP$1,"")</f>
        <v/>
      </c>
      <c r="I14" s="72" t="str">
        <f>IFERROR(E14/(B14*24*'Modelling New'!$AP$1),"")</f>
        <v/>
      </c>
      <c r="J14" s="73" t="str">
        <f>IFERROR(F14/(B14*24*'Modelling New'!$AP$1),"")</f>
        <v/>
      </c>
      <c r="K14" s="72">
        <f>_xlfn.XLOOKUP($A14,'Modelling New'!$D:$D,'Modelling New'!AE:AE)</f>
        <v>0.997</v>
      </c>
      <c r="L14" s="73" t="str">
        <f>IFERROR(AVERAGEIF('Daily KPI'!$D:$D,$A14,'Daily KPI'!$R:$R),"")</f>
        <v/>
      </c>
      <c r="M14" s="72">
        <v>0.995</v>
      </c>
      <c r="N14" s="73" t="str">
        <f>IFERROR(AVERAGEIF('Daily KPI'!$D:$D,$A14,'Daily KPI'!O:O),"")</f>
        <v/>
      </c>
      <c r="O14" s="72">
        <v>0.999</v>
      </c>
      <c r="P14" s="73" t="str">
        <f>IFERROR(AVERAGEIF('Daily KPI'!$D:$D,$A14,'Daily KPI'!T:T),"")</f>
        <v/>
      </c>
    </row>
    <row r="15" spans="1:16">
      <c r="A15" s="69">
        <v>45931</v>
      </c>
      <c r="B15" s="70">
        <f>IFERROR(_xlfn.XLOOKUP($A15,'Modelling New'!$D:$D,'Modelling New'!$Q:$Q),"")</f>
        <v>0</v>
      </c>
      <c r="C15" s="70">
        <f>_xlfn.XLOOKUP($A15,'Modelling New'!$D:$D,'Modelling New'!$R:$R)</f>
        <v>0</v>
      </c>
      <c r="D15" s="71">
        <f>SUMIF('Daily KPI'!$D:$D,$A15,'Daily KPI'!$I:$I)</f>
        <v>0</v>
      </c>
      <c r="E15" s="70">
        <f>_xlfn.XLOOKUP($A15,'Modelling New'!$D:$D,'Modelling New'!$U:$U)</f>
        <v>0</v>
      </c>
      <c r="F15" s="71">
        <f>SUMIF('Daily KPI'!$D:$D,$A15,'Daily KPI'!$AA:$AA)/1000</f>
        <v>0</v>
      </c>
      <c r="G15" s="72" t="str">
        <f>IFERROR(E15/C15/'Modelling New'!$AP$1,"")</f>
        <v/>
      </c>
      <c r="H15" s="73" t="str">
        <f>IFERROR(F15/D15/'Modelling New'!$AP$1,"")</f>
        <v/>
      </c>
      <c r="I15" s="72" t="str">
        <f>IFERROR(E15/(B15*24*'Modelling New'!$AP$1),"")</f>
        <v/>
      </c>
      <c r="J15" s="73" t="str">
        <f>IFERROR(F15/(B15*24*'Modelling New'!$AP$1),"")</f>
        <v/>
      </c>
      <c r="K15" s="72">
        <f>_xlfn.XLOOKUP($A15,'Modelling New'!$D:$D,'Modelling New'!AE:AE)</f>
        <v>0.997</v>
      </c>
      <c r="L15" s="73" t="str">
        <f>IFERROR(AVERAGEIF('Daily KPI'!$D:$D,$A15,'Daily KPI'!$R:$R),"")</f>
        <v/>
      </c>
      <c r="M15" s="72">
        <v>0.995</v>
      </c>
      <c r="N15" s="73" t="str">
        <f>IFERROR(AVERAGEIF('Daily KPI'!$D:$D,$A15,'Daily KPI'!O:O),"")</f>
        <v/>
      </c>
      <c r="O15" s="72">
        <v>0.999</v>
      </c>
      <c r="P15" s="73" t="str">
        <f>IFERROR(AVERAGEIF('Daily KPI'!$D:$D,$A15,'Daily KPI'!T:T),"")</f>
        <v/>
      </c>
    </row>
    <row r="16" spans="1:16">
      <c r="A16" s="69">
        <v>45962</v>
      </c>
      <c r="B16" s="70">
        <f>IFERROR(_xlfn.XLOOKUP($A16,'Modelling New'!$D:$D,'Modelling New'!$Q:$Q),"")</f>
        <v>0</v>
      </c>
      <c r="C16" s="70">
        <f>_xlfn.XLOOKUP($A16,'Modelling New'!$D:$D,'Modelling New'!$R:$R)</f>
        <v>0</v>
      </c>
      <c r="D16" s="71">
        <f>SUMIF('Daily KPI'!$D:$D,$A16,'Daily KPI'!$I:$I)</f>
        <v>0</v>
      </c>
      <c r="E16" s="70">
        <f>_xlfn.XLOOKUP($A16,'Modelling New'!$D:$D,'Modelling New'!$U:$U)</f>
        <v>0</v>
      </c>
      <c r="F16" s="71">
        <f>SUMIF('Daily KPI'!$D:$D,$A16,'Daily KPI'!$AA:$AA)/1000</f>
        <v>0</v>
      </c>
      <c r="G16" s="72" t="str">
        <f>IFERROR(E16/C16/'Modelling New'!$AP$1,"")</f>
        <v/>
      </c>
      <c r="H16" s="73" t="str">
        <f>IFERROR(F16/D16/'Modelling New'!$AP$1,"")</f>
        <v/>
      </c>
      <c r="I16" s="72" t="str">
        <f>IFERROR(E16/(B16*24*'Modelling New'!$AP$1),"")</f>
        <v/>
      </c>
      <c r="J16" s="73" t="str">
        <f>IFERROR(F16/(B16*24*'Modelling New'!$AP$1),"")</f>
        <v/>
      </c>
      <c r="K16" s="72">
        <f>_xlfn.XLOOKUP($A16,'Modelling New'!$D:$D,'Modelling New'!AE:AE)</f>
        <v>0.997</v>
      </c>
      <c r="L16" s="73" t="str">
        <f>IFERROR(AVERAGEIF('Daily KPI'!$D:$D,$A16,'Daily KPI'!$R:$R),"")</f>
        <v/>
      </c>
      <c r="M16" s="72">
        <v>0.995</v>
      </c>
      <c r="N16" s="73" t="str">
        <f>IFERROR(AVERAGEIF('Daily KPI'!$D:$D,$A16,'Daily KPI'!O:O),"")</f>
        <v/>
      </c>
      <c r="O16" s="72">
        <v>0.999</v>
      </c>
      <c r="P16" s="73" t="str">
        <f>IFERROR(AVERAGEIF('Daily KPI'!$D:$D,$A16,'Daily KPI'!T:T),"")</f>
        <v/>
      </c>
    </row>
    <row r="17" spans="1:16">
      <c r="A17" s="69">
        <v>45992</v>
      </c>
      <c r="B17" s="70">
        <f>IFERROR(_xlfn.XLOOKUP($A17,'Modelling New'!$D:$D,'Modelling New'!$Q:$Q),"")</f>
        <v>0</v>
      </c>
      <c r="C17" s="70">
        <f>_xlfn.XLOOKUP($A17,'Modelling New'!$D:$D,'Modelling New'!$R:$R)</f>
        <v>0</v>
      </c>
      <c r="D17" s="71">
        <f>SUMIF('Daily KPI'!$D:$D,$A17,'Daily KPI'!$I:$I)</f>
        <v>0</v>
      </c>
      <c r="E17" s="70">
        <f>_xlfn.XLOOKUP($A17,'Modelling New'!$D:$D,'Modelling New'!$U:$U)</f>
        <v>0</v>
      </c>
      <c r="F17" s="71">
        <f>SUMIF('Daily KPI'!$D:$D,$A17,'Daily KPI'!$AA:$AA)/1000</f>
        <v>0</v>
      </c>
      <c r="G17" s="72" t="str">
        <f>IFERROR(E17/C17/'Modelling New'!$AP$1,"")</f>
        <v/>
      </c>
      <c r="H17" s="73" t="str">
        <f>IFERROR(F17/D17/'Modelling New'!$AP$1,"")</f>
        <v/>
      </c>
      <c r="I17" s="72" t="str">
        <f>IFERROR(E17/(B17*24*'Modelling New'!$AP$1),"")</f>
        <v/>
      </c>
      <c r="J17" s="73" t="str">
        <f>IFERROR(F17/(B17*24*'Modelling New'!$AP$1),"")</f>
        <v/>
      </c>
      <c r="K17" s="72">
        <f>_xlfn.XLOOKUP($A17,'Modelling New'!$D:$D,'Modelling New'!AE:AE)</f>
        <v>0.997</v>
      </c>
      <c r="L17" s="73" t="str">
        <f>IFERROR(AVERAGEIF('Daily KPI'!$D:$D,$A17,'Daily KPI'!$R:$R),"")</f>
        <v/>
      </c>
      <c r="M17" s="72">
        <v>0.995</v>
      </c>
      <c r="N17" s="73" t="str">
        <f>IFERROR(AVERAGEIF('Daily KPI'!$D:$D,$A17,'Daily KPI'!O:O),"")</f>
        <v/>
      </c>
      <c r="O17" s="72">
        <v>0.999</v>
      </c>
      <c r="P17" s="73" t="str">
        <f>IFERROR(AVERAGEIF('Daily KPI'!$D:$D,$A17,'Daily KPI'!T:T),"")</f>
        <v/>
      </c>
    </row>
    <row r="18" spans="1:16">
      <c r="A18" s="69">
        <v>46023</v>
      </c>
      <c r="B18" s="70">
        <f>IFERROR(_xlfn.XLOOKUP($A18,'Modelling New'!$D:$D,'Modelling New'!$Q:$Q),"")</f>
        <v>0</v>
      </c>
      <c r="C18" s="70">
        <f>_xlfn.XLOOKUP($A18,'Modelling New'!$D:$D,'Modelling New'!$R:$R)</f>
        <v>0</v>
      </c>
      <c r="D18" s="71">
        <f>SUMIF('Daily KPI'!$D:$D,$A18,'Daily KPI'!$I:$I)</f>
        <v>0</v>
      </c>
      <c r="E18" s="70">
        <f>_xlfn.XLOOKUP($A18,'Modelling New'!$D:$D,'Modelling New'!$U:$U)</f>
        <v>0</v>
      </c>
      <c r="F18" s="71">
        <f>SUMIF('Daily KPI'!$D:$D,$A18,'Daily KPI'!$AA:$AA)/1000</f>
        <v>0</v>
      </c>
      <c r="G18" s="72" t="str">
        <f>IFERROR(E18/C18/'Modelling New'!$AP$1,"")</f>
        <v/>
      </c>
      <c r="H18" s="73" t="str">
        <f>IFERROR(F18/D18/'Modelling New'!$AP$1,"")</f>
        <v/>
      </c>
      <c r="I18" s="72" t="str">
        <f>IFERROR(E18/(B18*24*'Modelling New'!$AP$1),"")</f>
        <v/>
      </c>
      <c r="J18" s="73" t="str">
        <f>IFERROR(F18/(B18*24*'Modelling New'!$AP$1),"")</f>
        <v/>
      </c>
      <c r="K18" s="72">
        <f>_xlfn.XLOOKUP($A18,'Modelling New'!$D:$D,'Modelling New'!AE:AE)</f>
        <v>0.997</v>
      </c>
      <c r="L18" s="73" t="str">
        <f>IFERROR(AVERAGEIF('Daily KPI'!$D:$D,$A18,'Daily KPI'!$R:$R),"")</f>
        <v/>
      </c>
      <c r="M18" s="72">
        <v>0.995</v>
      </c>
      <c r="N18" s="73" t="str">
        <f>IFERROR(AVERAGEIF('Daily KPI'!$D:$D,$A18,'Daily KPI'!O:O),"")</f>
        <v/>
      </c>
      <c r="O18" s="72">
        <v>0.999</v>
      </c>
      <c r="P18" s="73" t="str">
        <f>IFERROR(AVERAGEIF('Daily KPI'!$D:$D,$A18,'Daily KPI'!T:T),"")</f>
        <v/>
      </c>
    </row>
    <row r="19" spans="1:16">
      <c r="A19" s="69">
        <v>46054</v>
      </c>
      <c r="B19" s="70">
        <f>IFERROR(_xlfn.XLOOKUP($A19,'Modelling New'!$D:$D,'Modelling New'!$Q:$Q),"")</f>
        <v>0</v>
      </c>
      <c r="C19" s="70">
        <f>_xlfn.XLOOKUP($A19,'Modelling New'!$D:$D,'Modelling New'!$R:$R)</f>
        <v>0</v>
      </c>
      <c r="D19" s="71">
        <f>SUMIF('Daily KPI'!$D:$D,$A19,'Daily KPI'!$I:$I)</f>
        <v>0</v>
      </c>
      <c r="E19" s="70">
        <f>_xlfn.XLOOKUP($A19,'Modelling New'!$D:$D,'Modelling New'!$U:$U)</f>
        <v>0</v>
      </c>
      <c r="F19" s="71">
        <f>SUMIF('Daily KPI'!$D:$D,$A19,'Daily KPI'!$AA:$AA)/1000</f>
        <v>0</v>
      </c>
      <c r="G19" s="72" t="str">
        <f>IFERROR(E19/C19/'Modelling New'!$AP$1,"")</f>
        <v/>
      </c>
      <c r="H19" s="73" t="str">
        <f>IFERROR(F19/D19/'Modelling New'!$AP$1,"")</f>
        <v/>
      </c>
      <c r="I19" s="72" t="str">
        <f>IFERROR(E19/(B19*24*'Modelling New'!$AP$1),"")</f>
        <v/>
      </c>
      <c r="J19" s="73" t="str">
        <f>IFERROR(F19/(B19*24*'Modelling New'!$AP$1),"")</f>
        <v/>
      </c>
      <c r="K19" s="72">
        <f>_xlfn.XLOOKUP($A19,'Modelling New'!$D:$D,'Modelling New'!AE:AE)</f>
        <v>0.997</v>
      </c>
      <c r="L19" s="73" t="str">
        <f>IFERROR(AVERAGEIF('Daily KPI'!$D:$D,$A19,'Daily KPI'!$R:$R),"")</f>
        <v/>
      </c>
      <c r="M19" s="72">
        <v>0.995</v>
      </c>
      <c r="N19" s="73" t="str">
        <f>IFERROR(AVERAGEIF('Daily KPI'!$D:$D,$A19,'Daily KPI'!O:O),"")</f>
        <v/>
      </c>
      <c r="O19" s="72">
        <v>0.999</v>
      </c>
      <c r="P19" s="73" t="str">
        <f>IFERROR(AVERAGEIF('Daily KPI'!$D:$D,$A19,'Daily KPI'!T:T),"")</f>
        <v/>
      </c>
    </row>
    <row r="20" spans="1:16">
      <c r="A20" s="69">
        <v>46082</v>
      </c>
      <c r="B20" s="70">
        <f>IFERROR(_xlfn.XLOOKUP($A20,'Modelling New'!$D:$D,'Modelling New'!$Q:$Q),"")</f>
        <v>0</v>
      </c>
      <c r="C20" s="70">
        <f>_xlfn.XLOOKUP($A20,'Modelling New'!$D:$D,'Modelling New'!$R:$R)</f>
        <v>0</v>
      </c>
      <c r="D20" s="71">
        <f>SUMIF('Daily KPI'!$D:$D,$A20,'Daily KPI'!$I:$I)</f>
        <v>0</v>
      </c>
      <c r="E20" s="70">
        <f>_xlfn.XLOOKUP($A20,'Modelling New'!$D:$D,'Modelling New'!$U:$U)</f>
        <v>0</v>
      </c>
      <c r="F20" s="71">
        <f>SUMIF('Daily KPI'!$D:$D,$A20,'Daily KPI'!$AA:$AA)/1000</f>
        <v>0</v>
      </c>
      <c r="G20" s="72" t="str">
        <f>IFERROR(E20/C20/'Modelling New'!$AP$1,"")</f>
        <v/>
      </c>
      <c r="H20" s="73" t="str">
        <f>IFERROR(F20/D20/'Modelling New'!$AP$1,"")</f>
        <v/>
      </c>
      <c r="I20" s="72" t="str">
        <f>IFERROR(E20/(B20*24*'Modelling New'!$AP$1),"")</f>
        <v/>
      </c>
      <c r="J20" s="73" t="str">
        <f>IFERROR(F20/(B20*24*'Modelling New'!$AP$1),"")</f>
        <v/>
      </c>
      <c r="K20" s="72">
        <f>_xlfn.XLOOKUP($A20,'Modelling New'!$D:$D,'Modelling New'!AE:AE)</f>
        <v>0.997</v>
      </c>
      <c r="L20" s="73" t="str">
        <f>IFERROR(AVERAGEIF('Daily KPI'!$D:$D,$A20,'Daily KPI'!$R:$R),"")</f>
        <v/>
      </c>
      <c r="M20" s="72">
        <v>0.995</v>
      </c>
      <c r="N20" s="73" t="str">
        <f>IFERROR(AVERAGEIF('Daily KPI'!$D:$D,$A20,'Daily KPI'!O:O),"")</f>
        <v/>
      </c>
      <c r="O20" s="72">
        <v>0.999</v>
      </c>
      <c r="P20" s="73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D5" sqref="D5"/>
    </sheetView>
  </sheetViews>
  <sheetFormatPr defaultColWidth="9" defaultRowHeight="15"/>
  <cols>
    <col min="2" max="2" width="10.140625" bestFit="1" customWidth="1"/>
    <col min="3" max="3" width="14" customWidth="1"/>
    <col min="4" max="4" width="12" customWidth="1"/>
    <col min="5" max="5" width="12.42578125" customWidth="1"/>
    <col min="6" max="6" width="13.5703125" customWidth="1"/>
    <col min="8" max="8" width="9.42578125" customWidth="1"/>
    <col min="9" max="9" width="10.42578125" customWidth="1"/>
    <col min="10" max="10" width="11.140625" customWidth="1"/>
    <col min="12" max="12" width="9.42578125" customWidth="1"/>
    <col min="14" max="14" width="10.42578125" customWidth="1"/>
    <col min="15" max="15" width="9.42578125" customWidth="1"/>
    <col min="16" max="16" width="9.85546875" customWidth="1"/>
  </cols>
  <sheetData>
    <row r="1" spans="1:16">
      <c r="A1" s="84" t="s">
        <v>62</v>
      </c>
      <c r="B1" s="85">
        <f>'Daily Dashboard'!B3</f>
        <v>45873</v>
      </c>
    </row>
    <row r="2" spans="1:16" ht="20.45" customHeight="1">
      <c r="A2" s="350" t="s">
        <v>63</v>
      </c>
      <c r="B2" s="350"/>
      <c r="C2" s="350"/>
      <c r="D2" s="350"/>
      <c r="E2" s="350"/>
      <c r="F2" s="350"/>
      <c r="G2" s="350"/>
      <c r="H2" s="350"/>
      <c r="I2" s="350"/>
      <c r="J2" s="350"/>
      <c r="K2" s="350"/>
      <c r="L2" s="350"/>
      <c r="M2" s="350"/>
      <c r="N2" s="350"/>
      <c r="O2" s="350"/>
      <c r="P2" s="350"/>
    </row>
    <row r="3" spans="1:16" ht="45">
      <c r="A3" s="67" t="s">
        <v>80</v>
      </c>
      <c r="B3" s="67" t="s">
        <v>65</v>
      </c>
      <c r="C3" s="68" t="s">
        <v>66</v>
      </c>
      <c r="D3" s="68" t="s">
        <v>67</v>
      </c>
      <c r="E3" s="68" t="s">
        <v>68</v>
      </c>
      <c r="F3" s="68" t="s">
        <v>69</v>
      </c>
      <c r="G3" s="68" t="s">
        <v>70</v>
      </c>
      <c r="H3" s="68" t="s">
        <v>71</v>
      </c>
      <c r="I3" s="68" t="s">
        <v>72</v>
      </c>
      <c r="J3" s="68" t="s">
        <v>73</v>
      </c>
      <c r="K3" s="68" t="s">
        <v>74</v>
      </c>
      <c r="L3" s="68" t="s">
        <v>75</v>
      </c>
      <c r="M3" s="68" t="s">
        <v>76</v>
      </c>
      <c r="N3" s="68" t="s">
        <v>77</v>
      </c>
      <c r="O3" s="68" t="s">
        <v>78</v>
      </c>
      <c r="P3" s="68" t="s">
        <v>79</v>
      </c>
    </row>
    <row r="4" spans="1:16">
      <c r="A4" s="69">
        <f>'Daily Dashboard'!$B$2</f>
        <v>45870</v>
      </c>
      <c r="B4" s="70">
        <f>DAY(B1)</f>
        <v>4</v>
      </c>
      <c r="C4" s="70">
        <f>_xlfn.XLOOKUP($A4,'Modelling New'!$D:$D,'Modelling New'!R:R)</f>
        <v>17.787037014451613</v>
      </c>
      <c r="D4" s="169">
        <f>SUMIF('Daily KPI'!$D:$D,A4,'Daily KPI'!I:I)</f>
        <v>19.64</v>
      </c>
      <c r="E4" s="70">
        <f>_xlfn.XLOOKUP($A4,'Modelling New'!$D:$D,'Modelling New'!U:U)</f>
        <v>132.04902709989264</v>
      </c>
      <c r="F4" s="71">
        <f>SUMIF('Daily KPI'!$D:$D,'Monthly KPI'!$A4,'Daily KPI'!AA:AA)/1000</f>
        <v>148.7674999999947</v>
      </c>
      <c r="G4" s="72">
        <f>IFERROR(E4/C4/'Modelling New'!$AP$1,"")</f>
        <v>0.70656621050862611</v>
      </c>
      <c r="H4" s="73">
        <f>IFERROR(F4/D4/'Modelling New'!$AP$1,"")</f>
        <v>0.72092128669139932</v>
      </c>
      <c r="I4" s="72">
        <f>IFERROR(E4/(B4*24*'Modelling New'!$AP$1),"")</f>
        <v>0.13091374311955981</v>
      </c>
      <c r="J4" s="73">
        <f>IFERROR(F4/(B4*24*'Modelling New'!$AP$1),"")</f>
        <v>0.14748847990228212</v>
      </c>
      <c r="K4" s="147">
        <f>_xlfn.XLOOKUP($A4,'Modelling New'!D:D,'Modelling New'!AE:AE)</f>
        <v>0.997</v>
      </c>
      <c r="L4" s="73">
        <f>IFERROR(AVERAGEIF('Daily KPI'!$D:$D,'Monthly KPI'!$A4,'Daily KPI'!R:R),"")</f>
        <v>1</v>
      </c>
      <c r="M4" s="72">
        <f>_xlfn.XLOOKUP($A4,'Modelling New'!D:D,'Modelling New'!AD:AD)</f>
        <v>0.995</v>
      </c>
      <c r="N4" s="73">
        <f>IFERROR(AVERAGEIF('Daily KPI'!$D:$D,'Monthly KPI'!$A4,'Daily KPI'!O:O),"")</f>
        <v>0.99250943521921897</v>
      </c>
      <c r="O4" s="72">
        <f>_xlfn.XLOOKUP($A4,'Modelling New'!$D:$D,'Modelling New'!AF:AF)</f>
        <v>0.999</v>
      </c>
      <c r="P4" s="73">
        <f>IFERROR(AVERAGEIF('Daily KPI'!$D:$D,'Monthly KPI'!$A4,'Daily KPI'!T:T),"")</f>
        <v>1</v>
      </c>
    </row>
    <row r="5" spans="1:16">
      <c r="D5" s="74"/>
      <c r="F5" s="74"/>
    </row>
    <row r="6" spans="1:16">
      <c r="D6" s="74"/>
      <c r="F6" s="74"/>
    </row>
    <row r="7" spans="1:16">
      <c r="A7" s="84" t="s">
        <v>136</v>
      </c>
      <c r="B7" s="85">
        <f>B8-6</f>
        <v>45867</v>
      </c>
      <c r="D7" s="74"/>
      <c r="F7" s="74"/>
    </row>
    <row r="8" spans="1:16">
      <c r="A8" s="84" t="s">
        <v>137</v>
      </c>
      <c r="B8" s="85">
        <f>B1</f>
        <v>45873</v>
      </c>
    </row>
    <row r="9" spans="1:16" ht="21">
      <c r="A9" s="350" t="s">
        <v>63</v>
      </c>
      <c r="B9" s="350"/>
      <c r="C9" s="350"/>
      <c r="D9" s="350"/>
      <c r="E9" s="350"/>
      <c r="F9" s="350"/>
      <c r="G9" s="350"/>
      <c r="H9" s="350"/>
      <c r="I9" s="350"/>
      <c r="J9" s="350"/>
      <c r="K9" s="350"/>
      <c r="L9" s="350"/>
      <c r="M9" s="350"/>
      <c r="N9" s="350"/>
      <c r="O9" s="350"/>
      <c r="P9" s="350"/>
    </row>
    <row r="10" spans="1:16" ht="45">
      <c r="A10" s="67" t="s">
        <v>80</v>
      </c>
      <c r="B10" s="67" t="s">
        <v>65</v>
      </c>
      <c r="C10" s="68" t="s">
        <v>66</v>
      </c>
      <c r="D10" s="68" t="s">
        <v>67</v>
      </c>
      <c r="E10" s="68" t="s">
        <v>68</v>
      </c>
      <c r="F10" s="68" t="s">
        <v>69</v>
      </c>
      <c r="G10" s="68" t="s">
        <v>70</v>
      </c>
      <c r="H10" s="68" t="s">
        <v>71</v>
      </c>
      <c r="I10" s="68" t="s">
        <v>72</v>
      </c>
      <c r="J10" s="68" t="s">
        <v>73</v>
      </c>
      <c r="K10" s="68" t="s">
        <v>74</v>
      </c>
      <c r="L10" s="68" t="s">
        <v>75</v>
      </c>
      <c r="M10" s="68" t="s">
        <v>76</v>
      </c>
      <c r="N10" s="68" t="s">
        <v>77</v>
      </c>
      <c r="O10" s="68" t="s">
        <v>78</v>
      </c>
      <c r="P10" s="68" t="s">
        <v>79</v>
      </c>
    </row>
    <row r="11" spans="1:16">
      <c r="A11" s="69">
        <f>A4</f>
        <v>45870</v>
      </c>
      <c r="B11" s="70">
        <f>(B8-B7)+1</f>
        <v>7</v>
      </c>
      <c r="C11" s="70">
        <f>SUMIFS('Daily KPI'!AC:AC,'Daily KPI'!$A:$A,"&gt;="&amp;$B$7,'Daily KPI'!$A:$A,"&lt;="&amp;$B$8)</f>
        <v>30.595375730580649</v>
      </c>
      <c r="D11" s="71">
        <f>SUMIFS('Daily KPI'!I:I,'Daily KPI'!$A:$A,"&gt;="&amp;$B$7,'Daily KPI'!$A:$A,"&lt;="&amp;$B$8)</f>
        <v>29.78</v>
      </c>
      <c r="E11" s="70">
        <f>SUMIFS('Daily KPI'!AD:AD,'Daily KPI'!$A:$A,"&gt;="&amp;$B$7,'Daily KPI'!$A:$A,"&lt;="&amp;$B$8)/1000</f>
        <v>226.32441423611402</v>
      </c>
      <c r="F11" s="71">
        <f>SUMIFS('Daily KPI'!AA:AA,'Daily KPI'!$A:$A,"&gt;="&amp;$B$7,'Daily KPI'!$A:$A,"&lt;="&amp;$B$8)/1000</f>
        <v>228.29705999999283</v>
      </c>
      <c r="G11" s="72">
        <f>IFERROR(E11/C11/'Modelling New'!$AP$1,"")</f>
        <v>0.70403926648312887</v>
      </c>
      <c r="H11" s="73">
        <f>IFERROR(F11/D11/'Modelling New'!$AP$1,"")</f>
        <v>0.72962027361845383</v>
      </c>
      <c r="I11" s="72">
        <f>IFERROR(E11/(B11*24*'Modelling New'!$AP$1),"")</f>
        <v>0.12821634456627215</v>
      </c>
      <c r="J11" s="73">
        <f>IFERROR(F11/(B11*24*'Modelling New'!$AP$1),"")</f>
        <v>0.12933387945450925</v>
      </c>
      <c r="K11" s="72">
        <f>_xlfn.XLOOKUP($A11,'Modelling New'!$D:$D,'Modelling New'!AE:AE)</f>
        <v>0.997</v>
      </c>
      <c r="L11" s="73">
        <f>AVERAGEIFS('Daily KPI'!R:R,'Daily KPI'!$A:$A,"&gt;="&amp;$B$7,'Daily KPI'!$A:$A,"&lt;="&amp;$B$8)</f>
        <v>1</v>
      </c>
      <c r="M11" s="72">
        <f>_xlfn.XLOOKUP($A11,'Modelling New'!$D:$D,'Modelling New'!AD:AD)</f>
        <v>0.995</v>
      </c>
      <c r="N11" s="73">
        <f>AVERAGEIFS('Daily KPI'!O:O,'Daily KPI'!$A:$A,"&gt;="&amp;$B$7,'Daily KPI'!$A:$A,"&lt;="&amp;$B$8)</f>
        <v>0.99571967726812516</v>
      </c>
      <c r="O11" s="72">
        <f>_xlfn.XLOOKUP($A11,'Modelling New'!D:D,'Modelling New'!AF:AF)</f>
        <v>0.999</v>
      </c>
      <c r="P11" s="73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sheetPr codeName="Sheet8"/>
  <dimension ref="A1:AV279"/>
  <sheetViews>
    <sheetView workbookViewId="0">
      <pane xSplit="1" ySplit="1" topLeftCell="B122" activePane="bottomRight" state="frozen"/>
      <selection activeCell="I9" sqref="I9"/>
      <selection pane="topRight" activeCell="I9" sqref="I9"/>
      <selection pane="bottomLeft" activeCell="I9" sqref="I9"/>
      <selection pane="bottomRight" activeCell="O127" sqref="O127"/>
    </sheetView>
  </sheetViews>
  <sheetFormatPr defaultColWidth="8.85546875" defaultRowHeight="1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44" width="11.42578125" customWidth="1"/>
    <col min="46" max="48" width="11.42578125" customWidth="1"/>
  </cols>
  <sheetData>
    <row r="1" spans="1:48" ht="60">
      <c r="A1" s="173" t="s">
        <v>36</v>
      </c>
      <c r="B1" s="174" t="s">
        <v>64</v>
      </c>
      <c r="C1" s="174" t="s">
        <v>138</v>
      </c>
      <c r="D1" s="174" t="s">
        <v>139</v>
      </c>
      <c r="E1" s="174" t="s">
        <v>65</v>
      </c>
      <c r="F1" s="175" t="s">
        <v>140</v>
      </c>
      <c r="G1" s="175" t="s">
        <v>141</v>
      </c>
      <c r="H1" s="175" t="s">
        <v>142</v>
      </c>
      <c r="I1" s="175" t="s">
        <v>143</v>
      </c>
      <c r="J1" s="175" t="s">
        <v>144</v>
      </c>
      <c r="K1" s="175" t="s">
        <v>145</v>
      </c>
      <c r="L1" s="175" t="s">
        <v>146</v>
      </c>
      <c r="M1" s="175" t="s">
        <v>147</v>
      </c>
      <c r="N1" s="175" t="s">
        <v>148</v>
      </c>
      <c r="O1" s="175" t="s">
        <v>149</v>
      </c>
      <c r="P1" s="175" t="s">
        <v>150</v>
      </c>
      <c r="Q1" s="175" t="s">
        <v>151</v>
      </c>
      <c r="R1" s="175" t="s">
        <v>152</v>
      </c>
      <c r="S1" s="175" t="s">
        <v>153</v>
      </c>
      <c r="T1" s="175" t="s">
        <v>154</v>
      </c>
      <c r="U1" s="175" t="s">
        <v>155</v>
      </c>
      <c r="V1" s="175" t="s">
        <v>156</v>
      </c>
      <c r="W1" s="175" t="s">
        <v>157</v>
      </c>
      <c r="X1" s="175" t="s">
        <v>158</v>
      </c>
      <c r="Y1" s="175" t="s">
        <v>159</v>
      </c>
      <c r="Z1" s="175" t="s">
        <v>160</v>
      </c>
      <c r="AA1" s="175" t="s">
        <v>161</v>
      </c>
      <c r="AB1" s="175" t="s">
        <v>162</v>
      </c>
      <c r="AC1" s="175" t="s">
        <v>163</v>
      </c>
      <c r="AD1" s="175" t="s">
        <v>164</v>
      </c>
      <c r="AE1" s="175" t="s">
        <v>165</v>
      </c>
      <c r="AF1" s="175" t="s">
        <v>166</v>
      </c>
      <c r="AG1" s="175" t="s">
        <v>167</v>
      </c>
      <c r="AH1" s="175" t="s">
        <v>168</v>
      </c>
      <c r="AI1" s="175" t="s">
        <v>169</v>
      </c>
      <c r="AJ1" s="175" t="s">
        <v>170</v>
      </c>
      <c r="AK1" s="175" t="s">
        <v>171</v>
      </c>
      <c r="AL1" s="175" t="s">
        <v>172</v>
      </c>
      <c r="AM1" s="175" t="s">
        <v>173</v>
      </c>
      <c r="AN1" s="175" t="s">
        <v>174</v>
      </c>
      <c r="AO1" s="175" t="s">
        <v>175</v>
      </c>
      <c r="AP1" s="175" t="s">
        <v>176</v>
      </c>
      <c r="AQ1" s="175" t="s">
        <v>177</v>
      </c>
      <c r="AR1" s="175" t="s">
        <v>115</v>
      </c>
      <c r="AS1" s="175" t="s">
        <v>116</v>
      </c>
      <c r="AT1" s="175" t="s">
        <v>1707</v>
      </c>
      <c r="AU1" s="175" t="s">
        <v>1708</v>
      </c>
      <c r="AV1" s="175" t="s">
        <v>1709</v>
      </c>
    </row>
    <row r="2" spans="1:48">
      <c r="A2" s="66">
        <v>45745</v>
      </c>
      <c r="B2" s="38">
        <f>YEAR(Table13[[#This Row],[Date]])+IF(MONTH(Table13[[#This Row],[Date]])&gt;=4,1,0)</f>
        <v>2025</v>
      </c>
      <c r="C2" s="17">
        <f>YEAR(Table13[[#This Row],[Date]])</f>
        <v>2025</v>
      </c>
      <c r="D2" s="37">
        <f>Table13[[#This Row],[Date]]-DAY(Table13[[#This Row],[Date]])+1</f>
        <v>45717</v>
      </c>
      <c r="E2" s="17">
        <f t="shared" ref="E2:E5" si="0">DAY(EOMONTH(A2,0))</f>
        <v>31</v>
      </c>
      <c r="F2" s="135" cm="1">
        <f t="array" ref="F2">IFERROR(_xlfn.XLOOKUP(Table13[[#This Row],[Date]],Raw_Data[[#All],[Date]],Raw_Data[[#All],[Operating Hours]]),"")</f>
        <v>12</v>
      </c>
      <c r="G2" s="24">
        <f>IFERROR(_xlfn.XLOOKUP($A2,'Raw Data'!$G:$G,'Raw Data'!S:S)/1000,"")</f>
        <v>6.6</v>
      </c>
      <c r="H2" s="24"/>
      <c r="I2" s="24">
        <f>IFERROR(_xlfn.XLOOKUP($A2,'Raw Data'!$G:$G,'Raw Data'!AF:AF)/1000,"")</f>
        <v>7.375</v>
      </c>
      <c r="J2" s="24"/>
      <c r="K2" s="137">
        <f>IFERROR(_xlfn.XLOOKUP($A2,'Raw Data'!$G:$G,'Raw Data'!W:W),"")</f>
        <v>30.493778334179805</v>
      </c>
      <c r="L2" s="136">
        <f>IFERROR(_xlfn.XLOOKUP($A2,'Raw Data'!$G:$G,'Raw Data'!X:X),"")</f>
        <v>46.458635738124144</v>
      </c>
      <c r="M2" s="136">
        <f>IFERROR(_xlfn.XLOOKUP($A2,'Raw Data'!$G:$G,'Raw Data'!Y:Y),"")</f>
        <v>0.67533815142260123</v>
      </c>
      <c r="N2" s="136">
        <f>IFERROR(_xlfn.XLOOKUP($A2,'Raw Data'!$G:$G,'Raw Data'!Z:Z),"")</f>
        <v>0.69938041766484582</v>
      </c>
      <c r="O2" s="176" t="str">
        <f>IFERROR(1-SUMIF('Plant BD'!$B:$B,$A2,'Plant BD'!$AM:$AM)/($AA2+SUMIF('Plant BD'!$B:$B,$A2,'Plant BD'!$AM:$AM)),"")</f>
        <v/>
      </c>
      <c r="P2" s="176"/>
      <c r="Q2" s="177"/>
      <c r="R2" s="179" t="str">
        <f>IFERROR(1-SUMIF('Grid BD'!$B:$B,$A2,'Grid BD'!$AE:$AE)/($AA2+SUMIF('Grid BD'!$B:$B,$A2,'Grid BD'!$AE:$AE)),"")</f>
        <v/>
      </c>
      <c r="S2" s="17"/>
      <c r="T2" s="177">
        <f>IFERROR(1-SUMIF(Tracker_BD!H:H,$A2,Tracker_BD!AI:AI)/$F2,"")</f>
        <v>1</v>
      </c>
      <c r="U2" s="178" t="str">
        <f t="shared" ref="U2:U60" si="1">IFERROR(AA2/(I2*1000)/AB2,"")</f>
        <v/>
      </c>
      <c r="V2" s="17"/>
      <c r="W2" s="164" t="str">
        <f t="shared" ref="W2:W60" si="2">IFERROR(AA2/(24*1000*AR2),"")</f>
        <v/>
      </c>
      <c r="X2" s="17">
        <f>IFERROR(_xlfn.XLOOKUP($A2,'Raw Data'!$G:$G,'Raw Data'!AB:AB),"")</f>
        <v>51086</v>
      </c>
      <c r="Y2" s="17" t="str">
        <f>IFERROR(_xlfn.XLOOKUP($A2,'Raw Data'!$G:$G,'Raw Data'!AC:AC),"")</f>
        <v/>
      </c>
      <c r="Z2" s="38" t="str">
        <f>IFERROR(_xlfn.XLOOKUP($A2,'Raw Data'!$G:$G,'Raw Data'!AD:AD),"")</f>
        <v/>
      </c>
      <c r="AA2" s="38" t="str">
        <f>IFERROR(_xlfn.XLOOKUP($A2,'Raw Data'!$G:$G,'Raw Data'!AE:AE)*(1+(_xlfn.XLOOKUP(Table13[[#This Row],[Month Year]],JMR!$A:$A,JMR!$J:$J))),"")</f>
        <v/>
      </c>
      <c r="AB2" s="17">
        <f>_xlfn.XLOOKUP($D2,'Modelling New'!D:D,'Modelling New'!N:N)</f>
        <v>10.507</v>
      </c>
      <c r="AC2" s="24">
        <f>IFERROR(_xlfn.XLOOKUP($D2,'Modelling New'!$D:$D,'Modelling New'!P:P),"")</f>
        <v>7.980066321870968</v>
      </c>
      <c r="AD2" s="38">
        <f>IFERROR(_xlfn.XLOOKUP($D2,'Modelling New'!$D:$D,'Modelling New'!T:T)*1000,"")</f>
        <v>58906.451612903234</v>
      </c>
      <c r="AE2" s="164">
        <f t="shared" ref="AE2:AE60" si="3">IFERROR(AD2/AC2/AB2/1000,"")</f>
        <v>0.70255063332621537</v>
      </c>
      <c r="AF2" s="164">
        <f>IFERROR(_xlfn.XLOOKUP($D2,'Modelling New'!$D:$D,'Modelling New'!W:W),"")</f>
        <v>0.23360002701731875</v>
      </c>
      <c r="AG2" s="164">
        <f>IFERROR(_xlfn.XLOOKUP($D2,'Modelling New'!$D:$D,'Modelling New'!AD:AD),"")</f>
        <v>0.995</v>
      </c>
      <c r="AH2" s="164">
        <f>IFERROR(_xlfn.XLOOKUP($D2,'Modelling New'!$D:$D,'Modelling New'!AE:AE),"")</f>
        <v>0.997</v>
      </c>
      <c r="AI2" s="17"/>
      <c r="AJ2" s="17"/>
      <c r="AK2" s="17"/>
      <c r="AL2" s="17"/>
      <c r="AM2" s="17"/>
      <c r="AN2" s="164"/>
      <c r="AO2" s="164"/>
      <c r="AP2" s="164"/>
      <c r="AQ2" s="164"/>
      <c r="AR2" s="38">
        <f>IFERROR(_xlfn.XLOOKUP($D2,'Modelling New'!$D:$D,'Modelling New'!$N:$N),"")</f>
        <v>10.507</v>
      </c>
      <c r="AS2" s="38"/>
      <c r="AT2" s="38">
        <f>IFERROR(_xlfn.XLOOKUP(Table13[[#This Row],[Date]],'Raw Data'!$G:$G,'Raw Data'!$AJ:$AJ),"")</f>
        <v>0</v>
      </c>
      <c r="AU2" s="38">
        <f>IFERROR(_xlfn.XLOOKUP(Table13[[#This Row],[Month Year]],'Modelling New'!$D:$D,'Modelling New'!$AN:$AN),"")</f>
        <v>10</v>
      </c>
      <c r="AV2" s="38">
        <f>SUMIF('Curtailment records'!$C:$C,Table13[[#This Row],[Date]],'Curtailment records'!$R:$R)/1000</f>
        <v>0</v>
      </c>
    </row>
    <row r="3" spans="1:48">
      <c r="A3" s="66">
        <f t="shared" ref="A3:A5" si="4">A2+1</f>
        <v>45746</v>
      </c>
      <c r="B3" s="38">
        <f>YEAR(Table13[[#This Row],[Date]])+IF(MONTH(Table13[[#This Row],[Date]])&gt;=4,1,0)</f>
        <v>2025</v>
      </c>
      <c r="C3" s="17">
        <f>YEAR(Table13[[#This Row],[Date]])</f>
        <v>2025</v>
      </c>
      <c r="D3" s="37">
        <f>Table13[[#This Row],[Date]]-DAY(Table13[[#This Row],[Date]])+1</f>
        <v>45717</v>
      </c>
      <c r="E3" s="17">
        <f t="shared" si="0"/>
        <v>31</v>
      </c>
      <c r="F3" s="135" cm="1">
        <f t="array" ref="F3">IFERROR(_xlfn.XLOOKUP(Table13[[#This Row],[Date]],Raw_Data[[#All],[Date]],Raw_Data[[#All],[Operating Hours]]),"")</f>
        <v>12.016666666666669</v>
      </c>
      <c r="G3" s="136">
        <f>IFERROR(_xlfn.XLOOKUP($A3,'Raw Data'!$G:$G,'Raw Data'!S:S)/1000,"")</f>
        <v>6.48</v>
      </c>
      <c r="H3" s="136"/>
      <c r="I3" s="136">
        <f>IFERROR(_xlfn.XLOOKUP($A3,'Raw Data'!$G:$G,'Raw Data'!AF:AF)/1000,"")</f>
        <v>7.35</v>
      </c>
      <c r="J3" s="136"/>
      <c r="K3" s="137">
        <f>IFERROR(_xlfn.XLOOKUP($A3,'Raw Data'!$G:$G,'Raw Data'!W:W),"")</f>
        <v>30.195025294022972</v>
      </c>
      <c r="L3" s="136">
        <f>IFERROR(_xlfn.XLOOKUP($A3,'Raw Data'!$G:$G,'Raw Data'!X:X),"")</f>
        <v>46.433191315288987</v>
      </c>
      <c r="M3" s="136">
        <f>IFERROR(_xlfn.XLOOKUP($A3,'Raw Data'!$G:$G,'Raw Data'!Y:Y),"")</f>
        <v>0.77068708417240572</v>
      </c>
      <c r="N3" s="136">
        <f>IFERROR(_xlfn.XLOOKUP($A3,'Raw Data'!$G:$G,'Raw Data'!Z:Z),"")</f>
        <v>3.0955795844395957</v>
      </c>
      <c r="O3" s="176" t="str">
        <f>IFERROR(1-SUMIF('Plant BD'!$B:$B,$A3,'Plant BD'!$AM:$AM)/($AA3+SUMIF('Plant BD'!$B:$B,$A3,'Plant BD'!$AM:$AM)),"")</f>
        <v/>
      </c>
      <c r="P3" s="176"/>
      <c r="Q3" s="177"/>
      <c r="R3" s="176" t="str">
        <f>IFERROR(1-SUMIF('Grid BD'!$B:$B,$A3,'Grid BD'!$AE:$AE)/($AA3+SUMIF('Grid BD'!$B:$B,$A3,'Grid BD'!$AE:$AE)),"")</f>
        <v/>
      </c>
      <c r="S3" s="17"/>
      <c r="T3" s="177">
        <f>IFERROR(1-SUMIF(Tracker_BD!H:H,$A3,Tracker_BD!AI:AI)/$F3,"")</f>
        <v>1</v>
      </c>
      <c r="U3" s="178" t="str">
        <f t="shared" si="1"/>
        <v/>
      </c>
      <c r="V3" s="17"/>
      <c r="W3" s="164" t="str">
        <f t="shared" si="2"/>
        <v/>
      </c>
      <c r="X3" s="17">
        <f>IFERROR(_xlfn.XLOOKUP($A3,'Raw Data'!$G:$G,'Raw Data'!AB:AB),"")</f>
        <v>50755</v>
      </c>
      <c r="Y3" s="17">
        <f>IFERROR(_xlfn.XLOOKUP($A3,'Raw Data'!$G:$G,'Raw Data'!AC:AC),"")</f>
        <v>53644.399999990128</v>
      </c>
      <c r="Z3" s="38">
        <f>IFERROR(_xlfn.XLOOKUP($A3,'Raw Data'!$G:$G,'Raw Data'!AD:AD),"")</f>
        <v>307.20000000009406</v>
      </c>
      <c r="AA3" s="38" t="str">
        <f>IFERROR(_xlfn.XLOOKUP($A3,'Raw Data'!$G:$G,'Raw Data'!AE:AE)*(1+(_xlfn.XLOOKUP(Table13[[#This Row],[Month Year]],JMR!$A:$A,JMR!$J:$J))),"")</f>
        <v/>
      </c>
      <c r="AB3" s="17">
        <f>_xlfn.XLOOKUP($D3,'Modelling New'!D:D,'Modelling New'!N:N)</f>
        <v>10.507</v>
      </c>
      <c r="AC3" s="24">
        <f>IFERROR(_xlfn.XLOOKUP($D3,'Modelling New'!$D:$D,'Modelling New'!P:P),"")</f>
        <v>7.980066321870968</v>
      </c>
      <c r="AD3" s="38">
        <f>IFERROR(_xlfn.XLOOKUP($D3,'Modelling New'!$D:$D,'Modelling New'!T:T)*1000,"")</f>
        <v>58906.451612903234</v>
      </c>
      <c r="AE3" s="164">
        <f t="shared" si="3"/>
        <v>0.70255063332621537</v>
      </c>
      <c r="AF3" s="164">
        <f>IFERROR(_xlfn.XLOOKUP($D3,'Modelling New'!$D:$D,'Modelling New'!W:W),"")</f>
        <v>0.23360002701731875</v>
      </c>
      <c r="AG3" s="164">
        <f>IFERROR(_xlfn.XLOOKUP($D3,'Modelling New'!$D:$D,'Modelling New'!AD:AD),"")</f>
        <v>0.995</v>
      </c>
      <c r="AH3" s="164">
        <f>IFERROR(_xlfn.XLOOKUP($D3,'Modelling New'!$D:$D,'Modelling New'!AE:AE),"")</f>
        <v>0.997</v>
      </c>
      <c r="AI3" s="17"/>
      <c r="AJ3" s="17"/>
      <c r="AK3" s="17"/>
      <c r="AL3" s="17"/>
      <c r="AM3" s="17"/>
      <c r="AN3" s="164"/>
      <c r="AO3" s="164"/>
      <c r="AP3" s="164"/>
      <c r="AQ3" s="164"/>
      <c r="AR3" s="38">
        <f>IFERROR(_xlfn.XLOOKUP($D3,'Modelling New'!$D:$D,'Modelling New'!$N:$N),"")</f>
        <v>10.507</v>
      </c>
      <c r="AS3" s="38"/>
      <c r="AT3" s="38">
        <f>IFERROR(_xlfn.XLOOKUP(Table13[[#This Row],[Date]],'Raw Data'!$G:$G,'Raw Data'!$AJ:$AJ),"")</f>
        <v>0</v>
      </c>
      <c r="AU3" s="38">
        <f>IFERROR(_xlfn.XLOOKUP(Table13[[#This Row],[Month Year]],'Modelling New'!$D:$D,'Modelling New'!$AN:$AN),"")</f>
        <v>10</v>
      </c>
      <c r="AV3" s="38">
        <f>SUMIF('Curtailment records'!$C:$C,Table13[[#This Row],[Date]],'Curtailment records'!$R:$R)/1000</f>
        <v>0</v>
      </c>
    </row>
    <row r="4" spans="1:48">
      <c r="A4" s="66">
        <f t="shared" si="4"/>
        <v>45747</v>
      </c>
      <c r="B4" s="38">
        <f>YEAR(Table13[[#This Row],[Date]])+IF(MONTH(Table13[[#This Row],[Date]])&gt;=4,1,0)</f>
        <v>2025</v>
      </c>
      <c r="C4" s="17">
        <f>YEAR(Table13[[#This Row],[Date]])</f>
        <v>2025</v>
      </c>
      <c r="D4" s="37">
        <f>Table13[[#This Row],[Date]]-DAY(Table13[[#This Row],[Date]])+1</f>
        <v>45717</v>
      </c>
      <c r="E4" s="17">
        <f t="shared" si="0"/>
        <v>31</v>
      </c>
      <c r="F4" s="135" cm="1">
        <f t="array" ref="F4">IFERROR(_xlfn.XLOOKUP(Table13[[#This Row],[Date]],Raw_Data[[#All],[Date]],Raw_Data[[#All],[Operating Hours]]),"")</f>
        <v>12.066666666666666</v>
      </c>
      <c r="G4" s="24">
        <f>IFERROR(_xlfn.XLOOKUP($A4,'Raw Data'!$G:$G,'Raw Data'!S:S)/1000,"")</f>
        <v>6.12</v>
      </c>
      <c r="H4" s="24"/>
      <c r="I4" s="24">
        <f>IFERROR(_xlfn.XLOOKUP($A4,'Raw Data'!$G:$G,'Raw Data'!AF:AF)/1000,"")</f>
        <v>6.55</v>
      </c>
      <c r="J4" s="24"/>
      <c r="K4" s="137">
        <f>IFERROR(_xlfn.XLOOKUP($A4,'Raw Data'!$G:$G,'Raw Data'!W:W),"")</f>
        <v>30.040434633803095</v>
      </c>
      <c r="L4" s="136">
        <f>IFERROR(_xlfn.XLOOKUP($A4,'Raw Data'!$G:$G,'Raw Data'!X:X),"")</f>
        <v>44.926700342638739</v>
      </c>
      <c r="M4" s="136">
        <f>IFERROR(_xlfn.XLOOKUP($A4,'Raw Data'!$G:$G,'Raw Data'!Y:Y),"")</f>
        <v>0.68876265272189863</v>
      </c>
      <c r="N4" s="136">
        <f>IFERROR(_xlfn.XLOOKUP($A4,'Raw Data'!$G:$G,'Raw Data'!Z:Z),"")</f>
        <v>3.2757179439067841</v>
      </c>
      <c r="O4" s="176" t="str">
        <f>IFERROR(1-SUMIF('Plant BD'!$B:$B,$A4,'Plant BD'!$AM:$AM)/($AA4+SUMIF('Plant BD'!$B:$B,$A4,'Plant BD'!$AM:$AM)),"")</f>
        <v/>
      </c>
      <c r="P4" s="176"/>
      <c r="Q4" s="177"/>
      <c r="R4" s="179" t="str">
        <f>IFERROR(1-SUMIF('Grid BD'!$B:$B,$A4,'Grid BD'!$AE:$AE)/($AA4+SUMIF('Grid BD'!$B:$B,$A4,'Grid BD'!$AE:$AE)),"")</f>
        <v/>
      </c>
      <c r="S4" s="17"/>
      <c r="T4" s="177">
        <f>IFERROR(1-SUMIF(Tracker_BD!H:H,$A4,Tracker_BD!AI:AI)/$F4,"")</f>
        <v>1</v>
      </c>
      <c r="U4" s="178" t="str">
        <f t="shared" si="1"/>
        <v/>
      </c>
      <c r="V4" s="17"/>
      <c r="W4" s="164" t="str">
        <f t="shared" si="2"/>
        <v/>
      </c>
      <c r="X4" s="17">
        <f>IFERROR(_xlfn.XLOOKUP($A4,'Raw Data'!$G:$G,'Raw Data'!AB:AB),"")</f>
        <v>46606</v>
      </c>
      <c r="Y4" s="17">
        <f>IFERROR(_xlfn.XLOOKUP($A4,'Raw Data'!$G:$G,'Raw Data'!AC:AC),"")</f>
        <v>48696.200000005774</v>
      </c>
      <c r="Z4" s="38">
        <f>IFERROR(_xlfn.XLOOKUP($A4,'Raw Data'!$G:$G,'Raw Data'!AD:AD),"")</f>
        <v>300.11999999995709</v>
      </c>
      <c r="AA4" s="38" t="str">
        <f>IFERROR(_xlfn.XLOOKUP($A4,'Raw Data'!$G:$G,'Raw Data'!AE:AE)*(1+(_xlfn.XLOOKUP(Table13[[#This Row],[Month Year]],JMR!$A:$A,JMR!$J:$J))),"")</f>
        <v/>
      </c>
      <c r="AB4" s="17">
        <f>_xlfn.XLOOKUP($D4,'Modelling New'!D:D,'Modelling New'!N:N)</f>
        <v>10.507</v>
      </c>
      <c r="AC4" s="24">
        <f>IFERROR(_xlfn.XLOOKUP($D4,'Modelling New'!$D:$D,'Modelling New'!P:P),"")</f>
        <v>7.980066321870968</v>
      </c>
      <c r="AD4" s="38">
        <f>IFERROR(_xlfn.XLOOKUP($D4,'Modelling New'!$D:$D,'Modelling New'!T:T)*1000,"")</f>
        <v>58906.451612903234</v>
      </c>
      <c r="AE4" s="164">
        <f t="shared" si="3"/>
        <v>0.70255063332621537</v>
      </c>
      <c r="AF4" s="164">
        <f>IFERROR(_xlfn.XLOOKUP($D4,'Modelling New'!$D:$D,'Modelling New'!W:W),"")</f>
        <v>0.23360002701731875</v>
      </c>
      <c r="AG4" s="164">
        <f>IFERROR(_xlfn.XLOOKUP($D4,'Modelling New'!$D:$D,'Modelling New'!AD:AD),"")</f>
        <v>0.995</v>
      </c>
      <c r="AH4" s="164">
        <f>IFERROR(_xlfn.XLOOKUP($D4,'Modelling New'!$D:$D,'Modelling New'!AE:AE),"")</f>
        <v>0.997</v>
      </c>
      <c r="AI4" s="17"/>
      <c r="AJ4" s="17"/>
      <c r="AK4" s="17"/>
      <c r="AL4" s="17"/>
      <c r="AM4" s="17"/>
      <c r="AN4" s="164"/>
      <c r="AO4" s="164"/>
      <c r="AP4" s="164"/>
      <c r="AQ4" s="164"/>
      <c r="AR4" s="38">
        <f>IFERROR(_xlfn.XLOOKUP($D4,'Modelling New'!$D:$D,'Modelling New'!$N:$N),"")</f>
        <v>10.507</v>
      </c>
      <c r="AS4" s="38"/>
      <c r="AT4" s="38">
        <f>IFERROR(_xlfn.XLOOKUP(Table13[[#This Row],[Date]],'Raw Data'!$G:$G,'Raw Data'!$AJ:$AJ),"")</f>
        <v>0</v>
      </c>
      <c r="AU4" s="38">
        <f>IFERROR(_xlfn.XLOOKUP(Table13[[#This Row],[Month Year]],'Modelling New'!$D:$D,'Modelling New'!$AN:$AN),"")</f>
        <v>10</v>
      </c>
      <c r="AV4" s="38">
        <f>SUMIF('Curtailment records'!$C:$C,Table13[[#This Row],[Date]],'Curtailment records'!$R:$R)/1000</f>
        <v>0</v>
      </c>
    </row>
    <row r="5" spans="1:48">
      <c r="A5" s="66">
        <f t="shared" si="4"/>
        <v>45748</v>
      </c>
      <c r="B5" s="38">
        <f>YEAR(Table13[[#This Row],[Date]])+IF(MONTH(Table13[[#This Row],[Date]])&gt;=4,1,0)</f>
        <v>2026</v>
      </c>
      <c r="C5" s="17">
        <f>YEAR(Table13[[#This Row],[Date]])</f>
        <v>2025</v>
      </c>
      <c r="D5" s="37">
        <f>Table13[[#This Row],[Date]]-DAY(Table13[[#This Row],[Date]])+1</f>
        <v>45748</v>
      </c>
      <c r="E5" s="17">
        <f t="shared" si="0"/>
        <v>30</v>
      </c>
      <c r="F5" s="135" cm="1">
        <f t="array" ref="F5">IFERROR(_xlfn.XLOOKUP(Table13[[#This Row],[Date]],Raw_Data[[#All],[Date]],Raw_Data[[#All],[Operating Hours]]),"")</f>
        <v>12.033333333333333</v>
      </c>
      <c r="G5" s="136">
        <f>IFERROR(_xlfn.XLOOKUP($A5,'Raw Data'!$G:$G,'Raw Data'!S:S)/1000,"")</f>
        <v>5.15</v>
      </c>
      <c r="H5" s="136"/>
      <c r="I5" s="136">
        <f>IFERROR(_xlfn.XLOOKUP($A5,'Raw Data'!$G:$G,'Raw Data'!AF:AF)/1000,"")</f>
        <v>5.39</v>
      </c>
      <c r="J5" s="136"/>
      <c r="K5" s="137">
        <f>IFERROR(_xlfn.XLOOKUP($A5,'Raw Data'!$G:$G,'Raw Data'!W:W),"")</f>
        <v>28.438176432059823</v>
      </c>
      <c r="L5" s="136">
        <f>IFERROR(_xlfn.XLOOKUP($A5,'Raw Data'!$G:$G,'Raw Data'!X:X),"")</f>
        <v>41.541824930939207</v>
      </c>
      <c r="M5" s="136">
        <f>IFERROR(_xlfn.XLOOKUP($A5,'Raw Data'!$G:$G,'Raw Data'!Y:Y),"")</f>
        <v>0.68870555603290118</v>
      </c>
      <c r="N5" s="136">
        <f>IFERROR(_xlfn.XLOOKUP($A5,'Raw Data'!$G:$G,'Raw Data'!Z:Z),"")</f>
        <v>0.78930177291234338</v>
      </c>
      <c r="O5" s="176">
        <f>IFERROR(1-SUMIF('Plant BD'!$B:$B,$A5,'Plant BD'!$AM:$AM)/($AA5+SUMIF('Plant BD'!$B:$B,$A5,'Plant BD'!$AM:$AM)),"")</f>
        <v>1</v>
      </c>
      <c r="P5" s="176"/>
      <c r="Q5" s="177"/>
      <c r="R5" s="176">
        <f>IFERROR(1-SUMIF('Grid BD'!$B:$B,$A5,'Grid BD'!$AE:$AE)/($AA5+SUMIF('Grid BD'!$B:$B,$A5,'Grid BD'!$AE:$AE)),"")</f>
        <v>1</v>
      </c>
      <c r="S5" s="17"/>
      <c r="T5" s="177">
        <f>IFERROR(1-SUMIF(Tracker_BD!H:H,$A5,Tracker_BD!AI:AI)/$F5,"")</f>
        <v>1</v>
      </c>
      <c r="U5" s="178">
        <f t="shared" si="1"/>
        <v>0.70387318428748424</v>
      </c>
      <c r="V5" s="17"/>
      <c r="W5" s="164">
        <f t="shared" si="2"/>
        <v>0.15807818597123083</v>
      </c>
      <c r="X5" s="17">
        <f>IFERROR(_xlfn.XLOOKUP($A5,'Raw Data'!$G:$G,'Raw Data'!AB:AB),"")</f>
        <v>39403</v>
      </c>
      <c r="Y5" s="17">
        <f>IFERROR(_xlfn.XLOOKUP($A5,'Raw Data'!$G:$G,'Raw Data'!AC:AC),"")</f>
        <v>40160.399999993388</v>
      </c>
      <c r="Z5" s="38">
        <f>IFERROR(_xlfn.XLOOKUP($A5,'Raw Data'!$G:$G,'Raw Data'!AD:AD),"")</f>
        <v>298.14000000005336</v>
      </c>
      <c r="AA5" s="38">
        <f>IFERROR(_xlfn.XLOOKUP($A5,'Raw Data'!$G:$G,'Raw Data'!AE:AE)*(1+(_xlfn.XLOOKUP(Table13[[#This Row],[Month Year]],JMR!$A:$A,JMR!$J:$J))),"")</f>
        <v>39862.259999993337</v>
      </c>
      <c r="AB5" s="17">
        <f>_xlfn.XLOOKUP($D5,'Modelling New'!D:D,'Modelling New'!N:N)</f>
        <v>10.507</v>
      </c>
      <c r="AC5" s="24">
        <f>IFERROR(_xlfn.XLOOKUP($D5,'Modelling New'!$D:$D,'Modelling New'!P:P),"")</f>
        <v>7.5896068253333331</v>
      </c>
      <c r="AD5" s="38">
        <f>IFERROR(_xlfn.XLOOKUP($D5,'Modelling New'!$D:$D,'Modelling New'!T:T)*1000,"")</f>
        <v>52819.056225669316</v>
      </c>
      <c r="AE5" s="164">
        <f t="shared" si="3"/>
        <v>0.66235775663545005</v>
      </c>
      <c r="AF5" s="164">
        <f>IFERROR(_xlfn.XLOOKUP($D5,'Modelling New'!$D:$D,'Modelling New'!W:W),"")</f>
        <v>0.20945978960720357</v>
      </c>
      <c r="AG5" s="164">
        <f>IFERROR(_xlfn.XLOOKUP($D5,'Modelling New'!$D:$D,'Modelling New'!AD:AD),"")</f>
        <v>0.995</v>
      </c>
      <c r="AH5" s="164">
        <f>IFERROR(_xlfn.XLOOKUP($D5,'Modelling New'!$D:$D,'Modelling New'!AE:AE),"")</f>
        <v>0.997</v>
      </c>
      <c r="AI5" s="17"/>
      <c r="AJ5" s="17"/>
      <c r="AK5" s="17"/>
      <c r="AL5" s="17"/>
      <c r="AM5" s="17"/>
      <c r="AN5" s="164"/>
      <c r="AO5" s="164"/>
      <c r="AP5" s="164"/>
      <c r="AQ5" s="164"/>
      <c r="AR5" s="38">
        <f>IFERROR(_xlfn.XLOOKUP($D5,'Modelling New'!$D:$D,'Modelling New'!$N:$N),"")</f>
        <v>10.507</v>
      </c>
      <c r="AS5" s="38"/>
      <c r="AT5" s="38">
        <f>IFERROR(_xlfn.XLOOKUP(Table13[[#This Row],[Date]],'Raw Data'!$G:$G,'Raw Data'!$AJ:$AJ),"")</f>
        <v>0</v>
      </c>
      <c r="AU5" s="38">
        <f>IFERROR(_xlfn.XLOOKUP(Table13[[#This Row],[Month Year]],'Modelling New'!$D:$D,'Modelling New'!$AN:$AN),"")</f>
        <v>10</v>
      </c>
      <c r="AV5" s="38">
        <f>SUMIF('Curtailment records'!$C:$C,Table13[[#This Row],[Date]],'Curtailment records'!$R:$R)/1000</f>
        <v>0</v>
      </c>
    </row>
    <row r="6" spans="1:48">
      <c r="A6" s="66">
        <f t="shared" ref="A6:A69" si="5">A5+1</f>
        <v>45749</v>
      </c>
      <c r="B6" s="38">
        <f>YEAR(Table13[[#This Row],[Date]])+IF(MONTH(Table13[[#This Row],[Date]])&gt;=4,1,0)</f>
        <v>2026</v>
      </c>
      <c r="C6" s="17">
        <f>YEAR(Table13[[#This Row],[Date]])</f>
        <v>2025</v>
      </c>
      <c r="D6" s="37">
        <f>Table13[[#This Row],[Date]]-DAY(Table13[[#This Row],[Date]])+1</f>
        <v>45748</v>
      </c>
      <c r="E6" s="17">
        <f t="shared" ref="E6:E69" si="6">DAY(EOMONTH(A6,0))</f>
        <v>30</v>
      </c>
      <c r="F6" s="135" cm="1">
        <f t="array" ref="F6">IFERROR(_xlfn.XLOOKUP(Table13[[#This Row],[Date]],Raw_Data[[#All],[Date]],Raw_Data[[#All],[Operating Hours]]),"")</f>
        <v>11.85</v>
      </c>
      <c r="G6" s="24">
        <f>IFERROR(_xlfn.XLOOKUP($A6,'Raw Data'!$G:$G,'Raw Data'!S:S)/1000,"")</f>
        <v>5.9</v>
      </c>
      <c r="H6" s="24"/>
      <c r="I6" s="24">
        <f>IFERROR(_xlfn.XLOOKUP($A6,'Raw Data'!$G:$G,'Raw Data'!AF:AF)/1000,"")</f>
        <v>6.35</v>
      </c>
      <c r="J6" s="24"/>
      <c r="K6" s="137">
        <f>IFERROR(_xlfn.XLOOKUP($A6,'Raw Data'!$G:$G,'Raw Data'!W:W),"")</f>
        <v>28.478929105502772</v>
      </c>
      <c r="L6" s="136">
        <f>IFERROR(_xlfn.XLOOKUP($A6,'Raw Data'!$G:$G,'Raw Data'!X:X),"")</f>
        <v>44.05662915701064</v>
      </c>
      <c r="M6" s="136">
        <f>IFERROR(_xlfn.XLOOKUP($A6,'Raw Data'!$G:$G,'Raw Data'!Y:Y),"")</f>
        <v>0.68469360036346205</v>
      </c>
      <c r="N6" s="136">
        <f>IFERROR(_xlfn.XLOOKUP($A6,'Raw Data'!$G:$G,'Raw Data'!Z:Z),"")</f>
        <v>1.9063102801640828</v>
      </c>
      <c r="O6" s="176">
        <f>IFERROR(1-SUMIF('Plant BD'!$B:$B,$A6,'Plant BD'!$AM:$AM)/($AA6+SUMIF('Plant BD'!$B:$B,$A6,'Plant BD'!$AM:$AM)),"")</f>
        <v>0.99725457771217274</v>
      </c>
      <c r="P6" s="176"/>
      <c r="Q6" s="177"/>
      <c r="R6" s="179">
        <f>IFERROR(1-SUMIF('Grid BD'!$B:$B,$A6,'Grid BD'!$AE:$AE)/($AA6+SUMIF('Grid BD'!$B:$B,$A6,'Grid BD'!$AE:$AE)),"")</f>
        <v>1</v>
      </c>
      <c r="S6" s="17"/>
      <c r="T6" s="177">
        <f>IFERROR(1-SUMIF(Tracker_BD!H:H,$A6,Tracker_BD!AI:AI)/$F6,"")</f>
        <v>1</v>
      </c>
      <c r="U6" s="178">
        <f t="shared" si="1"/>
        <v>0.69345985316137493</v>
      </c>
      <c r="V6" s="17"/>
      <c r="W6" s="164">
        <f t="shared" si="2"/>
        <v>0.18347791948228045</v>
      </c>
      <c r="X6" s="17">
        <f>IFERROR(_xlfn.XLOOKUP($A6,'Raw Data'!$G:$G,'Raw Data'!AB:AB),"")</f>
        <v>44735</v>
      </c>
      <c r="Y6" s="17">
        <f>IFERROR(_xlfn.XLOOKUP($A6,'Raw Data'!$G:$G,'Raw Data'!AC:AC),"")</f>
        <v>46564.500000007683</v>
      </c>
      <c r="Z6" s="38">
        <f>IFERROR(_xlfn.XLOOKUP($A6,'Raw Data'!$G:$G,'Raw Data'!AD:AD),"")</f>
        <v>297.23999999998085</v>
      </c>
      <c r="AA6" s="38">
        <f>IFERROR(_xlfn.XLOOKUP($A6,'Raw Data'!$G:$G,'Raw Data'!AE:AE)*(1+(_xlfn.XLOOKUP(Table13[[#This Row],[Month Year]],JMR!$A:$A,JMR!$J:$J))),"")</f>
        <v>46267.2600000077</v>
      </c>
      <c r="AB6" s="17">
        <f>_xlfn.XLOOKUP($D6,'Modelling New'!D:D,'Modelling New'!N:N)</f>
        <v>10.507</v>
      </c>
      <c r="AC6" s="24">
        <f>IFERROR(_xlfn.XLOOKUP($D6,'Modelling New'!$D:$D,'Modelling New'!P:P),"")</f>
        <v>7.5896068253333331</v>
      </c>
      <c r="AD6" s="38">
        <f>IFERROR(_xlfn.XLOOKUP($D6,'Modelling New'!$D:$D,'Modelling New'!T:T)*1000,"")</f>
        <v>52819.056225669316</v>
      </c>
      <c r="AE6" s="164">
        <f t="shared" si="3"/>
        <v>0.66235775663545005</v>
      </c>
      <c r="AF6" s="164">
        <f>IFERROR(_xlfn.XLOOKUP($D6,'Modelling New'!$D:$D,'Modelling New'!W:W),"")</f>
        <v>0.20945978960720357</v>
      </c>
      <c r="AG6" s="164">
        <f>IFERROR(_xlfn.XLOOKUP($D6,'Modelling New'!$D:$D,'Modelling New'!AD:AD),"")</f>
        <v>0.995</v>
      </c>
      <c r="AH6" s="164">
        <f>IFERROR(_xlfn.XLOOKUP($D6,'Modelling New'!$D:$D,'Modelling New'!AE:AE),"")</f>
        <v>0.997</v>
      </c>
      <c r="AI6" s="17"/>
      <c r="AJ6" s="17"/>
      <c r="AK6" s="17"/>
      <c r="AL6" s="17"/>
      <c r="AM6" s="17"/>
      <c r="AN6" s="164"/>
      <c r="AO6" s="164"/>
      <c r="AP6" s="164"/>
      <c r="AQ6" s="164"/>
      <c r="AR6" s="38">
        <f>IFERROR(_xlfn.XLOOKUP($D6,'Modelling New'!$D:$D,'Modelling New'!$N:$N),"")</f>
        <v>10.507</v>
      </c>
      <c r="AS6" s="38"/>
      <c r="AT6" s="38">
        <f>IFERROR(_xlfn.XLOOKUP(Table13[[#This Row],[Date]],'Raw Data'!$G:$G,'Raw Data'!$AJ:$AJ),"")</f>
        <v>0</v>
      </c>
      <c r="AU6" s="38">
        <f>IFERROR(_xlfn.XLOOKUP(Table13[[#This Row],[Month Year]],'Modelling New'!$D:$D,'Modelling New'!$AN:$AN),"")</f>
        <v>10</v>
      </c>
      <c r="AV6" s="38">
        <f>SUMIF('Curtailment records'!$C:$C,Table13[[#This Row],[Date]],'Curtailment records'!$R:$R)/1000</f>
        <v>0</v>
      </c>
    </row>
    <row r="7" spans="1:48">
      <c r="A7" s="66">
        <f t="shared" si="5"/>
        <v>45750</v>
      </c>
      <c r="B7" s="38">
        <f>YEAR(Table13[[#This Row],[Date]])+IF(MONTH(Table13[[#This Row],[Date]])&gt;=4,1,0)</f>
        <v>2026</v>
      </c>
      <c r="C7" s="17">
        <f>YEAR(Table13[[#This Row],[Date]])</f>
        <v>2025</v>
      </c>
      <c r="D7" s="37">
        <f>Table13[[#This Row],[Date]]-DAY(Table13[[#This Row],[Date]])+1</f>
        <v>45748</v>
      </c>
      <c r="E7" s="17">
        <f t="shared" si="6"/>
        <v>30</v>
      </c>
      <c r="F7" s="135" cm="1">
        <f t="array" ref="F7">IFERROR(_xlfn.XLOOKUP(Table13[[#This Row],[Date]],Raw_Data[[#All],[Date]],Raw_Data[[#All],[Operating Hours]]),"")</f>
        <v>11.816666666666666</v>
      </c>
      <c r="G7" s="136">
        <f>IFERROR(_xlfn.XLOOKUP($A7,'Raw Data'!$G:$G,'Raw Data'!S:S)/1000,"")</f>
        <v>3.96</v>
      </c>
      <c r="H7" s="136"/>
      <c r="I7" s="136">
        <f>IFERROR(_xlfn.XLOOKUP($A7,'Raw Data'!$G:$G,'Raw Data'!AF:AF)/1000,"")</f>
        <v>4.01</v>
      </c>
      <c r="J7" s="136"/>
      <c r="K7" s="137">
        <f>IFERROR(_xlfn.XLOOKUP($A7,'Raw Data'!$G:$G,'Raw Data'!W:W),"")</f>
        <v>25.545950410959318</v>
      </c>
      <c r="L7" s="136">
        <f>IFERROR(_xlfn.XLOOKUP($A7,'Raw Data'!$G:$G,'Raw Data'!X:X),"")</f>
        <v>35.85720358835141</v>
      </c>
      <c r="M7" s="136">
        <f>IFERROR(_xlfn.XLOOKUP($A7,'Raw Data'!$G:$G,'Raw Data'!Y:Y),"")</f>
        <v>0.82389399524445828</v>
      </c>
      <c r="N7" s="136">
        <f>IFERROR(_xlfn.XLOOKUP($A7,'Raw Data'!$G:$G,'Raw Data'!Z:Z),"")</f>
        <v>5.407755533854167</v>
      </c>
      <c r="O7" s="176">
        <f>IFERROR(1-SUMIF('Plant BD'!$B:$B,$A7,'Plant BD'!$AM:$AM)/($AA7+SUMIF('Plant BD'!$B:$B,$A7,'Plant BD'!$AM:$AM)),"")</f>
        <v>1</v>
      </c>
      <c r="P7" s="176"/>
      <c r="Q7" s="177"/>
      <c r="R7" s="176">
        <f>IFERROR(1-SUMIF('Grid BD'!$B:$B,$A7,'Grid BD'!$AE:$AE)/($AA7+SUMIF('Grid BD'!$B:$B,$A7,'Grid BD'!$AE:$AE)),"")</f>
        <v>1</v>
      </c>
      <c r="S7" s="17"/>
      <c r="T7" s="177">
        <f>IFERROR(1-SUMIF(Tracker_BD!H:H,$A7,Tracker_BD!AI:AI)/$F7,"")</f>
        <v>1</v>
      </c>
      <c r="U7" s="178">
        <f t="shared" si="1"/>
        <v>0.71446111095139531</v>
      </c>
      <c r="V7" s="17"/>
      <c r="W7" s="164">
        <f t="shared" si="2"/>
        <v>0.11937454395479563</v>
      </c>
      <c r="X7" s="17">
        <f>IFERROR(_xlfn.XLOOKUP($A7,'Raw Data'!$G:$G,'Raw Data'!AB:AB),"")</f>
        <v>31063</v>
      </c>
      <c r="Y7" s="17">
        <f>IFERROR(_xlfn.XLOOKUP($A7,'Raw Data'!$G:$G,'Raw Data'!AC:AC),"")</f>
        <v>30406.099999992875</v>
      </c>
      <c r="Z7" s="38">
        <f>IFERROR(_xlfn.XLOOKUP($A7,'Raw Data'!$G:$G,'Raw Data'!AD:AD),"")</f>
        <v>303.65999999997229</v>
      </c>
      <c r="AA7" s="38">
        <f>IFERROR(_xlfn.XLOOKUP($A7,'Raw Data'!$G:$G,'Raw Data'!AE:AE)*(1+(_xlfn.XLOOKUP(Table13[[#This Row],[Month Year]],JMR!$A:$A,JMR!$J:$J))),"")</f>
        <v>30102.439999992905</v>
      </c>
      <c r="AB7" s="17">
        <f>_xlfn.XLOOKUP($D7,'Modelling New'!D:D,'Modelling New'!N:N)</f>
        <v>10.507</v>
      </c>
      <c r="AC7" s="24">
        <f>IFERROR(_xlfn.XLOOKUP($D7,'Modelling New'!$D:$D,'Modelling New'!P:P),"")</f>
        <v>7.5896068253333331</v>
      </c>
      <c r="AD7" s="38">
        <f>IFERROR(_xlfn.XLOOKUP($D7,'Modelling New'!$D:$D,'Modelling New'!T:T)*1000,"")</f>
        <v>52819.056225669316</v>
      </c>
      <c r="AE7" s="164">
        <f t="shared" si="3"/>
        <v>0.66235775663545005</v>
      </c>
      <c r="AF7" s="164">
        <f>IFERROR(_xlfn.XLOOKUP($D7,'Modelling New'!$D:$D,'Modelling New'!W:W),"")</f>
        <v>0.20945978960720357</v>
      </c>
      <c r="AG7" s="164">
        <f>IFERROR(_xlfn.XLOOKUP($D7,'Modelling New'!$D:$D,'Modelling New'!AD:AD),"")</f>
        <v>0.995</v>
      </c>
      <c r="AH7" s="164">
        <f>IFERROR(_xlfn.XLOOKUP($D7,'Modelling New'!$D:$D,'Modelling New'!AE:AE),"")</f>
        <v>0.997</v>
      </c>
      <c r="AI7" s="17"/>
      <c r="AJ7" s="17"/>
      <c r="AK7" s="17"/>
      <c r="AL7" s="17"/>
      <c r="AM7" s="17"/>
      <c r="AN7" s="164"/>
      <c r="AO7" s="164"/>
      <c r="AP7" s="164"/>
      <c r="AQ7" s="164"/>
      <c r="AR7" s="38">
        <f>IFERROR(_xlfn.XLOOKUP($D7,'Modelling New'!$D:$D,'Modelling New'!$N:$N),"")</f>
        <v>10.507</v>
      </c>
      <c r="AS7" s="38"/>
      <c r="AT7" s="38">
        <f>IFERROR(_xlfn.XLOOKUP(Table13[[#This Row],[Date]],'Raw Data'!$G:$G,'Raw Data'!$AJ:$AJ),"")</f>
        <v>0</v>
      </c>
      <c r="AU7" s="38">
        <f>IFERROR(_xlfn.XLOOKUP(Table13[[#This Row],[Month Year]],'Modelling New'!$D:$D,'Modelling New'!$AN:$AN),"")</f>
        <v>10</v>
      </c>
      <c r="AV7" s="38">
        <f>SUMIF('Curtailment records'!$C:$C,Table13[[#This Row],[Date]],'Curtailment records'!$R:$R)/1000</f>
        <v>0</v>
      </c>
    </row>
    <row r="8" spans="1:48">
      <c r="A8" s="66">
        <f t="shared" si="5"/>
        <v>45751</v>
      </c>
      <c r="B8" s="38">
        <f>YEAR(Table13[[#This Row],[Date]])+IF(MONTH(Table13[[#This Row],[Date]])&gt;=4,1,0)</f>
        <v>2026</v>
      </c>
      <c r="C8" s="17">
        <f>YEAR(Table13[[#This Row],[Date]])</f>
        <v>2025</v>
      </c>
      <c r="D8" s="37">
        <f>Table13[[#This Row],[Date]]-DAY(Table13[[#This Row],[Date]])+1</f>
        <v>45748</v>
      </c>
      <c r="E8" s="17">
        <f t="shared" si="6"/>
        <v>30</v>
      </c>
      <c r="F8" s="135" cm="1">
        <f t="array" ref="F8">IFERROR(_xlfn.XLOOKUP(Table13[[#This Row],[Date]],Raw_Data[[#All],[Date]],Raw_Data[[#All],[Operating Hours]]),"")</f>
        <v>11.716666666666667</v>
      </c>
      <c r="G8" s="24">
        <f>IFERROR(_xlfn.XLOOKUP($A8,'Raw Data'!$G:$G,'Raw Data'!S:S)/1000,"")</f>
        <v>6.87</v>
      </c>
      <c r="H8" s="24"/>
      <c r="I8" s="24">
        <f>IFERROR(_xlfn.XLOOKUP($A8,'Raw Data'!$G:$G,'Raw Data'!AF:AF)/1000,"")</f>
        <v>7.54</v>
      </c>
      <c r="J8" s="24"/>
      <c r="K8" s="137">
        <f>IFERROR(_xlfn.XLOOKUP($A8,'Raw Data'!$G:$G,'Raw Data'!W:W),"")</f>
        <v>29.781801782991668</v>
      </c>
      <c r="L8" s="136">
        <f>IFERROR(_xlfn.XLOOKUP($A8,'Raw Data'!$G:$G,'Raw Data'!X:X),"")</f>
        <v>46.948979625035498</v>
      </c>
      <c r="M8" s="136">
        <f>IFERROR(_xlfn.XLOOKUP($A8,'Raw Data'!$G:$G,'Raw Data'!Y:Y),"")</f>
        <v>0.66325762648138886</v>
      </c>
      <c r="N8" s="136">
        <f>IFERROR(_xlfn.XLOOKUP($A8,'Raw Data'!$G:$G,'Raw Data'!Z:Z),"")</f>
        <v>3.4187512397766113</v>
      </c>
      <c r="O8" s="176">
        <f>IFERROR(1-SUMIF('Plant BD'!$B:$B,$A8,'Plant BD'!$AM:$AM)/($AA8+SUMIF('Plant BD'!$B:$B,$A8,'Plant BD'!$AM:$AM)),"")</f>
        <v>0.95211221886813868</v>
      </c>
      <c r="P8" s="176"/>
      <c r="Q8" s="177"/>
      <c r="R8" s="179">
        <f>IFERROR(1-SUMIF('Grid BD'!$B:$B,$A8,'Grid BD'!$AE:$AE)/($AA8+SUMIF('Grid BD'!$B:$B,$A8,'Grid BD'!$AE:$AE)),"")</f>
        <v>1</v>
      </c>
      <c r="S8" s="17"/>
      <c r="T8" s="177">
        <f>IFERROR(1-SUMIF(Tracker_BD!H:H,$A8,Tracker_BD!AI:AI)/$F8,"")</f>
        <v>1</v>
      </c>
      <c r="U8" s="178">
        <f t="shared" si="1"/>
        <v>0.63809424511494783</v>
      </c>
      <c r="V8" s="17"/>
      <c r="W8" s="164">
        <f t="shared" si="2"/>
        <v>0.20046794200694612</v>
      </c>
      <c r="X8" s="17">
        <f>IFERROR(_xlfn.XLOOKUP($A8,'Raw Data'!$G:$G,'Raw Data'!AB:AB),"")</f>
        <v>48037</v>
      </c>
      <c r="Y8" s="17">
        <f>IFERROR(_xlfn.XLOOKUP($A8,'Raw Data'!$G:$G,'Raw Data'!AC:AC),"")</f>
        <v>50867.500000007567</v>
      </c>
      <c r="Z8" s="38">
        <f>IFERROR(_xlfn.XLOOKUP($A8,'Raw Data'!$G:$G,'Raw Data'!AD:AD),"")</f>
        <v>315.89999999997787</v>
      </c>
      <c r="AA8" s="38">
        <f>IFERROR(_xlfn.XLOOKUP($A8,'Raw Data'!$G:$G,'Raw Data'!AE:AE)*(1+(_xlfn.XLOOKUP(Table13[[#This Row],[Month Year]],JMR!$A:$A,JMR!$J:$J))),"")</f>
        <v>50551.600000007587</v>
      </c>
      <c r="AB8" s="17">
        <f>_xlfn.XLOOKUP($D8,'Modelling New'!D:D,'Modelling New'!N:N)</f>
        <v>10.507</v>
      </c>
      <c r="AC8" s="24">
        <f>IFERROR(_xlfn.XLOOKUP($D8,'Modelling New'!$D:$D,'Modelling New'!P:P),"")</f>
        <v>7.5896068253333331</v>
      </c>
      <c r="AD8" s="38">
        <f>IFERROR(_xlfn.XLOOKUP($D8,'Modelling New'!$D:$D,'Modelling New'!T:T)*1000,"")</f>
        <v>52819.056225669316</v>
      </c>
      <c r="AE8" s="164">
        <f t="shared" si="3"/>
        <v>0.66235775663545005</v>
      </c>
      <c r="AF8" s="164">
        <f>IFERROR(_xlfn.XLOOKUP($D8,'Modelling New'!$D:$D,'Modelling New'!W:W),"")</f>
        <v>0.20945978960720357</v>
      </c>
      <c r="AG8" s="164">
        <f>IFERROR(_xlfn.XLOOKUP($D8,'Modelling New'!$D:$D,'Modelling New'!AD:AD),"")</f>
        <v>0.995</v>
      </c>
      <c r="AH8" s="164">
        <f>IFERROR(_xlfn.XLOOKUP($D8,'Modelling New'!$D:$D,'Modelling New'!AE:AE),"")</f>
        <v>0.997</v>
      </c>
      <c r="AI8" s="17"/>
      <c r="AJ8" s="17"/>
      <c r="AK8" s="17"/>
      <c r="AL8" s="17"/>
      <c r="AM8" s="17"/>
      <c r="AN8" s="164"/>
      <c r="AO8" s="164"/>
      <c r="AP8" s="164"/>
      <c r="AQ8" s="164"/>
      <c r="AR8" s="38">
        <f>IFERROR(_xlfn.XLOOKUP($D8,'Modelling New'!$D:$D,'Modelling New'!$N:$N),"")</f>
        <v>10.507</v>
      </c>
      <c r="AS8" s="38"/>
      <c r="AT8" s="38">
        <f>IFERROR(_xlfn.XLOOKUP(Table13[[#This Row],[Date]],'Raw Data'!$G:$G,'Raw Data'!$AJ:$AJ),"")</f>
        <v>0</v>
      </c>
      <c r="AU8" s="38">
        <f>IFERROR(_xlfn.XLOOKUP(Table13[[#This Row],[Month Year]],'Modelling New'!$D:$D,'Modelling New'!$AN:$AN),"")</f>
        <v>10</v>
      </c>
      <c r="AV8" s="38">
        <f>SUMIF('Curtailment records'!$C:$C,Table13[[#This Row],[Date]],'Curtailment records'!$R:$R)/1000</f>
        <v>0</v>
      </c>
    </row>
    <row r="9" spans="1:48">
      <c r="A9" s="66">
        <f t="shared" si="5"/>
        <v>45752</v>
      </c>
      <c r="B9" s="38">
        <f>YEAR(Table13[[#This Row],[Date]])+IF(MONTH(Table13[[#This Row],[Date]])&gt;=4,1,0)</f>
        <v>2026</v>
      </c>
      <c r="C9" s="17">
        <f>YEAR(Table13[[#This Row],[Date]])</f>
        <v>2025</v>
      </c>
      <c r="D9" s="37">
        <f>Table13[[#This Row],[Date]]-DAY(Table13[[#This Row],[Date]])+1</f>
        <v>45748</v>
      </c>
      <c r="E9" s="17">
        <f t="shared" si="6"/>
        <v>30</v>
      </c>
      <c r="F9" s="135" cm="1">
        <f t="array" ref="F9">IFERROR(_xlfn.XLOOKUP(Table13[[#This Row],[Date]],Raw_Data[[#All],[Date]],Raw_Data[[#All],[Operating Hours]]),"")</f>
        <v>12.033333333333333</v>
      </c>
      <c r="G9" s="136">
        <f>IFERROR(_xlfn.XLOOKUP($A9,'Raw Data'!$G:$G,'Raw Data'!S:S)/1000,"")</f>
        <v>5.83</v>
      </c>
      <c r="H9" s="136"/>
      <c r="I9" s="136">
        <f>IFERROR(_xlfn.XLOOKUP($A9,'Raw Data'!$G:$G,'Raw Data'!AF:AF)/1000,"")</f>
        <v>6.46</v>
      </c>
      <c r="J9" s="136"/>
      <c r="K9" s="137">
        <f>IFERROR(_xlfn.XLOOKUP($A9,'Raw Data'!$G:$G,'Raw Data'!W:W),"")</f>
        <v>28.418743936451644</v>
      </c>
      <c r="L9" s="136">
        <f>IFERROR(_xlfn.XLOOKUP($A9,'Raw Data'!$G:$G,'Raw Data'!X:X),"")</f>
        <v>45.769404163773885</v>
      </c>
      <c r="M9" s="137">
        <f>IFERROR(_xlfn.XLOOKUP($A9,'Raw Data'!$G:$G,'Raw Data'!Y:Y),"")</f>
        <v>0.68469360036346205</v>
      </c>
      <c r="N9" s="136">
        <f>IFERROR(_xlfn.XLOOKUP($A9,'Raw Data'!$G:$G,'Raw Data'!Z:Z),"")</f>
        <v>1.9063102801640828</v>
      </c>
      <c r="O9" s="176">
        <f>IFERROR(1-SUMIF('Plant BD'!$B:$B,$A9,'Plant BD'!$AM:$AM)/($AA9+SUMIF('Plant BD'!$B:$B,$A9,'Plant BD'!$AM:$AM)),"")</f>
        <v>0.94553820021604662</v>
      </c>
      <c r="P9" s="176"/>
      <c r="Q9" s="177"/>
      <c r="R9" s="176">
        <f>IFERROR(1-SUMIF('Grid BD'!$B:$B,$A9,'Grid BD'!$AE:$AE)/($AA9+SUMIF('Grid BD'!$B:$B,$A9,'Grid BD'!$AE:$AE)),"")</f>
        <v>1</v>
      </c>
      <c r="S9" s="17"/>
      <c r="T9" s="177">
        <f>IFERROR(1-SUMIF(Tracker_BD!H:H,$A9,Tracker_BD!AI:AI)/$F9,"")</f>
        <v>1</v>
      </c>
      <c r="U9" s="178">
        <f t="shared" si="1"/>
        <v>0.62010141550913556</v>
      </c>
      <c r="V9" s="17"/>
      <c r="W9" s="164">
        <f t="shared" si="2"/>
        <v>0.16691063100787565</v>
      </c>
      <c r="X9" s="17">
        <f>IFERROR(_xlfn.XLOOKUP($A9,'Raw Data'!$G:$G,'Raw Data'!AB:AB),"")</f>
        <v>40547</v>
      </c>
      <c r="Y9" s="17">
        <f>IFERROR(_xlfn.XLOOKUP($A9,'Raw Data'!$G:$G,'Raw Data'!AC:AC),"")</f>
        <v>42409.799999993993</v>
      </c>
      <c r="Z9" s="38">
        <f>IFERROR(_xlfn.XLOOKUP($A9,'Raw Data'!$G:$G,'Raw Data'!AD:AD),"")</f>
        <v>320.28000000000389</v>
      </c>
      <c r="AA9" s="38">
        <f>IFERROR(_xlfn.XLOOKUP($A9,'Raw Data'!$G:$G,'Raw Data'!AE:AE)*(1+(_xlfn.XLOOKUP(Table13[[#This Row],[Month Year]],JMR!$A:$A,JMR!$J:$J))),"")</f>
        <v>42089.519999993987</v>
      </c>
      <c r="AB9" s="17">
        <f>_xlfn.XLOOKUP($D9,'Modelling New'!D:D,'Modelling New'!N:N)</f>
        <v>10.507</v>
      </c>
      <c r="AC9" s="24">
        <f>IFERROR(_xlfn.XLOOKUP($D9,'Modelling New'!$D:$D,'Modelling New'!P:P),"")</f>
        <v>7.5896068253333331</v>
      </c>
      <c r="AD9" s="38">
        <f>IFERROR(_xlfn.XLOOKUP($D9,'Modelling New'!$D:$D,'Modelling New'!T:T)*1000,"")</f>
        <v>52819.056225669316</v>
      </c>
      <c r="AE9" s="164">
        <f t="shared" si="3"/>
        <v>0.66235775663545005</v>
      </c>
      <c r="AF9" s="164">
        <f>IFERROR(_xlfn.XLOOKUP($D9,'Modelling New'!$D:$D,'Modelling New'!W:W),"")</f>
        <v>0.20945978960720357</v>
      </c>
      <c r="AG9" s="164">
        <f>IFERROR(_xlfn.XLOOKUP($D9,'Modelling New'!$D:$D,'Modelling New'!AD:AD),"")</f>
        <v>0.995</v>
      </c>
      <c r="AH9" s="164">
        <f>IFERROR(_xlfn.XLOOKUP($D9,'Modelling New'!$D:$D,'Modelling New'!AE:AE),"")</f>
        <v>0.997</v>
      </c>
      <c r="AI9" s="17"/>
      <c r="AJ9" s="17"/>
      <c r="AK9" s="17"/>
      <c r="AL9" s="17"/>
      <c r="AM9" s="17"/>
      <c r="AN9" s="164"/>
      <c r="AO9" s="164"/>
      <c r="AP9" s="164"/>
      <c r="AQ9" s="164"/>
      <c r="AR9" s="38">
        <f>IFERROR(_xlfn.XLOOKUP($D9,'Modelling New'!$D:$D,'Modelling New'!$N:$N),"")</f>
        <v>10.507</v>
      </c>
      <c r="AS9" s="38"/>
      <c r="AT9" s="38">
        <f>IFERROR(_xlfn.XLOOKUP(Table13[[#This Row],[Date]],'Raw Data'!$G:$G,'Raw Data'!$AJ:$AJ),"")</f>
        <v>0</v>
      </c>
      <c r="AU9" s="38">
        <f>IFERROR(_xlfn.XLOOKUP(Table13[[#This Row],[Month Year]],'Modelling New'!$D:$D,'Modelling New'!$AN:$AN),"")</f>
        <v>10</v>
      </c>
      <c r="AV9" s="38">
        <f>SUMIF('Curtailment records'!$C:$C,Table13[[#This Row],[Date]],'Curtailment records'!$R:$R)/1000</f>
        <v>0</v>
      </c>
    </row>
    <row r="10" spans="1:48">
      <c r="A10" s="66">
        <f t="shared" si="5"/>
        <v>45753</v>
      </c>
      <c r="B10" s="38">
        <f>YEAR(Table13[[#This Row],[Date]])+IF(MONTH(Table13[[#This Row],[Date]])&gt;=4,1,0)</f>
        <v>2026</v>
      </c>
      <c r="C10" s="17">
        <f>YEAR(Table13[[#This Row],[Date]])</f>
        <v>2025</v>
      </c>
      <c r="D10" s="37">
        <f>Table13[[#This Row],[Date]]-DAY(Table13[[#This Row],[Date]])+1</f>
        <v>45748</v>
      </c>
      <c r="E10" s="17">
        <f t="shared" si="6"/>
        <v>30</v>
      </c>
      <c r="F10" s="135" cm="1">
        <f t="array" ref="F10">IFERROR(_xlfn.XLOOKUP(Table13[[#This Row],[Date]],Raw_Data[[#All],[Date]],Raw_Data[[#All],[Operating Hours]]),"")</f>
        <v>11.933333333333335</v>
      </c>
      <c r="G10" s="24">
        <f>IFERROR(_xlfn.XLOOKUP($A10,'Raw Data'!$G:$G,'Raw Data'!S:S)/1000,"")</f>
        <v>6.67</v>
      </c>
      <c r="H10" s="24"/>
      <c r="I10" s="24">
        <f>IFERROR(_xlfn.XLOOKUP($A10,'Raw Data'!$G:$G,'Raw Data'!AF:AF)/1000,"")</f>
        <v>7.57</v>
      </c>
      <c r="J10" s="24"/>
      <c r="K10" s="137">
        <f>IFERROR(_xlfn.XLOOKUP($A10,'Raw Data'!$G:$G,'Raw Data'!W:W),"")</f>
        <v>28.769764650372348</v>
      </c>
      <c r="L10" s="136">
        <f>IFERROR(_xlfn.XLOOKUP($A10,'Raw Data'!$G:$G,'Raw Data'!X:X),"")</f>
        <v>47.362187524686433</v>
      </c>
      <c r="M10" s="136">
        <f>IFERROR(_xlfn.XLOOKUP($A10,'Raw Data'!$G:$G,'Raw Data'!Y:Y),"")</f>
        <v>0.80936406749256928</v>
      </c>
      <c r="N10" s="136">
        <f>IFERROR(_xlfn.XLOOKUP($A10,'Raw Data'!$G:$G,'Raw Data'!Z:Z),"")</f>
        <v>5.3675416310628252</v>
      </c>
      <c r="O10" s="176">
        <f>IFERROR(1-SUMIF('Plant BD'!$B:$B,$A10,'Plant BD'!$AM:$AM)/($AA10+SUMIF('Plant BD'!$B:$B,$A10,'Plant BD'!$AM:$AM)),"")</f>
        <v>0.93275267508402249</v>
      </c>
      <c r="P10" s="176"/>
      <c r="Q10" s="177"/>
      <c r="R10" s="179">
        <f>IFERROR(1-SUMIF('Grid BD'!$B:$B,$A10,'Grid BD'!$AE:$AE)/($AA10+SUMIF('Grid BD'!$B:$B,$A10,'Grid BD'!$AE:$AE)),"")</f>
        <v>1</v>
      </c>
      <c r="S10" s="17"/>
      <c r="T10" s="177">
        <f>IFERROR(1-SUMIF(Tracker_BD!H:H,$A10,Tracker_BD!AI:AI)/$F10,"")</f>
        <v>1</v>
      </c>
      <c r="U10" s="178">
        <f t="shared" si="1"/>
        <v>0.62281181608944591</v>
      </c>
      <c r="V10" s="17"/>
      <c r="W10" s="164">
        <f t="shared" si="2"/>
        <v>0.19644522699154604</v>
      </c>
      <c r="X10" s="17">
        <f>IFERROR(_xlfn.XLOOKUP($A10,'Raw Data'!$G:$G,'Raw Data'!AB:AB),"")</f>
        <v>46811</v>
      </c>
      <c r="Y10" s="17">
        <f>IFERROR(_xlfn.XLOOKUP($A10,'Raw Data'!$G:$G,'Raw Data'!AC:AC),"")</f>
        <v>49870.800000004238</v>
      </c>
      <c r="Z10" s="38">
        <f>IFERROR(_xlfn.XLOOKUP($A10,'Raw Data'!$G:$G,'Raw Data'!AD:AD),"")</f>
        <v>333.60000000005385</v>
      </c>
      <c r="AA10" s="38">
        <f>IFERROR(_xlfn.XLOOKUP($A10,'Raw Data'!$G:$G,'Raw Data'!AE:AE)*(1+(_xlfn.XLOOKUP(Table13[[#This Row],[Month Year]],JMR!$A:$A,JMR!$J:$J))),"")</f>
        <v>49537.200000004181</v>
      </c>
      <c r="AB10" s="17">
        <f>_xlfn.XLOOKUP($D10,'Modelling New'!D:D,'Modelling New'!N:N)</f>
        <v>10.507</v>
      </c>
      <c r="AC10" s="24">
        <f>IFERROR(_xlfn.XLOOKUP($D10,'Modelling New'!$D:$D,'Modelling New'!P:P),"")</f>
        <v>7.5896068253333331</v>
      </c>
      <c r="AD10" s="38">
        <f>IFERROR(_xlfn.XLOOKUP($D10,'Modelling New'!$D:$D,'Modelling New'!T:T)*1000,"")</f>
        <v>52819.056225669316</v>
      </c>
      <c r="AE10" s="164">
        <f t="shared" si="3"/>
        <v>0.66235775663545005</v>
      </c>
      <c r="AF10" s="164">
        <f>IFERROR(_xlfn.XLOOKUP($D10,'Modelling New'!$D:$D,'Modelling New'!W:W),"")</f>
        <v>0.20945978960720357</v>
      </c>
      <c r="AG10" s="164">
        <f>IFERROR(_xlfn.XLOOKUP($D10,'Modelling New'!$D:$D,'Modelling New'!AD:AD),"")</f>
        <v>0.995</v>
      </c>
      <c r="AH10" s="164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64"/>
      <c r="AO10" s="164"/>
      <c r="AP10" s="164"/>
      <c r="AQ10" s="164"/>
      <c r="AR10" s="38">
        <f>IFERROR(_xlfn.XLOOKUP($D10,'Modelling New'!$D:$D,'Modelling New'!$N:$N),"")</f>
        <v>10.507</v>
      </c>
      <c r="AS10" s="38"/>
      <c r="AT10" s="38">
        <f>IFERROR(_xlfn.XLOOKUP(Table13[[#This Row],[Date]],'Raw Data'!$G:$G,'Raw Data'!$AJ:$AJ),"")</f>
        <v>0</v>
      </c>
      <c r="AU10" s="38">
        <f>IFERROR(_xlfn.XLOOKUP(Table13[[#This Row],[Month Year]],'Modelling New'!$D:$D,'Modelling New'!$AN:$AN),"")</f>
        <v>10</v>
      </c>
      <c r="AV10" s="38">
        <f>SUMIF('Curtailment records'!$C:$C,Table13[[#This Row],[Date]],'Curtailment records'!$R:$R)/1000</f>
        <v>0</v>
      </c>
    </row>
    <row r="11" spans="1:48">
      <c r="A11" s="66">
        <f t="shared" si="5"/>
        <v>45754</v>
      </c>
      <c r="B11" s="38">
        <f>YEAR(Table13[[#This Row],[Date]])+IF(MONTH(Table13[[#This Row],[Date]])&gt;=4,1,0)</f>
        <v>2026</v>
      </c>
      <c r="C11" s="17">
        <f>YEAR(Table13[[#This Row],[Date]])</f>
        <v>2025</v>
      </c>
      <c r="D11" s="37">
        <f>Table13[[#This Row],[Date]]-DAY(Table13[[#This Row],[Date]])+1</f>
        <v>45748</v>
      </c>
      <c r="E11" s="17">
        <f t="shared" si="6"/>
        <v>30</v>
      </c>
      <c r="F11" s="135" cm="1">
        <f t="array" ref="F11">IFERROR(_xlfn.XLOOKUP(Table13[[#This Row],[Date]],Raw_Data[[#All],[Date]],Raw_Data[[#All],[Operating Hours]]),"")</f>
        <v>12.083333333333336</v>
      </c>
      <c r="G11" s="136">
        <f>IFERROR(_xlfn.XLOOKUP($A11,'Raw Data'!$G:$G,'Raw Data'!S:S)/1000,"")</f>
        <v>6.71</v>
      </c>
      <c r="H11" s="136"/>
      <c r="I11" s="136">
        <f>IFERROR(_xlfn.XLOOKUP($A11,'Raw Data'!$G:$G,'Raw Data'!AF:AF)/1000,"")</f>
        <v>7.7949999999999999</v>
      </c>
      <c r="J11" s="136"/>
      <c r="K11" s="137">
        <f>IFERROR(_xlfn.XLOOKUP($A11,'Raw Data'!$G:$G,'Raw Data'!W:W),"")</f>
        <v>30.242939734874899</v>
      </c>
      <c r="L11" s="136">
        <f>IFERROR(_xlfn.XLOOKUP($A11,'Raw Data'!$G:$G,'Raw Data'!X:X),"")</f>
        <v>47.944768733645539</v>
      </c>
      <c r="M11" s="136">
        <f>IFERROR(_xlfn.XLOOKUP($A11,'Raw Data'!$G:$G,'Raw Data'!Y:Y),"")</f>
        <v>0.93582213106672063</v>
      </c>
      <c r="N11" s="136">
        <f>IFERROR(_xlfn.XLOOKUP($A11,'Raw Data'!$G:$G,'Raw Data'!Z:Z),"")</f>
        <v>4.3852015336354571</v>
      </c>
      <c r="O11" s="176">
        <f>IFERROR(1-SUMIF('Plant BD'!$B:$B,$A11,'Plant BD'!$AM:$AM)/($AA11+SUMIF('Plant BD'!$B:$B,$A11,'Plant BD'!$AM:$AM)),"")</f>
        <v>0.95496762877455399</v>
      </c>
      <c r="P11" s="176"/>
      <c r="Q11" s="177"/>
      <c r="R11" s="176">
        <f>IFERROR(1-SUMIF('Grid BD'!$B:$B,$A11,'Grid BD'!$AE:$AE)/($AA11+SUMIF('Grid BD'!$B:$B,$A11,'Grid BD'!$AE:$AE)),"")</f>
        <v>1</v>
      </c>
      <c r="S11" s="17"/>
      <c r="T11" s="177">
        <f>IFERROR(1-SUMIF(Tracker_BD!H:H,$A11,Tracker_BD!AI:AI)/$F11,"")</f>
        <v>1</v>
      </c>
      <c r="U11" s="178">
        <f t="shared" si="1"/>
        <v>0.64301528905290839</v>
      </c>
      <c r="V11" s="17"/>
      <c r="W11" s="164">
        <f t="shared" si="2"/>
        <v>0.20884600742364251</v>
      </c>
      <c r="X11" s="17">
        <f>IFERROR(_xlfn.XLOOKUP($A11,'Raw Data'!$G:$G,'Raw Data'!AB:AB),"")</f>
        <v>49735</v>
      </c>
      <c r="Y11" s="17">
        <f>IFERROR(_xlfn.XLOOKUP($A11,'Raw Data'!$G:$G,'Raw Data'!AC:AC),"")</f>
        <v>52971.000000005006</v>
      </c>
      <c r="Z11" s="38">
        <f>IFERROR(_xlfn.XLOOKUP($A11,'Raw Data'!$G:$G,'Raw Data'!AD:AD),"")</f>
        <v>306.71999999992039</v>
      </c>
      <c r="AA11" s="38">
        <f>IFERROR(_xlfn.XLOOKUP($A11,'Raw Data'!$G:$G,'Raw Data'!AE:AE)*(1+(_xlfn.XLOOKUP(Table13[[#This Row],[Month Year]],JMR!$A:$A,JMR!$J:$J))),"")</f>
        <v>52664.280000005085</v>
      </c>
      <c r="AB11" s="17">
        <f>_xlfn.XLOOKUP($D11,'Modelling New'!D:D,'Modelling New'!N:N)</f>
        <v>10.507</v>
      </c>
      <c r="AC11" s="24">
        <f>IFERROR(_xlfn.XLOOKUP($D11,'Modelling New'!$D:$D,'Modelling New'!P:P),"")</f>
        <v>7.5896068253333331</v>
      </c>
      <c r="AD11" s="38">
        <f>IFERROR(_xlfn.XLOOKUP($D11,'Modelling New'!$D:$D,'Modelling New'!T:T)*1000,"")</f>
        <v>52819.056225669316</v>
      </c>
      <c r="AE11" s="164">
        <f t="shared" si="3"/>
        <v>0.66235775663545005</v>
      </c>
      <c r="AF11" s="164">
        <f>IFERROR(_xlfn.XLOOKUP($D11,'Modelling New'!$D:$D,'Modelling New'!W:W),"")</f>
        <v>0.20945978960720357</v>
      </c>
      <c r="AG11" s="164">
        <f>IFERROR(_xlfn.XLOOKUP($D11,'Modelling New'!$D:$D,'Modelling New'!AD:AD),"")</f>
        <v>0.995</v>
      </c>
      <c r="AH11" s="164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64"/>
      <c r="AO11" s="164"/>
      <c r="AP11" s="164"/>
      <c r="AQ11" s="164"/>
      <c r="AR11" s="38">
        <f>IFERROR(_xlfn.XLOOKUP($D11,'Modelling New'!$D:$D,'Modelling New'!$N:$N),"")</f>
        <v>10.507</v>
      </c>
      <c r="AS11" s="38"/>
      <c r="AT11" s="38">
        <f>IFERROR(_xlfn.XLOOKUP(Table13[[#This Row],[Date]],'Raw Data'!$G:$G,'Raw Data'!$AJ:$AJ),"")</f>
        <v>0</v>
      </c>
      <c r="AU11" s="38">
        <f>IFERROR(_xlfn.XLOOKUP(Table13[[#This Row],[Month Year]],'Modelling New'!$D:$D,'Modelling New'!$AN:$AN),"")</f>
        <v>10</v>
      </c>
      <c r="AV11" s="38">
        <f>SUMIF('Curtailment records'!$C:$C,Table13[[#This Row],[Date]],'Curtailment records'!$R:$R)/1000</f>
        <v>0</v>
      </c>
    </row>
    <row r="12" spans="1:48">
      <c r="A12" s="66">
        <f t="shared" si="5"/>
        <v>45755</v>
      </c>
      <c r="B12" s="38">
        <f>YEAR(Table13[[#This Row],[Date]])+IF(MONTH(Table13[[#This Row],[Date]])&gt;=4,1,0)</f>
        <v>2026</v>
      </c>
      <c r="C12" s="17">
        <f>YEAR(Table13[[#This Row],[Date]])</f>
        <v>2025</v>
      </c>
      <c r="D12" s="37">
        <f>Table13[[#This Row],[Date]]-DAY(Table13[[#This Row],[Date]])+1</f>
        <v>45748</v>
      </c>
      <c r="E12" s="17">
        <f t="shared" si="6"/>
        <v>30</v>
      </c>
      <c r="F12" s="135" cm="1">
        <f t="array" ref="F12">IFERROR(_xlfn.XLOOKUP(Table13[[#This Row],[Date]],Raw_Data[[#All],[Date]],Raw_Data[[#All],[Operating Hours]]),"")</f>
        <v>11.75</v>
      </c>
      <c r="G12" s="24">
        <f>IFERROR(_xlfn.XLOOKUP($A12,'Raw Data'!$G:$G,'Raw Data'!S:S)/1000,"")</f>
        <v>6.17</v>
      </c>
      <c r="H12" s="24"/>
      <c r="I12" s="24">
        <f>IFERROR(_xlfn.XLOOKUP($A12,'Raw Data'!$G:$G,'Raw Data'!AF:AF)/1000,"")</f>
        <v>6.915</v>
      </c>
      <c r="J12" s="24"/>
      <c r="K12" s="137">
        <f>IFERROR(_xlfn.XLOOKUP($A12,'Raw Data'!$G:$G,'Raw Data'!W:W),"")</f>
        <v>29.899258099466838</v>
      </c>
      <c r="L12" s="136">
        <f>IFERROR(_xlfn.XLOOKUP($A12,'Raw Data'!$G:$G,'Raw Data'!X:X),"")</f>
        <v>45.501593429666315</v>
      </c>
      <c r="M12" s="136">
        <f>IFERROR(_xlfn.XLOOKUP($A12,'Raw Data'!$G:$G,'Raw Data'!Y:Y),"")</f>
        <v>0.8828547569296068</v>
      </c>
      <c r="N12" s="136">
        <f>IFERROR(_xlfn.XLOOKUP($A12,'Raw Data'!$G:$G,'Raw Data'!Z:Z),"")</f>
        <v>3.6838333606719971</v>
      </c>
      <c r="O12" s="176">
        <f>IFERROR(1-SUMIF('Plant BD'!$B:$B,$A12,'Plant BD'!$AM:$AM)/($AA12+SUMIF('Plant BD'!$B:$B,$A12,'Plant BD'!$AM:$AM)),"")</f>
        <v>1</v>
      </c>
      <c r="P12" s="176"/>
      <c r="Q12" s="177"/>
      <c r="R12" s="179">
        <f>IFERROR(1-SUMIF('Grid BD'!$B:$B,$A12,'Grid BD'!$AE:$AE)/($AA12+SUMIF('Grid BD'!$B:$B,$A12,'Grid BD'!$AE:$AE)),"")</f>
        <v>1</v>
      </c>
      <c r="S12" s="17"/>
      <c r="T12" s="177">
        <f>IFERROR(1-SUMIF(Tracker_BD!H:H,$A12,Tracker_BD!AI:AI)/$F12,"")</f>
        <v>1</v>
      </c>
      <c r="U12" s="178">
        <f t="shared" si="1"/>
        <v>0.6739914670388959</v>
      </c>
      <c r="V12" s="17"/>
      <c r="W12" s="164">
        <f t="shared" si="2"/>
        <v>0.19419379144058188</v>
      </c>
      <c r="X12" s="17">
        <f>IFERROR(_xlfn.XLOOKUP($A12,'Raw Data'!$G:$G,'Raw Data'!AB:AB),"")</f>
        <v>47199</v>
      </c>
      <c r="Y12" s="17">
        <f>IFERROR(_xlfn.XLOOKUP($A12,'Raw Data'!$G:$G,'Raw Data'!AC:AC),"")</f>
        <v>49299.699999988661</v>
      </c>
      <c r="Z12" s="38">
        <f>IFERROR(_xlfn.XLOOKUP($A12,'Raw Data'!$G:$G,'Raw Data'!AD:AD),"")</f>
        <v>330.24000000001053</v>
      </c>
      <c r="AA12" s="38">
        <f>IFERROR(_xlfn.XLOOKUP($A12,'Raw Data'!$G:$G,'Raw Data'!AE:AE)*(1+(_xlfn.XLOOKUP(Table13[[#This Row],[Month Year]],JMR!$A:$A,JMR!$J:$J))),"")</f>
        <v>48969.459999988649</v>
      </c>
      <c r="AB12" s="17">
        <f>_xlfn.XLOOKUP($D12,'Modelling New'!D:D,'Modelling New'!N:N)</f>
        <v>10.507</v>
      </c>
      <c r="AC12" s="24">
        <f>IFERROR(_xlfn.XLOOKUP($D12,'Modelling New'!$D:$D,'Modelling New'!P:P),"")</f>
        <v>7.5896068253333331</v>
      </c>
      <c r="AD12" s="38">
        <f>IFERROR(_xlfn.XLOOKUP($D12,'Modelling New'!$D:$D,'Modelling New'!T:T)*1000,"")</f>
        <v>52819.056225669316</v>
      </c>
      <c r="AE12" s="164">
        <f t="shared" si="3"/>
        <v>0.66235775663545005</v>
      </c>
      <c r="AF12" s="164">
        <f>IFERROR(_xlfn.XLOOKUP($D12,'Modelling New'!$D:$D,'Modelling New'!W:W),"")</f>
        <v>0.20945978960720357</v>
      </c>
      <c r="AG12" s="164">
        <f>IFERROR(_xlfn.XLOOKUP($D12,'Modelling New'!$D:$D,'Modelling New'!AD:AD),"")</f>
        <v>0.995</v>
      </c>
      <c r="AH12" s="164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64"/>
      <c r="AO12" s="164"/>
      <c r="AP12" s="164"/>
      <c r="AQ12" s="164"/>
      <c r="AR12" s="38">
        <f>IFERROR(_xlfn.XLOOKUP($D12,'Modelling New'!$D:$D,'Modelling New'!$N:$N),"")</f>
        <v>10.507</v>
      </c>
      <c r="AS12" s="38"/>
      <c r="AT12" s="38">
        <f>IFERROR(_xlfn.XLOOKUP(Table13[[#This Row],[Date]],'Raw Data'!$G:$G,'Raw Data'!$AJ:$AJ),"")</f>
        <v>0</v>
      </c>
      <c r="AU12" s="38">
        <f>IFERROR(_xlfn.XLOOKUP(Table13[[#This Row],[Month Year]],'Modelling New'!$D:$D,'Modelling New'!$AN:$AN),"")</f>
        <v>10</v>
      </c>
      <c r="AV12" s="38">
        <f>SUMIF('Curtailment records'!$C:$C,Table13[[#This Row],[Date]],'Curtailment records'!$R:$R)/1000</f>
        <v>0</v>
      </c>
    </row>
    <row r="13" spans="1:48">
      <c r="A13" s="66">
        <f t="shared" si="5"/>
        <v>45756</v>
      </c>
      <c r="B13" s="38">
        <f>YEAR(Table13[[#This Row],[Date]])+IF(MONTH(Table13[[#This Row],[Date]])&gt;=4,1,0)</f>
        <v>2026</v>
      </c>
      <c r="C13" s="17">
        <f>YEAR(Table13[[#This Row],[Date]])</f>
        <v>2025</v>
      </c>
      <c r="D13" s="37">
        <f>Table13[[#This Row],[Date]]-DAY(Table13[[#This Row],[Date]])+1</f>
        <v>45748</v>
      </c>
      <c r="E13" s="17">
        <f t="shared" si="6"/>
        <v>30</v>
      </c>
      <c r="F13" s="135" cm="1">
        <f t="array" ref="F13">IFERROR(_xlfn.XLOOKUP(Table13[[#This Row],[Date]],Raw_Data[[#All],[Date]],Raw_Data[[#All],[Operating Hours]]),"")</f>
        <v>11.95</v>
      </c>
      <c r="G13" s="136">
        <f>IFERROR(_xlfn.XLOOKUP($A13,'Raw Data'!$G:$G,'Raw Data'!S:S)/1000,"")</f>
        <v>6.37</v>
      </c>
      <c r="H13" s="136"/>
      <c r="I13" s="136">
        <f>IFERROR(_xlfn.XLOOKUP($A13,'Raw Data'!$G:$G,'Raw Data'!AF:AF)/1000,"")</f>
        <v>7.28</v>
      </c>
      <c r="J13" s="136"/>
      <c r="K13" s="137">
        <f>IFERROR(_xlfn.XLOOKUP($A13,'Raw Data'!$G:$G,'Raw Data'!W:W),"")</f>
        <v>29.618573787425692</v>
      </c>
      <c r="L13" s="136">
        <f>IFERROR(_xlfn.XLOOKUP($A13,'Raw Data'!$G:$G,'Raw Data'!X:X),"")</f>
        <v>46.94411950321404</v>
      </c>
      <c r="M13" s="136">
        <f>IFERROR(_xlfn.XLOOKUP($A13,'Raw Data'!$G:$G,'Raw Data'!Y:Y),"")</f>
        <v>0.86043045264485218</v>
      </c>
      <c r="N13" s="136">
        <f>IFERROR(_xlfn.XLOOKUP($A13,'Raw Data'!$G:$G,'Raw Data'!Z:Z),"")</f>
        <v>2.7864521940549216</v>
      </c>
      <c r="O13" s="176">
        <f>IFERROR(1-SUMIF('Plant BD'!$B:$B,$A13,'Plant BD'!$AM:$AM)/($AA13+SUMIF('Plant BD'!$B:$B,$A13,'Plant BD'!$AM:$AM)),"")</f>
        <v>0.9954843052640423</v>
      </c>
      <c r="P13" s="176"/>
      <c r="Q13" s="177"/>
      <c r="R13" s="176">
        <f>IFERROR(1-SUMIF('Grid BD'!$B:$B,$A13,'Grid BD'!$AE:$AE)/($AA13+SUMIF('Grid BD'!$B:$B,$A13,'Grid BD'!$AE:$AE)),"")</f>
        <v>1</v>
      </c>
      <c r="S13" s="17"/>
      <c r="T13" s="177">
        <f>IFERROR(1-SUMIF(Tracker_BD!H:H,$A13,Tracker_BD!AI:AI)/$F13,"")</f>
        <v>1</v>
      </c>
      <c r="U13" s="178">
        <f t="shared" si="1"/>
        <v>0.68165205404664131</v>
      </c>
      <c r="V13" s="17"/>
      <c r="W13" s="164">
        <f t="shared" si="2"/>
        <v>0.20676778972748119</v>
      </c>
      <c r="X13" s="17">
        <f>IFERROR(_xlfn.XLOOKUP($A13,'Raw Data'!$G:$G,'Raw Data'!AB:AB),"")</f>
        <v>49847</v>
      </c>
      <c r="Y13" s="17">
        <f>IFERROR(_xlfn.XLOOKUP($A13,'Raw Data'!$G:$G,'Raw Data'!AC:AC),"")</f>
        <v>52461.999999999534</v>
      </c>
      <c r="Z13" s="38">
        <f>IFERROR(_xlfn.XLOOKUP($A13,'Raw Data'!$G:$G,'Raw Data'!AD:AD),"")</f>
        <v>321.78000000005369</v>
      </c>
      <c r="AA13" s="38">
        <f>IFERROR(_xlfn.XLOOKUP($A13,'Raw Data'!$G:$G,'Raw Data'!AE:AE)*(1+(_xlfn.XLOOKUP(Table13[[#This Row],[Month Year]],JMR!$A:$A,JMR!$J:$J))),"")</f>
        <v>52140.219999999477</v>
      </c>
      <c r="AB13" s="17">
        <f>_xlfn.XLOOKUP($D13,'Modelling New'!D:D,'Modelling New'!N:N)</f>
        <v>10.507</v>
      </c>
      <c r="AC13" s="24">
        <f>IFERROR(_xlfn.XLOOKUP($D13,'Modelling New'!$D:$D,'Modelling New'!P:P),"")</f>
        <v>7.5896068253333331</v>
      </c>
      <c r="AD13" s="38">
        <f>IFERROR(_xlfn.XLOOKUP($D13,'Modelling New'!$D:$D,'Modelling New'!T:T)*1000,"")</f>
        <v>52819.056225669316</v>
      </c>
      <c r="AE13" s="164">
        <f t="shared" si="3"/>
        <v>0.66235775663545005</v>
      </c>
      <c r="AF13" s="164">
        <f>IFERROR(_xlfn.XLOOKUP($D13,'Modelling New'!$D:$D,'Modelling New'!W:W),"")</f>
        <v>0.20945978960720357</v>
      </c>
      <c r="AG13" s="164">
        <f>IFERROR(_xlfn.XLOOKUP($D13,'Modelling New'!$D:$D,'Modelling New'!AD:AD),"")</f>
        <v>0.995</v>
      </c>
      <c r="AH13" s="164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64"/>
      <c r="AO13" s="164"/>
      <c r="AP13" s="164"/>
      <c r="AQ13" s="164"/>
      <c r="AR13" s="38">
        <f>IFERROR(_xlfn.XLOOKUP($D13,'Modelling New'!$D:$D,'Modelling New'!$N:$N),"")</f>
        <v>10.507</v>
      </c>
      <c r="AS13" s="38"/>
      <c r="AT13" s="38">
        <f>IFERROR(_xlfn.XLOOKUP(Table13[[#This Row],[Date]],'Raw Data'!$G:$G,'Raw Data'!$AJ:$AJ),"")</f>
        <v>0</v>
      </c>
      <c r="AU13" s="38">
        <f>IFERROR(_xlfn.XLOOKUP(Table13[[#This Row],[Month Year]],'Modelling New'!$D:$D,'Modelling New'!$AN:$AN),"")</f>
        <v>10</v>
      </c>
      <c r="AV13" s="38">
        <f>SUMIF('Curtailment records'!$C:$C,Table13[[#This Row],[Date]],'Curtailment records'!$R:$R)/1000</f>
        <v>0</v>
      </c>
    </row>
    <row r="14" spans="1:48">
      <c r="A14" s="66">
        <f t="shared" si="5"/>
        <v>45757</v>
      </c>
      <c r="B14" s="38">
        <f>YEAR(Table13[[#This Row],[Date]])+IF(MONTH(Table13[[#This Row],[Date]])&gt;=4,1,0)</f>
        <v>2026</v>
      </c>
      <c r="C14" s="17">
        <f>YEAR(Table13[[#This Row],[Date]])</f>
        <v>2025</v>
      </c>
      <c r="D14" s="37">
        <f>Table13[[#This Row],[Date]]-DAY(Table13[[#This Row],[Date]])+1</f>
        <v>45748</v>
      </c>
      <c r="E14" s="17">
        <f t="shared" si="6"/>
        <v>30</v>
      </c>
      <c r="F14" s="135" cm="1">
        <f t="array" ref="F14">IFERROR(_xlfn.XLOOKUP(Table13[[#This Row],[Date]],Raw_Data[[#All],[Date]],Raw_Data[[#All],[Operating Hours]]),"")</f>
        <v>12.233333333333333</v>
      </c>
      <c r="G14" s="24">
        <f>IFERROR(_xlfn.XLOOKUP($A14,'Raw Data'!$G:$G,'Raw Data'!S:S)/1000,"")</f>
        <v>5.79</v>
      </c>
      <c r="H14" s="24"/>
      <c r="I14" s="24">
        <f>IFERROR(_xlfn.XLOOKUP($A14,'Raw Data'!$G:$G,'Raw Data'!AF:AF)/1000,"")</f>
        <v>6.5</v>
      </c>
      <c r="J14" s="24"/>
      <c r="K14" s="137">
        <f>IFERROR(_xlfn.XLOOKUP($A14,'Raw Data'!$G:$G,'Raw Data'!W:W),"")</f>
        <v>28.709098007763448</v>
      </c>
      <c r="L14" s="136">
        <f>IFERROR(_xlfn.XLOOKUP($A14,'Raw Data'!$G:$G,'Raw Data'!X:X),"")</f>
        <v>41.839647416089669</v>
      </c>
      <c r="M14" s="136">
        <f>IFERROR(_xlfn.XLOOKUP($A14,'Raw Data'!$G:$G,'Raw Data'!Y:Y),"")</f>
        <v>1.2755807886358617</v>
      </c>
      <c r="N14" s="136">
        <f>IFERROR(_xlfn.XLOOKUP($A14,'Raw Data'!$G:$G,'Raw Data'!Z:Z),"")</f>
        <v>3.957697550455729</v>
      </c>
      <c r="O14" s="176">
        <f>IFERROR(1-SUMIF('Plant BD'!$B:$B,$A14,'Plant BD'!$AM:$AM)/($AA14+SUMIF('Plant BD'!$B:$B,$A14,'Plant BD'!$AM:$AM)),"")</f>
        <v>1</v>
      </c>
      <c r="P14" s="176"/>
      <c r="Q14" s="177"/>
      <c r="R14" s="179">
        <f>IFERROR(1-SUMIF('Grid BD'!$B:$B,$A14,'Grid BD'!$AE:$AE)/($AA14+SUMIF('Grid BD'!$B:$B,$A14,'Grid BD'!$AE:$AE)),"")</f>
        <v>1</v>
      </c>
      <c r="S14" s="17"/>
      <c r="T14" s="177">
        <f>IFERROR(1-SUMIF(Tracker_BD!H:H,$A14,Tracker_BD!AI:AI)/$F14,"")</f>
        <v>1</v>
      </c>
      <c r="U14" s="178">
        <f t="shared" si="1"/>
        <v>0.70655724022816047</v>
      </c>
      <c r="V14" s="17"/>
      <c r="W14" s="164">
        <f t="shared" si="2"/>
        <v>0.19135925256179345</v>
      </c>
      <c r="X14" s="17">
        <f>IFERROR(_xlfn.XLOOKUP($A14,'Raw Data'!$G:$G,'Raw Data'!AB:AB),"")</f>
        <v>46529</v>
      </c>
      <c r="Y14" s="17">
        <f>IFERROR(_xlfn.XLOOKUP($A14,'Raw Data'!$G:$G,'Raw Data'!AC:AC),"")</f>
        <v>48565.000000002328</v>
      </c>
      <c r="Z14" s="38">
        <f>IFERROR(_xlfn.XLOOKUP($A14,'Raw Data'!$G:$G,'Raw Data'!AD:AD),"")</f>
        <v>310.31999999999726</v>
      </c>
      <c r="AA14" s="38">
        <f>IFERROR(_xlfn.XLOOKUP($A14,'Raw Data'!$G:$G,'Raw Data'!AE:AE)*(1+(_xlfn.XLOOKUP(Table13[[#This Row],[Month Year]],JMR!$A:$A,JMR!$J:$J))),"")</f>
        <v>48254.680000002329</v>
      </c>
      <c r="AB14" s="17">
        <f>_xlfn.XLOOKUP($D14,'Modelling New'!D:D,'Modelling New'!N:N)</f>
        <v>10.507</v>
      </c>
      <c r="AC14" s="24">
        <f>IFERROR(_xlfn.XLOOKUP($D14,'Modelling New'!$D:$D,'Modelling New'!P:P),"")</f>
        <v>7.5896068253333331</v>
      </c>
      <c r="AD14" s="38">
        <f>IFERROR(_xlfn.XLOOKUP($D14,'Modelling New'!$D:$D,'Modelling New'!T:T)*1000,"")</f>
        <v>52819.056225669316</v>
      </c>
      <c r="AE14" s="164">
        <f t="shared" si="3"/>
        <v>0.66235775663545005</v>
      </c>
      <c r="AF14" s="164">
        <f>IFERROR(_xlfn.XLOOKUP($D14,'Modelling New'!$D:$D,'Modelling New'!W:W),"")</f>
        <v>0.20945978960720357</v>
      </c>
      <c r="AG14" s="164">
        <f>IFERROR(_xlfn.XLOOKUP($D14,'Modelling New'!$D:$D,'Modelling New'!AD:AD),"")</f>
        <v>0.995</v>
      </c>
      <c r="AH14" s="164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64"/>
      <c r="AO14" s="164"/>
      <c r="AP14" s="164"/>
      <c r="AQ14" s="164"/>
      <c r="AR14" s="38">
        <f>IFERROR(_xlfn.XLOOKUP($D14,'Modelling New'!$D:$D,'Modelling New'!$N:$N),"")</f>
        <v>10.507</v>
      </c>
      <c r="AS14" s="38"/>
      <c r="AT14" s="38">
        <f>IFERROR(_xlfn.XLOOKUP(Table13[[#This Row],[Date]],'Raw Data'!$G:$G,'Raw Data'!$AJ:$AJ),"")</f>
        <v>0</v>
      </c>
      <c r="AU14" s="38">
        <f>IFERROR(_xlfn.XLOOKUP(Table13[[#This Row],[Month Year]],'Modelling New'!$D:$D,'Modelling New'!$AN:$AN),"")</f>
        <v>10</v>
      </c>
      <c r="AV14" s="38">
        <f>SUMIF('Curtailment records'!$C:$C,Table13[[#This Row],[Date]],'Curtailment records'!$R:$R)/1000</f>
        <v>0</v>
      </c>
    </row>
    <row r="15" spans="1:48">
      <c r="A15" s="66">
        <f t="shared" si="5"/>
        <v>45758</v>
      </c>
      <c r="B15" s="38">
        <f>YEAR(Table13[[#This Row],[Date]])+IF(MONTH(Table13[[#This Row],[Date]])&gt;=4,1,0)</f>
        <v>2026</v>
      </c>
      <c r="C15" s="17">
        <f>YEAR(Table13[[#This Row],[Date]])</f>
        <v>2025</v>
      </c>
      <c r="D15" s="37">
        <f>Table13[[#This Row],[Date]]-DAY(Table13[[#This Row],[Date]])+1</f>
        <v>45748</v>
      </c>
      <c r="E15" s="17">
        <f t="shared" si="6"/>
        <v>30</v>
      </c>
      <c r="F15" s="135" cm="1">
        <f t="array" ref="F15">IFERROR(_xlfn.XLOOKUP(Table13[[#This Row],[Date]],Raw_Data[[#All],[Date]],Raw_Data[[#All],[Operating Hours]]),"")</f>
        <v>11.883333333333333</v>
      </c>
      <c r="G15" s="136">
        <f>IFERROR(_xlfn.XLOOKUP($A15,'Raw Data'!$G:$G,'Raw Data'!S:S)/1000,"")</f>
        <v>6.45</v>
      </c>
      <c r="H15" s="136"/>
      <c r="I15" s="136">
        <f>IFERROR(_xlfn.XLOOKUP($A15,'Raw Data'!$G:$G,'Raw Data'!AF:AF)/1000,"")</f>
        <v>7.39</v>
      </c>
      <c r="J15" s="136"/>
      <c r="K15" s="137">
        <f>IFERROR(_xlfn.XLOOKUP($A15,'Raw Data'!$G:$G,'Raw Data'!W:W),"")</f>
        <v>30.195025294022972</v>
      </c>
      <c r="L15" s="136">
        <f>IFERROR(_xlfn.XLOOKUP($A15,'Raw Data'!$G:$G,'Raw Data'!X:X),"")</f>
        <v>46.433191315288987</v>
      </c>
      <c r="M15" s="136">
        <f>IFERROR(_xlfn.XLOOKUP($A15,'Raw Data'!$G:$G,'Raw Data'!Y:Y),"")</f>
        <v>0.77068708417240572</v>
      </c>
      <c r="N15" s="136">
        <f>IFERROR(_xlfn.XLOOKUP($A15,'Raw Data'!$G:$G,'Raw Data'!Z:Z),"")</f>
        <v>3.0955795844395957</v>
      </c>
      <c r="O15" s="176">
        <f>IFERROR(1-SUMIF('Plant BD'!$B:$B,$A15,'Plant BD'!$AM:$AM)/($AA15+SUMIF('Plant BD'!$B:$B,$A15,'Plant BD'!$AM:$AM)),"")</f>
        <v>0.99161004843276401</v>
      </c>
      <c r="P15" s="176"/>
      <c r="Q15" s="177"/>
      <c r="R15" s="176">
        <f>IFERROR(1-SUMIF('Grid BD'!$B:$B,$A15,'Grid BD'!$AE:$AE)/($AA15+SUMIF('Grid BD'!$B:$B,$A15,'Grid BD'!$AE:$AE)),"")</f>
        <v>1</v>
      </c>
      <c r="S15" s="17"/>
      <c r="T15" s="177">
        <f>IFERROR(1-SUMIF(Tracker_BD!H:H,$A15,Tracker_BD!AI:AI)/$F15,"")</f>
        <v>1</v>
      </c>
      <c r="U15" s="178">
        <f t="shared" si="1"/>
        <v>0.69002777064796073</v>
      </c>
      <c r="V15" s="17"/>
      <c r="W15" s="164">
        <f t="shared" si="2"/>
        <v>0.21247105104535124</v>
      </c>
      <c r="X15" s="17">
        <f>IFERROR(_xlfn.XLOOKUP($A15,'Raw Data'!$G:$G,'Raw Data'!AB:AB),"")</f>
        <v>50929</v>
      </c>
      <c r="Y15" s="17">
        <f>IFERROR(_xlfn.XLOOKUP($A15,'Raw Data'!$G:$G,'Raw Data'!AC:AC),"")</f>
        <v>53890.100000004168</v>
      </c>
      <c r="Z15" s="38">
        <f>IFERROR(_xlfn.XLOOKUP($A15,'Raw Data'!$G:$G,'Raw Data'!AD:AD),"")</f>
        <v>311.70000000003029</v>
      </c>
      <c r="AA15" s="38">
        <f>IFERROR(_xlfn.XLOOKUP($A15,'Raw Data'!$G:$G,'Raw Data'!AE:AE)*(1+(_xlfn.XLOOKUP(Table13[[#This Row],[Month Year]],JMR!$A:$A,JMR!$J:$J))),"")</f>
        <v>53578.400000004134</v>
      </c>
      <c r="AB15" s="17">
        <f>_xlfn.XLOOKUP($D15,'Modelling New'!D:D,'Modelling New'!N:N)</f>
        <v>10.507</v>
      </c>
      <c r="AC15" s="24">
        <f>IFERROR(_xlfn.XLOOKUP($D15,'Modelling New'!$D:$D,'Modelling New'!P:P),"")</f>
        <v>7.5896068253333331</v>
      </c>
      <c r="AD15" s="38">
        <f>IFERROR(_xlfn.XLOOKUP($D15,'Modelling New'!$D:$D,'Modelling New'!T:T)*1000,"")</f>
        <v>52819.056225669316</v>
      </c>
      <c r="AE15" s="164">
        <f t="shared" si="3"/>
        <v>0.66235775663545005</v>
      </c>
      <c r="AF15" s="164">
        <f>IFERROR(_xlfn.XLOOKUP($D15,'Modelling New'!$D:$D,'Modelling New'!W:W),"")</f>
        <v>0.20945978960720357</v>
      </c>
      <c r="AG15" s="164">
        <f>IFERROR(_xlfn.XLOOKUP($D15,'Modelling New'!$D:$D,'Modelling New'!AD:AD),"")</f>
        <v>0.995</v>
      </c>
      <c r="AH15" s="164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64"/>
      <c r="AO15" s="164"/>
      <c r="AP15" s="164"/>
      <c r="AQ15" s="164"/>
      <c r="AR15" s="38">
        <f>IFERROR(_xlfn.XLOOKUP($D15,'Modelling New'!$D:$D,'Modelling New'!$N:$N),"")</f>
        <v>10.507</v>
      </c>
      <c r="AS15" s="38"/>
      <c r="AT15" s="38">
        <f>IFERROR(_xlfn.XLOOKUP(Table13[[#This Row],[Date]],'Raw Data'!$G:$G,'Raw Data'!$AJ:$AJ),"")</f>
        <v>0</v>
      </c>
      <c r="AU15" s="38">
        <f>IFERROR(_xlfn.XLOOKUP(Table13[[#This Row],[Month Year]],'Modelling New'!$D:$D,'Modelling New'!$AN:$AN),"")</f>
        <v>10</v>
      </c>
      <c r="AV15" s="38">
        <f>SUMIF('Curtailment records'!$C:$C,Table13[[#This Row],[Date]],'Curtailment records'!$R:$R)/1000</f>
        <v>0</v>
      </c>
    </row>
    <row r="16" spans="1:48">
      <c r="A16" s="66">
        <f t="shared" si="5"/>
        <v>45759</v>
      </c>
      <c r="B16" s="38">
        <f>YEAR(Table13[[#This Row],[Date]])+IF(MONTH(Table13[[#This Row],[Date]])&gt;=4,1,0)</f>
        <v>2026</v>
      </c>
      <c r="C16" s="17">
        <f>YEAR(Table13[[#This Row],[Date]])</f>
        <v>2025</v>
      </c>
      <c r="D16" s="37">
        <f>Table13[[#This Row],[Date]]-DAY(Table13[[#This Row],[Date]])+1</f>
        <v>45748</v>
      </c>
      <c r="E16" s="17">
        <f t="shared" si="6"/>
        <v>30</v>
      </c>
      <c r="F16" s="135" cm="1">
        <f t="array" ref="F16">IFERROR(_xlfn.XLOOKUP(Table13[[#This Row],[Date]],Raw_Data[[#All],[Date]],Raw_Data[[#All],[Operating Hours]]),"")</f>
        <v>11.999999999999998</v>
      </c>
      <c r="G16" s="24">
        <f>IFERROR(_xlfn.XLOOKUP($A16,'Raw Data'!$G:$G,'Raw Data'!S:S)/1000,"")</f>
        <v>6.28</v>
      </c>
      <c r="H16" s="24"/>
      <c r="I16" s="24">
        <f>IFERROR(_xlfn.XLOOKUP($A16,'Raw Data'!$G:$G,'Raw Data'!AF:AF)/1000,"")</f>
        <v>6.92</v>
      </c>
      <c r="J16" s="24"/>
      <c r="K16" s="137">
        <f>IFERROR(_xlfn.XLOOKUP($A16,'Raw Data'!$G:$G,'Raw Data'!W:W),"")</f>
        <v>29.689049315195515</v>
      </c>
      <c r="L16" s="136">
        <f>IFERROR(_xlfn.XLOOKUP($A16,'Raw Data'!$G:$G,'Raw Data'!X:X),"")</f>
        <v>46.609074329603381</v>
      </c>
      <c r="M16" s="136">
        <f>IFERROR(_xlfn.XLOOKUP($A16,'Raw Data'!$G:$G,'Raw Data'!Y:Y),"")</f>
        <v>0.67979260494716853</v>
      </c>
      <c r="N16" s="136">
        <f>IFERROR(_xlfn.XLOOKUP($A16,'Raw Data'!$G:$G,'Raw Data'!Z:Z),"")</f>
        <v>4.34</v>
      </c>
      <c r="O16" s="176">
        <f>IFERROR(1-SUMIF('Plant BD'!$B:$B,$A16,'Plant BD'!$AM:$AM)/($AA16+SUMIF('Plant BD'!$B:$B,$A16,'Plant BD'!$AM:$AM)),"")</f>
        <v>0.99785620158170274</v>
      </c>
      <c r="P16" s="176"/>
      <c r="Q16" s="177"/>
      <c r="R16" s="179">
        <f>IFERROR(1-SUMIF('Grid BD'!$B:$B,$A16,'Grid BD'!$AE:$AE)/($AA16+SUMIF('Grid BD'!$B:$B,$A16,'Grid BD'!$AE:$AE)),"")</f>
        <v>1</v>
      </c>
      <c r="S16" s="17"/>
      <c r="T16" s="177">
        <f>IFERROR(1-SUMIF(Tracker_BD!H:H,$A16,Tracker_BD!AI:AI)/$F16,"")</f>
        <v>1</v>
      </c>
      <c r="U16" s="178">
        <f t="shared" si="1"/>
        <v>0.70782126531662548</v>
      </c>
      <c r="V16" s="17"/>
      <c r="W16" s="164">
        <f t="shared" si="2"/>
        <v>0.20408846483296034</v>
      </c>
      <c r="X16" s="17">
        <f>IFERROR(_xlfn.XLOOKUP($A16,'Raw Data'!$G:$G,'Raw Data'!AB:AB),"")</f>
        <v>49348</v>
      </c>
      <c r="Y16" s="17">
        <f>IFERROR(_xlfn.XLOOKUP($A16,'Raw Data'!$G:$G,'Raw Data'!AC:AC),"")</f>
        <v>51780.899999997928</v>
      </c>
      <c r="Z16" s="38">
        <f>IFERROR(_xlfn.XLOOKUP($A16,'Raw Data'!$G:$G,'Raw Data'!AD:AD),"")</f>
        <v>316.31999999998328</v>
      </c>
      <c r="AA16" s="38">
        <f>IFERROR(_xlfn.XLOOKUP($A16,'Raw Data'!$G:$G,'Raw Data'!AE:AE)*(1+(_xlfn.XLOOKUP(Table13[[#This Row],[Month Year]],JMR!$A:$A,JMR!$J:$J))),"")</f>
        <v>51464.579999997943</v>
      </c>
      <c r="AB16" s="17">
        <f>_xlfn.XLOOKUP($D16,'Modelling New'!D:D,'Modelling New'!N:N)</f>
        <v>10.507</v>
      </c>
      <c r="AC16" s="24">
        <f>IFERROR(_xlfn.XLOOKUP($D16,'Modelling New'!$D:$D,'Modelling New'!P:P),"")</f>
        <v>7.5896068253333331</v>
      </c>
      <c r="AD16" s="38">
        <f>IFERROR(_xlfn.XLOOKUP($D16,'Modelling New'!$D:$D,'Modelling New'!T:T)*1000,"")</f>
        <v>52819.056225669316</v>
      </c>
      <c r="AE16" s="164">
        <f t="shared" si="3"/>
        <v>0.66235775663545005</v>
      </c>
      <c r="AF16" s="164">
        <f>IFERROR(_xlfn.XLOOKUP($D16,'Modelling New'!$D:$D,'Modelling New'!W:W),"")</f>
        <v>0.20945978960720357</v>
      </c>
      <c r="AG16" s="164">
        <f>IFERROR(_xlfn.XLOOKUP($D16,'Modelling New'!$D:$D,'Modelling New'!AD:AD),"")</f>
        <v>0.995</v>
      </c>
      <c r="AH16" s="164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64"/>
      <c r="AO16" s="164"/>
      <c r="AP16" s="164"/>
      <c r="AQ16" s="164"/>
      <c r="AR16" s="38">
        <f>IFERROR(_xlfn.XLOOKUP($D16,'Modelling New'!$D:$D,'Modelling New'!$N:$N),"")</f>
        <v>10.507</v>
      </c>
      <c r="AS16" s="38"/>
      <c r="AT16" s="38">
        <f>IFERROR(_xlfn.XLOOKUP(Table13[[#This Row],[Date]],'Raw Data'!$G:$G,'Raw Data'!$AJ:$AJ),"")</f>
        <v>0</v>
      </c>
      <c r="AU16" s="38">
        <f>IFERROR(_xlfn.XLOOKUP(Table13[[#This Row],[Month Year]],'Modelling New'!$D:$D,'Modelling New'!$AN:$AN),"")</f>
        <v>10</v>
      </c>
      <c r="AV16" s="38">
        <f>SUMIF('Curtailment records'!$C:$C,Table13[[#This Row],[Date]],'Curtailment records'!$R:$R)/1000</f>
        <v>0</v>
      </c>
    </row>
    <row r="17" spans="1:48">
      <c r="A17" s="66">
        <f t="shared" si="5"/>
        <v>45760</v>
      </c>
      <c r="B17" s="38">
        <f>YEAR(Table13[[#This Row],[Date]])+IF(MONTH(Table13[[#This Row],[Date]])&gt;=4,1,0)</f>
        <v>2026</v>
      </c>
      <c r="C17" s="17">
        <f>YEAR(Table13[[#This Row],[Date]])</f>
        <v>2025</v>
      </c>
      <c r="D17" s="37">
        <f>Table13[[#This Row],[Date]]-DAY(Table13[[#This Row],[Date]])+1</f>
        <v>45748</v>
      </c>
      <c r="E17" s="17">
        <f t="shared" si="6"/>
        <v>30</v>
      </c>
      <c r="F17" s="135" cm="1">
        <f t="array" ref="F17">IFERROR(_xlfn.XLOOKUP(Table13[[#This Row],[Date]],Raw_Data[[#All],[Date]],Raw_Data[[#All],[Operating Hours]]),"")</f>
        <v>12.116666666666669</v>
      </c>
      <c r="G17" s="136">
        <f>IFERROR(_xlfn.XLOOKUP($A17,'Raw Data'!$G:$G,'Raw Data'!S:S)/1000,"")</f>
        <v>6.52</v>
      </c>
      <c r="H17" s="136"/>
      <c r="I17" s="136">
        <f>IFERROR(_xlfn.XLOOKUP($A17,'Raw Data'!$G:$G,'Raw Data'!AF:AF)/1000,"")</f>
        <v>7.375</v>
      </c>
      <c r="J17" s="136"/>
      <c r="K17" s="137">
        <f>IFERROR(_xlfn.XLOOKUP($A17,'Raw Data'!$G:$G,'Raw Data'!W:W),"")</f>
        <v>30.195025294022972</v>
      </c>
      <c r="L17" s="136">
        <f>IFERROR(_xlfn.XLOOKUP($A17,'Raw Data'!$G:$G,'Raw Data'!X:X),"")</f>
        <v>46.433191315288987</v>
      </c>
      <c r="M17" s="136">
        <f>IFERROR(_xlfn.XLOOKUP($A17,'Raw Data'!$G:$G,'Raw Data'!Y:Y),"")</f>
        <v>0.77068708417240572</v>
      </c>
      <c r="N17" s="136">
        <f>IFERROR(_xlfn.XLOOKUP($A17,'Raw Data'!$G:$G,'Raw Data'!Z:Z),"")</f>
        <v>3.0955795844395957</v>
      </c>
      <c r="O17" s="176">
        <f>IFERROR(1-SUMIF('Plant BD'!$B:$B,$A17,'Plant BD'!$AM:$AM)/($AA17+SUMIF('Plant BD'!$B:$B,$A17,'Plant BD'!$AM:$AM)),"")</f>
        <v>0.99834813045571191</v>
      </c>
      <c r="P17" s="176"/>
      <c r="Q17" s="177"/>
      <c r="R17" s="176">
        <f>IFERROR(1-SUMIF('Grid BD'!$B:$B,$A17,'Grid BD'!$AE:$AE)/($AA17+SUMIF('Grid BD'!$B:$B,$A17,'Grid BD'!$AE:$AE)),"")</f>
        <v>1</v>
      </c>
      <c r="S17" s="17"/>
      <c r="T17" s="177">
        <f>IFERROR(1-SUMIF(Tracker_BD!H:H,$A17,Tracker_BD!AI:AI)/$F17,"")</f>
        <v>1</v>
      </c>
      <c r="U17" s="178">
        <f t="shared" si="1"/>
        <v>0.68989009748149455</v>
      </c>
      <c r="V17" s="17"/>
      <c r="W17" s="164">
        <f t="shared" si="2"/>
        <v>0.21199747787191758</v>
      </c>
      <c r="X17" s="17">
        <f>IFERROR(_xlfn.XLOOKUP($A17,'Raw Data'!$G:$G,'Raw Data'!AB:AB),"")</f>
        <v>50992</v>
      </c>
      <c r="Y17" s="17">
        <f>IFERROR(_xlfn.XLOOKUP($A17,'Raw Data'!$G:$G,'Raw Data'!AC:AC),"")</f>
        <v>53778.000000005704</v>
      </c>
      <c r="Z17" s="38">
        <f>IFERROR(_xlfn.XLOOKUP($A17,'Raw Data'!$G:$G,'Raw Data'!AD:AD),"")</f>
        <v>319.01999999998765</v>
      </c>
      <c r="AA17" s="38">
        <f>IFERROR(_xlfn.XLOOKUP($A17,'Raw Data'!$G:$G,'Raw Data'!AE:AE)*(1+(_xlfn.XLOOKUP(Table13[[#This Row],[Month Year]],JMR!$A:$A,JMR!$J:$J))),"")</f>
        <v>53458.980000005715</v>
      </c>
      <c r="AB17" s="17">
        <f>_xlfn.XLOOKUP($D17,'Modelling New'!D:D,'Modelling New'!N:N)</f>
        <v>10.507</v>
      </c>
      <c r="AC17" s="24">
        <f>IFERROR(_xlfn.XLOOKUP($D17,'Modelling New'!$D:$D,'Modelling New'!P:P),"")</f>
        <v>7.5896068253333331</v>
      </c>
      <c r="AD17" s="38">
        <f>IFERROR(_xlfn.XLOOKUP($D17,'Modelling New'!$D:$D,'Modelling New'!T:T)*1000,"")</f>
        <v>52819.056225669316</v>
      </c>
      <c r="AE17" s="164">
        <f t="shared" si="3"/>
        <v>0.66235775663545005</v>
      </c>
      <c r="AF17" s="164">
        <f>IFERROR(_xlfn.XLOOKUP($D17,'Modelling New'!$D:$D,'Modelling New'!W:W),"")</f>
        <v>0.20945978960720357</v>
      </c>
      <c r="AG17" s="164">
        <f>IFERROR(_xlfn.XLOOKUP($D17,'Modelling New'!$D:$D,'Modelling New'!AD:AD),"")</f>
        <v>0.995</v>
      </c>
      <c r="AH17" s="164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64"/>
      <c r="AO17" s="164"/>
      <c r="AP17" s="164"/>
      <c r="AQ17" s="164"/>
      <c r="AR17" s="38">
        <f>IFERROR(_xlfn.XLOOKUP($D17,'Modelling New'!$D:$D,'Modelling New'!$N:$N),"")</f>
        <v>10.507</v>
      </c>
      <c r="AS17" s="38"/>
      <c r="AT17" s="38">
        <f>IFERROR(_xlfn.XLOOKUP(Table13[[#This Row],[Date]],'Raw Data'!$G:$G,'Raw Data'!$AJ:$AJ),"")</f>
        <v>0</v>
      </c>
      <c r="AU17" s="38">
        <f>IFERROR(_xlfn.XLOOKUP(Table13[[#This Row],[Month Year]],'Modelling New'!$D:$D,'Modelling New'!$AN:$AN),"")</f>
        <v>10</v>
      </c>
      <c r="AV17" s="38">
        <f>SUMIF('Curtailment records'!$C:$C,Table13[[#This Row],[Date]],'Curtailment records'!$R:$R)/1000</f>
        <v>0</v>
      </c>
    </row>
    <row r="18" spans="1:48">
      <c r="A18" s="66">
        <f t="shared" si="5"/>
        <v>45761</v>
      </c>
      <c r="B18" s="38">
        <f>YEAR(Table13[[#This Row],[Date]])+IF(MONTH(Table13[[#This Row],[Date]])&gt;=4,1,0)</f>
        <v>2026</v>
      </c>
      <c r="C18" s="17">
        <f>YEAR(Table13[[#This Row],[Date]])</f>
        <v>2025</v>
      </c>
      <c r="D18" s="37">
        <f>Table13[[#This Row],[Date]]-DAY(Table13[[#This Row],[Date]])+1</f>
        <v>45748</v>
      </c>
      <c r="E18" s="17">
        <f t="shared" si="6"/>
        <v>30</v>
      </c>
      <c r="F18" s="135" cm="1">
        <f t="array" ref="F18">IFERROR(_xlfn.XLOOKUP(Table13[[#This Row],[Date]],Raw_Data[[#All],[Date]],Raw_Data[[#All],[Operating Hours]]),"")</f>
        <v>12.016666666666664</v>
      </c>
      <c r="G18" s="24">
        <f>IFERROR(_xlfn.XLOOKUP($A18,'Raw Data'!$G:$G,'Raw Data'!S:S)/1000,"")</f>
        <v>5.86</v>
      </c>
      <c r="H18" s="24"/>
      <c r="I18" s="24">
        <f>IFERROR(_xlfn.XLOOKUP($A18,'Raw Data'!$G:$G,'Raw Data'!AF:AF)/1000,"")</f>
        <v>6.35</v>
      </c>
      <c r="J18" s="24"/>
      <c r="K18" s="137">
        <f>IFERROR(_xlfn.XLOOKUP($A18,'Raw Data'!$G:$G,'Raw Data'!W:W),"")</f>
        <v>28.478929105502772</v>
      </c>
      <c r="L18" s="136">
        <f>IFERROR(_xlfn.XLOOKUP($A18,'Raw Data'!$G:$G,'Raw Data'!X:X),"")</f>
        <v>44.05662915701064</v>
      </c>
      <c r="M18" s="136">
        <f>IFERROR(_xlfn.XLOOKUP($A18,'Raw Data'!$G:$G,'Raw Data'!Y:Y),"")</f>
        <v>0.68469360036346205</v>
      </c>
      <c r="N18" s="136">
        <f>IFERROR(_xlfn.XLOOKUP($A18,'Raw Data'!$G:$G,'Raw Data'!Z:Z),"")</f>
        <v>1.9063102801640828</v>
      </c>
      <c r="O18" s="176">
        <f>IFERROR(1-SUMIF('Plant BD'!$B:$B,$A18,'Plant BD'!$AM:$AM)/($AA18+SUMIF('Plant BD'!$B:$B,$A18,'Plant BD'!$AM:$AM)),"")</f>
        <v>1</v>
      </c>
      <c r="P18" s="176"/>
      <c r="Q18" s="177"/>
      <c r="R18" s="179">
        <f>IFERROR(1-SUMIF('Grid BD'!$B:$B,$A18,'Grid BD'!$AE:$AE)/($AA18+SUMIF('Grid BD'!$B:$B,$A18,'Grid BD'!$AE:$AE)),"")</f>
        <v>1</v>
      </c>
      <c r="S18" s="17"/>
      <c r="T18" s="177">
        <f>IFERROR(1-SUMIF(Tracker_BD!H:H,$A18,Tracker_BD!AI:AI)/$F18,"")</f>
        <v>1</v>
      </c>
      <c r="U18" s="178">
        <f t="shared" si="1"/>
        <v>0.69223592220849151</v>
      </c>
      <c r="V18" s="17"/>
      <c r="W18" s="164">
        <f t="shared" si="2"/>
        <v>0.18315408775099673</v>
      </c>
      <c r="X18" s="17">
        <f>IFERROR(_xlfn.XLOOKUP($A18,'Raw Data'!$G:$G,'Raw Data'!AB:AB),"")</f>
        <v>44810</v>
      </c>
      <c r="Y18" s="17">
        <f>IFERROR(_xlfn.XLOOKUP($A18,'Raw Data'!$G:$G,'Raw Data'!AC:AC),"")</f>
        <v>46506.599999993341</v>
      </c>
      <c r="Z18" s="38">
        <f>IFERROR(_xlfn.XLOOKUP($A18,'Raw Data'!$G:$G,'Raw Data'!AD:AD),"")</f>
        <v>320.99999999999795</v>
      </c>
      <c r="AA18" s="38">
        <f>IFERROR(_xlfn.XLOOKUP($A18,'Raw Data'!$G:$G,'Raw Data'!AE:AE)*(1+(_xlfn.XLOOKUP(Table13[[#This Row],[Month Year]],JMR!$A:$A,JMR!$J:$J))),"")</f>
        <v>46185.599999993341</v>
      </c>
      <c r="AB18" s="17">
        <f>_xlfn.XLOOKUP($D18,'Modelling New'!D:D,'Modelling New'!N:N)</f>
        <v>10.507</v>
      </c>
      <c r="AC18" s="24">
        <f>IFERROR(_xlfn.XLOOKUP($D18,'Modelling New'!$D:$D,'Modelling New'!P:P),"")</f>
        <v>7.5896068253333331</v>
      </c>
      <c r="AD18" s="38">
        <f>IFERROR(_xlfn.XLOOKUP($D18,'Modelling New'!$D:$D,'Modelling New'!T:T)*1000,"")</f>
        <v>52819.056225669316</v>
      </c>
      <c r="AE18" s="164">
        <f t="shared" si="3"/>
        <v>0.66235775663545005</v>
      </c>
      <c r="AF18" s="164">
        <f>IFERROR(_xlfn.XLOOKUP($D18,'Modelling New'!$D:$D,'Modelling New'!W:W),"")</f>
        <v>0.20945978960720357</v>
      </c>
      <c r="AG18" s="164">
        <f>IFERROR(_xlfn.XLOOKUP($D18,'Modelling New'!$D:$D,'Modelling New'!AD:AD),"")</f>
        <v>0.995</v>
      </c>
      <c r="AH18" s="164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64"/>
      <c r="AO18" s="164"/>
      <c r="AP18" s="164"/>
      <c r="AQ18" s="164"/>
      <c r="AR18" s="38">
        <f>IFERROR(_xlfn.XLOOKUP($D18,'Modelling New'!$D:$D,'Modelling New'!$N:$N),"")</f>
        <v>10.507</v>
      </c>
      <c r="AS18" s="38"/>
      <c r="AT18" s="38">
        <f>IFERROR(_xlfn.XLOOKUP(Table13[[#This Row],[Date]],'Raw Data'!$G:$G,'Raw Data'!$AJ:$AJ),"")</f>
        <v>0</v>
      </c>
      <c r="AU18" s="38">
        <f>IFERROR(_xlfn.XLOOKUP(Table13[[#This Row],[Month Year]],'Modelling New'!$D:$D,'Modelling New'!$AN:$AN),"")</f>
        <v>10</v>
      </c>
      <c r="AV18" s="38">
        <f>SUMIF('Curtailment records'!$C:$C,Table13[[#This Row],[Date]],'Curtailment records'!$R:$R)/1000</f>
        <v>0</v>
      </c>
    </row>
    <row r="19" spans="1:48">
      <c r="A19" s="66">
        <f t="shared" si="5"/>
        <v>45762</v>
      </c>
      <c r="B19" s="38">
        <f>YEAR(Table13[[#This Row],[Date]])+IF(MONTH(Table13[[#This Row],[Date]])&gt;=4,1,0)</f>
        <v>2026</v>
      </c>
      <c r="C19" s="17">
        <f>YEAR(Table13[[#This Row],[Date]])</f>
        <v>2025</v>
      </c>
      <c r="D19" s="37">
        <f>Table13[[#This Row],[Date]]-DAY(Table13[[#This Row],[Date]])+1</f>
        <v>45748</v>
      </c>
      <c r="E19" s="17">
        <f t="shared" si="6"/>
        <v>30</v>
      </c>
      <c r="F19" s="135" cm="1">
        <f t="array" ref="F19">IFERROR(_xlfn.XLOOKUP(Table13[[#This Row],[Date]],Raw_Data[[#All],[Date]],Raw_Data[[#All],[Operating Hours]]),"")</f>
        <v>11.983333333333333</v>
      </c>
      <c r="G19" s="136">
        <f>IFERROR(_xlfn.XLOOKUP($A19,'Raw Data'!$G:$G,'Raw Data'!S:S)/1000,"")</f>
        <v>6.99</v>
      </c>
      <c r="H19" s="136"/>
      <c r="I19" s="136">
        <f>IFERROR(_xlfn.XLOOKUP($A19,'Raw Data'!$G:$G,'Raw Data'!AF:AF)/1000,"")</f>
        <v>8</v>
      </c>
      <c r="J19" s="136"/>
      <c r="K19" s="137">
        <f>IFERROR(_xlfn.XLOOKUP($A19,'Raw Data'!$G:$G,'Raw Data'!W:W),"")</f>
        <v>30.166000119602909</v>
      </c>
      <c r="L19" s="136">
        <f>IFERROR(_xlfn.XLOOKUP($A19,'Raw Data'!$G:$G,'Raw Data'!X:X),"")</f>
        <v>48.516029009902674</v>
      </c>
      <c r="M19" s="136">
        <f>IFERROR(_xlfn.XLOOKUP($A19,'Raw Data'!$G:$G,'Raw Data'!Y:Y),"")</f>
        <v>0.50302142967642638</v>
      </c>
      <c r="N19" s="136">
        <f>IFERROR(_xlfn.XLOOKUP($A19,'Raw Data'!$G:$G,'Raw Data'!Z:Z),"")</f>
        <v>0.51511903603871667</v>
      </c>
      <c r="O19" s="176">
        <f>IFERROR(1-SUMIF('Plant BD'!$B:$B,$A19,'Plant BD'!$AM:$AM)/($AA19+SUMIF('Plant BD'!$B:$B,$A19,'Plant BD'!$AM:$AM)),"")</f>
        <v>0.84248708294666608</v>
      </c>
      <c r="P19" s="176"/>
      <c r="Q19" s="177"/>
      <c r="R19" s="176">
        <f>IFERROR(1-SUMIF('Grid BD'!$B:$B,$A19,'Grid BD'!$AE:$AE)/($AA19+SUMIF('Grid BD'!$B:$B,$A19,'Grid BD'!$AE:$AE)),"")</f>
        <v>1</v>
      </c>
      <c r="S19" s="17"/>
      <c r="T19" s="177">
        <f>IFERROR(1-SUMIF(Tracker_BD!H:H,$A19,Tracker_BD!AI:AI)/$F19,"")</f>
        <v>1</v>
      </c>
      <c r="U19" s="178">
        <f t="shared" si="1"/>
        <v>0.60200675739987874</v>
      </c>
      <c r="V19" s="17"/>
      <c r="W19" s="164">
        <f t="shared" si="2"/>
        <v>0.20066891913329291</v>
      </c>
      <c r="X19" s="17">
        <f>IFERROR(_xlfn.XLOOKUP($A19,'Raw Data'!$G:$G,'Raw Data'!AB:AB),"")</f>
        <v>47547</v>
      </c>
      <c r="Y19" s="17">
        <f>IFERROR(_xlfn.XLOOKUP($A19,'Raw Data'!$G:$G,'Raw Data'!AC:AC),"")</f>
        <v>50904.500000004191</v>
      </c>
      <c r="Z19" s="38">
        <f>IFERROR(_xlfn.XLOOKUP($A19,'Raw Data'!$G:$G,'Raw Data'!AD:AD),"")</f>
        <v>302.21999999998417</v>
      </c>
      <c r="AA19" s="38">
        <f>IFERROR(_xlfn.XLOOKUP($A19,'Raw Data'!$G:$G,'Raw Data'!AE:AE)*(1+(_xlfn.XLOOKUP(Table13[[#This Row],[Month Year]],JMR!$A:$A,JMR!$J:$J))),"")</f>
        <v>50602.280000004204</v>
      </c>
      <c r="AB19" s="17">
        <f>_xlfn.XLOOKUP($D19,'Modelling New'!D:D,'Modelling New'!N:N)</f>
        <v>10.507</v>
      </c>
      <c r="AC19" s="24">
        <f>IFERROR(_xlfn.XLOOKUP($D19,'Modelling New'!$D:$D,'Modelling New'!P:P),"")</f>
        <v>7.5896068253333331</v>
      </c>
      <c r="AD19" s="38">
        <f>IFERROR(_xlfn.XLOOKUP($D19,'Modelling New'!$D:$D,'Modelling New'!T:T)*1000,"")</f>
        <v>52819.056225669316</v>
      </c>
      <c r="AE19" s="164">
        <f t="shared" si="3"/>
        <v>0.66235775663545005</v>
      </c>
      <c r="AF19" s="164">
        <f>IFERROR(_xlfn.XLOOKUP($D19,'Modelling New'!$D:$D,'Modelling New'!W:W),"")</f>
        <v>0.20945978960720357</v>
      </c>
      <c r="AG19" s="164">
        <f>IFERROR(_xlfn.XLOOKUP($D19,'Modelling New'!$D:$D,'Modelling New'!AD:AD),"")</f>
        <v>0.995</v>
      </c>
      <c r="AH19" s="164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64"/>
      <c r="AO19" s="164"/>
      <c r="AP19" s="164"/>
      <c r="AQ19" s="164"/>
      <c r="AR19" s="38">
        <f>IFERROR(_xlfn.XLOOKUP($D19,'Modelling New'!$D:$D,'Modelling New'!$N:$N),"")</f>
        <v>10.507</v>
      </c>
      <c r="AS19" s="38"/>
      <c r="AT19" s="38">
        <f>IFERROR(_xlfn.XLOOKUP(Table13[[#This Row],[Date]],'Raw Data'!$G:$G,'Raw Data'!$AJ:$AJ),"")</f>
        <v>0</v>
      </c>
      <c r="AU19" s="38">
        <f>IFERROR(_xlfn.XLOOKUP(Table13[[#This Row],[Month Year]],'Modelling New'!$D:$D,'Modelling New'!$AN:$AN),"")</f>
        <v>10</v>
      </c>
      <c r="AV19" s="38">
        <f>SUMIF('Curtailment records'!$C:$C,Table13[[#This Row],[Date]],'Curtailment records'!$R:$R)/1000</f>
        <v>0</v>
      </c>
    </row>
    <row r="20" spans="1:48">
      <c r="A20" s="66">
        <f t="shared" si="5"/>
        <v>45763</v>
      </c>
      <c r="B20" s="38">
        <f>YEAR(Table13[[#This Row],[Date]])+IF(MONTH(Table13[[#This Row],[Date]])&gt;=4,1,0)</f>
        <v>2026</v>
      </c>
      <c r="C20" s="17">
        <f>YEAR(Table13[[#This Row],[Date]])</f>
        <v>2025</v>
      </c>
      <c r="D20" s="37">
        <f>Table13[[#This Row],[Date]]-DAY(Table13[[#This Row],[Date]])+1</f>
        <v>45748</v>
      </c>
      <c r="E20" s="17">
        <f t="shared" si="6"/>
        <v>30</v>
      </c>
      <c r="F20" s="135" cm="1">
        <f t="array" ref="F20">IFERROR(_xlfn.XLOOKUP(Table13[[#This Row],[Date]],Raw_Data[[#All],[Date]],Raw_Data[[#All],[Operating Hours]]),"")</f>
        <v>11.916666666666666</v>
      </c>
      <c r="G20" s="24">
        <f>IFERROR(_xlfn.XLOOKUP($A20,'Raw Data'!$G:$G,'Raw Data'!S:S)/1000,"")</f>
        <v>5.89</v>
      </c>
      <c r="H20" s="24"/>
      <c r="I20" s="24">
        <f>IFERROR(_xlfn.XLOOKUP($A20,'Raw Data'!$G:$G,'Raw Data'!AF:AF)/1000,"")</f>
        <v>6.75</v>
      </c>
      <c r="J20" s="24"/>
      <c r="K20" s="137">
        <f>IFERROR(_xlfn.XLOOKUP($A20,'Raw Data'!$G:$G,'Raw Data'!W:W),"")</f>
        <v>28.769764650372348</v>
      </c>
      <c r="L20" s="136">
        <f>IFERROR(_xlfn.XLOOKUP($A20,'Raw Data'!$G:$G,'Raw Data'!X:X),"")</f>
        <v>47.362187524686433</v>
      </c>
      <c r="M20" s="136">
        <f>IFERROR(_xlfn.XLOOKUP($A20,'Raw Data'!$G:$G,'Raw Data'!Y:Y),"")</f>
        <v>0.80936406749256928</v>
      </c>
      <c r="N20" s="136">
        <f>IFERROR(_xlfn.XLOOKUP($A20,'Raw Data'!$G:$G,'Raw Data'!Z:Z),"")</f>
        <v>5.3675416310628252</v>
      </c>
      <c r="O20" s="176">
        <f>IFERROR(1-SUMIF('Plant BD'!$B:$B,$A20,'Plant BD'!$AM:$AM)/($AA20+SUMIF('Plant BD'!$B:$B,$A20,'Plant BD'!$AM:$AM)),"")</f>
        <v>1</v>
      </c>
      <c r="P20" s="176"/>
      <c r="Q20" s="177"/>
      <c r="R20" s="179">
        <f>IFERROR(1-SUMIF('Grid BD'!$B:$B,$A20,'Grid BD'!$AE:$AE)/($AA20+SUMIF('Grid BD'!$B:$B,$A20,'Grid BD'!$AE:$AE)),"")</f>
        <v>1</v>
      </c>
      <c r="S20" s="17"/>
      <c r="T20" s="177">
        <f>IFERROR(1-SUMIF(Tracker_BD!H:H,$A20,Tracker_BD!AI:AI)/$F20,"")</f>
        <v>1</v>
      </c>
      <c r="U20" s="178">
        <f t="shared" si="1"/>
        <v>0.70095040695972821</v>
      </c>
      <c r="V20" s="17"/>
      <c r="W20" s="164">
        <f t="shared" si="2"/>
        <v>0.19714230195742355</v>
      </c>
      <c r="X20" s="17">
        <f>IFERROR(_xlfn.XLOOKUP($A20,'Raw Data'!$G:$G,'Raw Data'!AB:AB),"")</f>
        <v>47616</v>
      </c>
      <c r="Y20" s="17">
        <f>IFERROR(_xlfn.XLOOKUP($A20,'Raw Data'!$G:$G,'Raw Data'!AC:AC),"")</f>
        <v>50024.499999999534</v>
      </c>
      <c r="Z20" s="38">
        <f>IFERROR(_xlfn.XLOOKUP($A20,'Raw Data'!$G:$G,'Raw Data'!AD:AD),"")</f>
        <v>311.51999999995184</v>
      </c>
      <c r="AA20" s="38">
        <f>IFERROR(_xlfn.XLOOKUP($A20,'Raw Data'!$G:$G,'Raw Data'!AE:AE)*(1+(_xlfn.XLOOKUP(Table13[[#This Row],[Month Year]],JMR!$A:$A,JMR!$J:$J))),"")</f>
        <v>49712.979999999581</v>
      </c>
      <c r="AB20" s="17">
        <f>_xlfn.XLOOKUP($D20,'Modelling New'!D:D,'Modelling New'!N:N)</f>
        <v>10.507</v>
      </c>
      <c r="AC20" s="24">
        <f>IFERROR(_xlfn.XLOOKUP($D20,'Modelling New'!$D:$D,'Modelling New'!P:P),"")</f>
        <v>7.5896068253333331</v>
      </c>
      <c r="AD20" s="38">
        <f>IFERROR(_xlfn.XLOOKUP($D20,'Modelling New'!$D:$D,'Modelling New'!T:T)*1000,"")</f>
        <v>52819.056225669316</v>
      </c>
      <c r="AE20" s="164">
        <f t="shared" si="3"/>
        <v>0.66235775663545005</v>
      </c>
      <c r="AF20" s="164">
        <f>IFERROR(_xlfn.XLOOKUP($D20,'Modelling New'!$D:$D,'Modelling New'!W:W),"")</f>
        <v>0.20945978960720357</v>
      </c>
      <c r="AG20" s="164">
        <f>IFERROR(_xlfn.XLOOKUP($D20,'Modelling New'!$D:$D,'Modelling New'!AD:AD),"")</f>
        <v>0.995</v>
      </c>
      <c r="AH20" s="164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64"/>
      <c r="AO20" s="164"/>
      <c r="AP20" s="164"/>
      <c r="AQ20" s="164"/>
      <c r="AR20" s="38">
        <f>IFERROR(_xlfn.XLOOKUP($D20,'Modelling New'!$D:$D,'Modelling New'!$N:$N),"")</f>
        <v>10.507</v>
      </c>
      <c r="AS20" s="38"/>
      <c r="AT20" s="38">
        <f>IFERROR(_xlfn.XLOOKUP(Table13[[#This Row],[Date]],'Raw Data'!$G:$G,'Raw Data'!$AJ:$AJ),"")</f>
        <v>0</v>
      </c>
      <c r="AU20" s="38">
        <f>IFERROR(_xlfn.XLOOKUP(Table13[[#This Row],[Month Year]],'Modelling New'!$D:$D,'Modelling New'!$AN:$AN),"")</f>
        <v>10</v>
      </c>
      <c r="AV20" s="38">
        <f>SUMIF('Curtailment records'!$C:$C,Table13[[#This Row],[Date]],'Curtailment records'!$R:$R)/1000</f>
        <v>0</v>
      </c>
    </row>
    <row r="21" spans="1:48">
      <c r="A21" s="66">
        <f t="shared" si="5"/>
        <v>45764</v>
      </c>
      <c r="B21" s="38">
        <f>YEAR(Table13[[#This Row],[Date]])+IF(MONTH(Table13[[#This Row],[Date]])&gt;=4,1,0)</f>
        <v>2026</v>
      </c>
      <c r="C21" s="17">
        <f>YEAR(Table13[[#This Row],[Date]])</f>
        <v>2025</v>
      </c>
      <c r="D21" s="37">
        <f>Table13[[#This Row],[Date]]-DAY(Table13[[#This Row],[Date]])+1</f>
        <v>45748</v>
      </c>
      <c r="E21" s="17">
        <f t="shared" si="6"/>
        <v>30</v>
      </c>
      <c r="F21" s="135" cm="1">
        <f t="array" ref="F21">IFERROR(_xlfn.XLOOKUP(Table13[[#This Row],[Date]],Raw_Data[[#All],[Date]],Raw_Data[[#All],[Operating Hours]]),"")</f>
        <v>11.999999999999998</v>
      </c>
      <c r="G21" s="136">
        <f>IFERROR(_xlfn.XLOOKUP($A21,'Raw Data'!$G:$G,'Raw Data'!S:S)/1000,"")</f>
        <v>6.95</v>
      </c>
      <c r="H21" s="136"/>
      <c r="I21" s="136">
        <f>IFERROR(_xlfn.XLOOKUP($A21,'Raw Data'!$G:$G,'Raw Data'!AF:AF)/1000,"")</f>
        <v>7.71</v>
      </c>
      <c r="J21" s="136"/>
      <c r="K21" s="137">
        <f>IFERROR(_xlfn.XLOOKUP($A21,'Raw Data'!$G:$G,'Raw Data'!W:W),"")</f>
        <v>28.46296244171684</v>
      </c>
      <c r="L21" s="136">
        <f>IFERROR(_xlfn.XLOOKUP($A21,'Raw Data'!$G:$G,'Raw Data'!X:X),"")</f>
        <v>43.485844479515499</v>
      </c>
      <c r="M21" s="136">
        <f>IFERROR(_xlfn.XLOOKUP($A21,'Raw Data'!$G:$G,'Raw Data'!Y:Y),"")</f>
        <v>1.615319773285163</v>
      </c>
      <c r="N21" s="136">
        <f>IFERROR(_xlfn.XLOOKUP($A21,'Raw Data'!$G:$G,'Raw Data'!Z:Z),"")</f>
        <v>3.9034866094589233</v>
      </c>
      <c r="O21" s="176">
        <f>IFERROR(1-SUMIF('Plant BD'!$B:$B,$A21,'Plant BD'!$AM:$AM)/($AA21+SUMIF('Plant BD'!$B:$B,$A21,'Plant BD'!$AM:$AM)),"")</f>
        <v>0.99608705729302705</v>
      </c>
      <c r="P21" s="176"/>
      <c r="Q21" s="177"/>
      <c r="R21" s="176">
        <f>IFERROR(1-SUMIF('Grid BD'!$B:$B,$A21,'Grid BD'!$AE:$AE)/($AA21+SUMIF('Grid BD'!$B:$B,$A21,'Grid BD'!$AE:$AE)),"")</f>
        <v>1</v>
      </c>
      <c r="S21" s="17"/>
      <c r="T21" s="177">
        <f>IFERROR(1-SUMIF(Tracker_BD!H:H,$A21,Tracker_BD!AI:AI)/$F21,"")</f>
        <v>1</v>
      </c>
      <c r="U21" s="178">
        <f t="shared" si="1"/>
        <v>0.69488847963381872</v>
      </c>
      <c r="V21" s="17"/>
      <c r="W21" s="164">
        <f t="shared" si="2"/>
        <v>0.22323292408236428</v>
      </c>
      <c r="X21" s="17">
        <f>IFERROR(_xlfn.XLOOKUP($A21,'Raw Data'!$G:$G,'Raw Data'!AB:AB),"")</f>
        <v>52928</v>
      </c>
      <c r="Y21" s="17">
        <f>IFERROR(_xlfn.XLOOKUP($A21,'Raw Data'!$G:$G,'Raw Data'!AC:AC),"")</f>
        <v>56633.00000000163</v>
      </c>
      <c r="Z21" s="38">
        <f>IFERROR(_xlfn.XLOOKUP($A21,'Raw Data'!$G:$G,'Raw Data'!AD:AD),"")</f>
        <v>340.79999999999444</v>
      </c>
      <c r="AA21" s="38">
        <f>IFERROR(_xlfn.XLOOKUP($A21,'Raw Data'!$G:$G,'Raw Data'!AE:AE)*(1+(_xlfn.XLOOKUP(Table13[[#This Row],[Month Year]],JMR!$A:$A,JMR!$J:$J))),"")</f>
        <v>56292.200000001634</v>
      </c>
      <c r="AB21" s="17">
        <f>_xlfn.XLOOKUP($D21,'Modelling New'!D:D,'Modelling New'!N:N)</f>
        <v>10.507</v>
      </c>
      <c r="AC21" s="24">
        <f>IFERROR(_xlfn.XLOOKUP($D21,'Modelling New'!$D:$D,'Modelling New'!P:P),"")</f>
        <v>7.5896068253333331</v>
      </c>
      <c r="AD21" s="38">
        <f>IFERROR(_xlfn.XLOOKUP($D21,'Modelling New'!$D:$D,'Modelling New'!T:T)*1000,"")</f>
        <v>52819.056225669316</v>
      </c>
      <c r="AE21" s="164">
        <f t="shared" si="3"/>
        <v>0.66235775663545005</v>
      </c>
      <c r="AF21" s="164">
        <f>IFERROR(_xlfn.XLOOKUP($D21,'Modelling New'!$D:$D,'Modelling New'!W:W),"")</f>
        <v>0.20945978960720357</v>
      </c>
      <c r="AG21" s="164">
        <f>IFERROR(_xlfn.XLOOKUP($D21,'Modelling New'!$D:$D,'Modelling New'!AD:AD),"")</f>
        <v>0.995</v>
      </c>
      <c r="AH21" s="164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64"/>
      <c r="AO21" s="164"/>
      <c r="AP21" s="164"/>
      <c r="AQ21" s="164"/>
      <c r="AR21" s="38">
        <f>IFERROR(_xlfn.XLOOKUP($D21,'Modelling New'!$D:$D,'Modelling New'!$N:$N),"")</f>
        <v>10.507</v>
      </c>
      <c r="AS21" s="38"/>
      <c r="AT21" s="38">
        <f>IFERROR(_xlfn.XLOOKUP(Table13[[#This Row],[Date]],'Raw Data'!$G:$G,'Raw Data'!$AJ:$AJ),"")</f>
        <v>0</v>
      </c>
      <c r="AU21" s="38">
        <f>IFERROR(_xlfn.XLOOKUP(Table13[[#This Row],[Month Year]],'Modelling New'!$D:$D,'Modelling New'!$AN:$AN),"")</f>
        <v>10</v>
      </c>
      <c r="AV21" s="38">
        <f>SUMIF('Curtailment records'!$C:$C,Table13[[#This Row],[Date]],'Curtailment records'!$R:$R)/1000</f>
        <v>0</v>
      </c>
    </row>
    <row r="22" spans="1:48">
      <c r="A22" s="66">
        <f t="shared" si="5"/>
        <v>45765</v>
      </c>
      <c r="B22" s="38">
        <f>YEAR(Table13[[#This Row],[Date]])+IF(MONTH(Table13[[#This Row],[Date]])&gt;=4,1,0)</f>
        <v>2026</v>
      </c>
      <c r="C22" s="17">
        <f>YEAR(Table13[[#This Row],[Date]])</f>
        <v>2025</v>
      </c>
      <c r="D22" s="37">
        <f>Table13[[#This Row],[Date]]-DAY(Table13[[#This Row],[Date]])+1</f>
        <v>45748</v>
      </c>
      <c r="E22" s="17">
        <f t="shared" si="6"/>
        <v>30</v>
      </c>
      <c r="F22" s="135" cm="1">
        <f t="array" ref="F22">IFERROR(_xlfn.XLOOKUP(Table13[[#This Row],[Date]],Raw_Data[[#All],[Date]],Raw_Data[[#All],[Operating Hours]]),"")</f>
        <v>12.033333333333333</v>
      </c>
      <c r="G22" s="24">
        <f>IFERROR(_xlfn.XLOOKUP($A22,'Raw Data'!$G:$G,'Raw Data'!S:S)/1000,"")</f>
        <v>6.15</v>
      </c>
      <c r="H22" s="24"/>
      <c r="I22" s="24">
        <f>IFERROR(_xlfn.XLOOKUP($A22,'Raw Data'!$G:$G,'Raw Data'!AF:AF)/1000,"")</f>
        <v>6.69</v>
      </c>
      <c r="J22" s="24"/>
      <c r="K22" s="137">
        <f>IFERROR(_xlfn.XLOOKUP($A22,'Raw Data'!$G:$G,'Raw Data'!W:W),"")</f>
        <v>28.769764650372348</v>
      </c>
      <c r="L22" s="136">
        <f>IFERROR(_xlfn.XLOOKUP($A22,'Raw Data'!$G:$G,'Raw Data'!X:X),"")</f>
        <v>47.362187524686433</v>
      </c>
      <c r="M22" s="136">
        <f>IFERROR(_xlfn.XLOOKUP($A22,'Raw Data'!$G:$G,'Raw Data'!Y:Y),"")</f>
        <v>0.80936406749256928</v>
      </c>
      <c r="N22" s="136">
        <f>IFERROR(_xlfn.XLOOKUP($A22,'Raw Data'!$G:$G,'Raw Data'!Z:Z),"")</f>
        <v>5.3675416310628252</v>
      </c>
      <c r="O22" s="176">
        <f>IFERROR(1-SUMIF('Plant BD'!$B:$B,$A22,'Plant BD'!$AM:$AM)/($AA22+SUMIF('Plant BD'!$B:$B,$A22,'Plant BD'!$AM:$AM)),"")</f>
        <v>1</v>
      </c>
      <c r="P22" s="176"/>
      <c r="Q22" s="177"/>
      <c r="R22" s="179">
        <f>IFERROR(1-SUMIF('Grid BD'!$B:$B,$A22,'Grid BD'!$AE:$AE)/($AA22+SUMIF('Grid BD'!$B:$B,$A22,'Grid BD'!$AE:$AE)),"")</f>
        <v>1</v>
      </c>
      <c r="S22" s="17"/>
      <c r="T22" s="177">
        <f>IFERROR(1-SUMIF(Tracker_BD!H:H,$A22,Tracker_BD!AI:AI)/$F22,"")</f>
        <v>1</v>
      </c>
      <c r="U22" s="178">
        <f t="shared" si="1"/>
        <v>0.70092271036339027</v>
      </c>
      <c r="V22" s="17"/>
      <c r="W22" s="164">
        <f t="shared" si="2"/>
        <v>0.19538220551379504</v>
      </c>
      <c r="X22" s="17">
        <f>IFERROR(_xlfn.XLOOKUP($A22,'Raw Data'!$G:$G,'Raw Data'!AB:AB),"")</f>
        <v>47538</v>
      </c>
      <c r="Y22" s="17">
        <f>IFERROR(_xlfn.XLOOKUP($A22,'Raw Data'!$G:$G,'Raw Data'!AC:AC),"")</f>
        <v>49607.900000002701</v>
      </c>
      <c r="Z22" s="38">
        <f>IFERROR(_xlfn.XLOOKUP($A22,'Raw Data'!$G:$G,'Raw Data'!AD:AD),"")</f>
        <v>338.76000000002904</v>
      </c>
      <c r="AA22" s="38">
        <f>IFERROR(_xlfn.XLOOKUP($A22,'Raw Data'!$G:$G,'Raw Data'!AE:AE)*(1+(_xlfn.XLOOKUP(Table13[[#This Row],[Month Year]],JMR!$A:$A,JMR!$J:$J))),"")</f>
        <v>49269.14000000267</v>
      </c>
      <c r="AB22" s="17">
        <f>_xlfn.XLOOKUP($D22,'Modelling New'!D:D,'Modelling New'!N:N)</f>
        <v>10.507</v>
      </c>
      <c r="AC22" s="24">
        <f>IFERROR(_xlfn.XLOOKUP($D22,'Modelling New'!$D:$D,'Modelling New'!P:P),"")</f>
        <v>7.5896068253333331</v>
      </c>
      <c r="AD22" s="38">
        <f>IFERROR(_xlfn.XLOOKUP($D22,'Modelling New'!$D:$D,'Modelling New'!T:T)*1000,"")</f>
        <v>52819.056225669316</v>
      </c>
      <c r="AE22" s="164">
        <f t="shared" si="3"/>
        <v>0.66235775663545005</v>
      </c>
      <c r="AF22" s="164">
        <f>IFERROR(_xlfn.XLOOKUP($D22,'Modelling New'!$D:$D,'Modelling New'!W:W),"")</f>
        <v>0.20945978960720357</v>
      </c>
      <c r="AG22" s="164">
        <f>IFERROR(_xlfn.XLOOKUP($D22,'Modelling New'!$D:$D,'Modelling New'!AD:AD),"")</f>
        <v>0.995</v>
      </c>
      <c r="AH22" s="164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64"/>
      <c r="AO22" s="164"/>
      <c r="AP22" s="164"/>
      <c r="AQ22" s="164"/>
      <c r="AR22" s="38">
        <f>IFERROR(_xlfn.XLOOKUP($D22,'Modelling New'!$D:$D,'Modelling New'!$N:$N),"")</f>
        <v>10.507</v>
      </c>
      <c r="AS22" s="38"/>
      <c r="AT22" s="38">
        <f>IFERROR(_xlfn.XLOOKUP(Table13[[#This Row],[Date]],'Raw Data'!$G:$G,'Raw Data'!$AJ:$AJ),"")</f>
        <v>0</v>
      </c>
      <c r="AU22" s="38">
        <f>IFERROR(_xlfn.XLOOKUP(Table13[[#This Row],[Month Year]],'Modelling New'!$D:$D,'Modelling New'!$AN:$AN),"")</f>
        <v>10</v>
      </c>
      <c r="AV22" s="38">
        <f>SUMIF('Curtailment records'!$C:$C,Table13[[#This Row],[Date]],'Curtailment records'!$R:$R)/1000</f>
        <v>0</v>
      </c>
    </row>
    <row r="23" spans="1:48">
      <c r="A23" s="66">
        <f t="shared" si="5"/>
        <v>45766</v>
      </c>
      <c r="B23" s="38">
        <f>YEAR(Table13[[#This Row],[Date]])+IF(MONTH(Table13[[#This Row],[Date]])&gt;=4,1,0)</f>
        <v>2026</v>
      </c>
      <c r="C23" s="17">
        <f>YEAR(Table13[[#This Row],[Date]])</f>
        <v>2025</v>
      </c>
      <c r="D23" s="37">
        <f>Table13[[#This Row],[Date]]-DAY(Table13[[#This Row],[Date]])+1</f>
        <v>45748</v>
      </c>
      <c r="E23" s="17">
        <f t="shared" si="6"/>
        <v>30</v>
      </c>
      <c r="F23" s="135" cm="1">
        <f t="array" ref="F23">IFERROR(_xlfn.XLOOKUP(Table13[[#This Row],[Date]],Raw_Data[[#All],[Date]],Raw_Data[[#All],[Operating Hours]]),"")</f>
        <v>11.816666666666666</v>
      </c>
      <c r="G23" s="136">
        <f>IFERROR(_xlfn.XLOOKUP($A23,'Raw Data'!$G:$G,'Raw Data'!S:S)/1000,"")</f>
        <v>6.15</v>
      </c>
      <c r="H23" s="136"/>
      <c r="I23" s="136">
        <f>IFERROR(_xlfn.XLOOKUP($A23,'Raw Data'!$G:$G,'Raw Data'!AF:AF)/1000,"")</f>
        <v>6.69</v>
      </c>
      <c r="J23" s="136"/>
      <c r="K23" s="137">
        <f>IFERROR(_xlfn.XLOOKUP($A23,'Raw Data'!$G:$G,'Raw Data'!W:W),"")</f>
        <v>30.166000119602909</v>
      </c>
      <c r="L23" s="136">
        <f>IFERROR(_xlfn.XLOOKUP($A23,'Raw Data'!$G:$G,'Raw Data'!X:X),"")</f>
        <v>48.516029009902674</v>
      </c>
      <c r="M23" s="136">
        <f>IFERROR(_xlfn.XLOOKUP($A23,'Raw Data'!$G:$G,'Raw Data'!Y:Y),"")</f>
        <v>0.50302142967642638</v>
      </c>
      <c r="N23" s="136">
        <f>IFERROR(_xlfn.XLOOKUP($A23,'Raw Data'!$G:$G,'Raw Data'!Z:Z),"")</f>
        <v>0.51511903603871667</v>
      </c>
      <c r="O23" s="176">
        <f>IFERROR(1-SUMIF('Plant BD'!$B:$B,$A23,'Plant BD'!$AM:$AM)/($AA23+SUMIF('Plant BD'!$B:$B,$A23,'Plant BD'!$AM:$AM)),"")</f>
        <v>1</v>
      </c>
      <c r="P23" s="176"/>
      <c r="Q23" s="177"/>
      <c r="R23" s="176">
        <f>IFERROR(1-SUMIF('Grid BD'!$B:$B,$A23,'Grid BD'!$AE:$AE)/($AA23+SUMIF('Grid BD'!$B:$B,$A23,'Grid BD'!$AE:$AE)),"")</f>
        <v>1</v>
      </c>
      <c r="S23" s="17"/>
      <c r="T23" s="177">
        <f>IFERROR(1-SUMIF(Tracker_BD!H:H,$A23,Tracker_BD!AI:AI)/$F23,"")</f>
        <v>1</v>
      </c>
      <c r="U23" s="178">
        <f t="shared" si="1"/>
        <v>0.72484156409058864</v>
      </c>
      <c r="V23" s="17"/>
      <c r="W23" s="164">
        <f t="shared" si="2"/>
        <v>0.20204958599025161</v>
      </c>
      <c r="X23" s="17">
        <f>IFERROR(_xlfn.XLOOKUP($A23,'Raw Data'!$G:$G,'Raw Data'!AB:AB),"")</f>
        <v>48807</v>
      </c>
      <c r="Y23" s="17">
        <f>IFERROR(_xlfn.XLOOKUP($A23,'Raw Data'!$G:$G,'Raw Data'!AC:AC),"")</f>
        <v>51255.299999989802</v>
      </c>
      <c r="Z23" s="38">
        <f>IFERROR(_xlfn.XLOOKUP($A23,'Raw Data'!$G:$G,'Raw Data'!AD:AD),"")</f>
        <v>304.86000000003344</v>
      </c>
      <c r="AA23" s="38">
        <f>IFERROR(_xlfn.XLOOKUP($A23,'Raw Data'!$G:$G,'Raw Data'!AE:AE)*(1+(_xlfn.XLOOKUP(Table13[[#This Row],[Month Year]],JMR!$A:$A,JMR!$J:$J))),"")</f>
        <v>50950.439999989765</v>
      </c>
      <c r="AB23" s="17">
        <f>_xlfn.XLOOKUP($D23,'Modelling New'!D:D,'Modelling New'!N:N)</f>
        <v>10.507</v>
      </c>
      <c r="AC23" s="24">
        <f>IFERROR(_xlfn.XLOOKUP($D23,'Modelling New'!$D:$D,'Modelling New'!P:P),"")</f>
        <v>7.5896068253333331</v>
      </c>
      <c r="AD23" s="38">
        <f>IFERROR(_xlfn.XLOOKUP($D23,'Modelling New'!$D:$D,'Modelling New'!T:T)*1000,"")</f>
        <v>52819.056225669316</v>
      </c>
      <c r="AE23" s="164">
        <f t="shared" si="3"/>
        <v>0.66235775663545005</v>
      </c>
      <c r="AF23" s="164">
        <f>IFERROR(_xlfn.XLOOKUP($D23,'Modelling New'!$D:$D,'Modelling New'!W:W),"")</f>
        <v>0.20945978960720357</v>
      </c>
      <c r="AG23" s="164">
        <f>IFERROR(_xlfn.XLOOKUP($D23,'Modelling New'!$D:$D,'Modelling New'!AD:AD),"")</f>
        <v>0.995</v>
      </c>
      <c r="AH23" s="164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64"/>
      <c r="AO23" s="164"/>
      <c r="AP23" s="164"/>
      <c r="AQ23" s="164"/>
      <c r="AR23" s="38">
        <f>IFERROR(_xlfn.XLOOKUP($D23,'Modelling New'!$D:$D,'Modelling New'!$N:$N),"")</f>
        <v>10.507</v>
      </c>
      <c r="AS23" s="38"/>
      <c r="AT23" s="38">
        <f>IFERROR(_xlfn.XLOOKUP(Table13[[#This Row],[Date]],'Raw Data'!$G:$G,'Raw Data'!$AJ:$AJ),"")</f>
        <v>0</v>
      </c>
      <c r="AU23" s="38">
        <f>IFERROR(_xlfn.XLOOKUP(Table13[[#This Row],[Month Year]],'Modelling New'!$D:$D,'Modelling New'!$AN:$AN),"")</f>
        <v>10</v>
      </c>
      <c r="AV23" s="38">
        <f>SUMIF('Curtailment records'!$C:$C,Table13[[#This Row],[Date]],'Curtailment records'!$R:$R)/1000</f>
        <v>0</v>
      </c>
    </row>
    <row r="24" spans="1:48">
      <c r="A24" s="66">
        <f t="shared" si="5"/>
        <v>45767</v>
      </c>
      <c r="B24" s="38">
        <f>YEAR(Table13[[#This Row],[Date]])+IF(MONTH(Table13[[#This Row],[Date]])&gt;=4,1,0)</f>
        <v>2026</v>
      </c>
      <c r="C24" s="17">
        <f>YEAR(Table13[[#This Row],[Date]])</f>
        <v>2025</v>
      </c>
      <c r="D24" s="37">
        <f>Table13[[#This Row],[Date]]-DAY(Table13[[#This Row],[Date]])+1</f>
        <v>45748</v>
      </c>
      <c r="E24" s="17">
        <f t="shared" si="6"/>
        <v>30</v>
      </c>
      <c r="F24" s="135" cm="1">
        <f t="array" ref="F24">IFERROR(_xlfn.XLOOKUP(Table13[[#This Row],[Date]],Raw_Data[[#All],[Date]],Raw_Data[[#All],[Operating Hours]]),"")</f>
        <v>11.666666666666666</v>
      </c>
      <c r="G24" s="24">
        <f>IFERROR(_xlfn.XLOOKUP($A24,'Raw Data'!$G:$G,'Raw Data'!S:S)/1000,"")</f>
        <v>4.3</v>
      </c>
      <c r="H24" s="24"/>
      <c r="I24" s="24">
        <f>IFERROR(_xlfn.XLOOKUP($A24,'Raw Data'!$G:$G,'Raw Data'!AF:AF)/1000,"")</f>
        <v>4.67</v>
      </c>
      <c r="J24" s="24"/>
      <c r="K24" s="137">
        <f>IFERROR(_xlfn.XLOOKUP($A24,'Raw Data'!$G:$G,'Raw Data'!W:W),"")</f>
        <v>25.080103093804148</v>
      </c>
      <c r="L24" s="136">
        <f>IFERROR(_xlfn.XLOOKUP($A24,'Raw Data'!$G:$G,'Raw Data'!X:X),"")</f>
        <v>36.131179885227553</v>
      </c>
      <c r="M24" s="136">
        <f>IFERROR(_xlfn.XLOOKUP($A24,'Raw Data'!$G:$G,'Raw Data'!Y:Y),"")</f>
        <v>1.2496670054450136</v>
      </c>
      <c r="N24" s="136">
        <f>IFERROR(_xlfn.XLOOKUP($A24,'Raw Data'!$G:$G,'Raw Data'!Z:Z),"")</f>
        <v>5.451418399810791</v>
      </c>
      <c r="O24" s="176">
        <f>IFERROR(1-SUMIF('Plant BD'!$B:$B,$A24,'Plant BD'!$AM:$AM)/($AA24+SUMIF('Plant BD'!$B:$B,$A24,'Plant BD'!$AM:$AM)),"")</f>
        <v>1</v>
      </c>
      <c r="P24" s="176"/>
      <c r="Q24" s="177"/>
      <c r="R24" s="179">
        <f>IFERROR(1-SUMIF('Grid BD'!$B:$B,$A24,'Grid BD'!$AE:$AE)/($AA24+SUMIF('Grid BD'!$B:$B,$A24,'Grid BD'!$AE:$AE)),"")</f>
        <v>1</v>
      </c>
      <c r="S24" s="17"/>
      <c r="T24" s="177">
        <f>IFERROR(1-SUMIF(Tracker_BD!H:H,$A24,Tracker_BD!AI:AI)/$F24,"")</f>
        <v>1</v>
      </c>
      <c r="U24" s="178">
        <f t="shared" si="1"/>
        <v>0.73203486856634392</v>
      </c>
      <c r="V24" s="17"/>
      <c r="W24" s="164">
        <f t="shared" si="2"/>
        <v>0.14244178484186776</v>
      </c>
      <c r="X24" s="17">
        <f>IFERROR(_xlfn.XLOOKUP($A24,'Raw Data'!$G:$G,'Raw Data'!AB:AB),"")</f>
        <v>36115</v>
      </c>
      <c r="Y24" s="17">
        <f>IFERROR(_xlfn.XLOOKUP($A24,'Raw Data'!$G:$G,'Raw Data'!AC:AC),"")</f>
        <v>36221.900000004098</v>
      </c>
      <c r="Z24" s="38">
        <f>IFERROR(_xlfn.XLOOKUP($A24,'Raw Data'!$G:$G,'Raw Data'!AD:AD),"")</f>
        <v>302.63999999998958</v>
      </c>
      <c r="AA24" s="38">
        <f>IFERROR(_xlfn.XLOOKUP($A24,'Raw Data'!$G:$G,'Raw Data'!AE:AE)*(1+(_xlfn.XLOOKUP(Table13[[#This Row],[Month Year]],JMR!$A:$A,JMR!$J:$J))),"")</f>
        <v>35919.260000004106</v>
      </c>
      <c r="AB24" s="17">
        <f>_xlfn.XLOOKUP($D24,'Modelling New'!D:D,'Modelling New'!N:N)</f>
        <v>10.507</v>
      </c>
      <c r="AC24" s="24">
        <f>IFERROR(_xlfn.XLOOKUP($D24,'Modelling New'!$D:$D,'Modelling New'!P:P),"")</f>
        <v>7.5896068253333331</v>
      </c>
      <c r="AD24" s="38">
        <f>IFERROR(_xlfn.XLOOKUP($D24,'Modelling New'!$D:$D,'Modelling New'!T:T)*1000,"")</f>
        <v>52819.056225669316</v>
      </c>
      <c r="AE24" s="164">
        <f t="shared" si="3"/>
        <v>0.66235775663545005</v>
      </c>
      <c r="AF24" s="164">
        <f>IFERROR(_xlfn.XLOOKUP($D24,'Modelling New'!$D:$D,'Modelling New'!W:W),"")</f>
        <v>0.20945978960720357</v>
      </c>
      <c r="AG24" s="164">
        <f>IFERROR(_xlfn.XLOOKUP($D24,'Modelling New'!$D:$D,'Modelling New'!AD:AD),"")</f>
        <v>0.995</v>
      </c>
      <c r="AH24" s="164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64"/>
      <c r="AO24" s="164"/>
      <c r="AP24" s="164"/>
      <c r="AQ24" s="164"/>
      <c r="AR24" s="38">
        <f>IFERROR(_xlfn.XLOOKUP($D24,'Modelling New'!$D:$D,'Modelling New'!$N:$N),"")</f>
        <v>10.507</v>
      </c>
      <c r="AS24" s="38"/>
      <c r="AT24" s="38">
        <f>IFERROR(_xlfn.XLOOKUP(Table13[[#This Row],[Date]],'Raw Data'!$G:$G,'Raw Data'!$AJ:$AJ),"")</f>
        <v>0</v>
      </c>
      <c r="AU24" s="38">
        <f>IFERROR(_xlfn.XLOOKUP(Table13[[#This Row],[Month Year]],'Modelling New'!$D:$D,'Modelling New'!$AN:$AN),"")</f>
        <v>10</v>
      </c>
      <c r="AV24" s="38">
        <f>SUMIF('Curtailment records'!$C:$C,Table13[[#This Row],[Date]],'Curtailment records'!$R:$R)/1000</f>
        <v>0</v>
      </c>
    </row>
    <row r="25" spans="1:48">
      <c r="A25" s="66">
        <f t="shared" si="5"/>
        <v>45768</v>
      </c>
      <c r="B25" s="38">
        <f>YEAR(Table13[[#This Row],[Date]])+IF(MONTH(Table13[[#This Row],[Date]])&gt;=4,1,0)</f>
        <v>2026</v>
      </c>
      <c r="C25" s="17">
        <f>YEAR(Table13[[#This Row],[Date]])</f>
        <v>2025</v>
      </c>
      <c r="D25" s="37">
        <f>Table13[[#This Row],[Date]]-DAY(Table13[[#This Row],[Date]])+1</f>
        <v>45748</v>
      </c>
      <c r="E25" s="17">
        <f t="shared" si="6"/>
        <v>30</v>
      </c>
      <c r="F25" s="135" cm="1">
        <f t="array" ref="F25">IFERROR(_xlfn.XLOOKUP(Table13[[#This Row],[Date]],Raw_Data[[#All],[Date]],Raw_Data[[#All],[Operating Hours]]),"")</f>
        <v>12.083333333333336</v>
      </c>
      <c r="G25" s="136">
        <f>IFERROR(_xlfn.XLOOKUP($A25,'Raw Data'!$G:$G,'Raw Data'!S:S)/1000,"")</f>
        <v>6.23</v>
      </c>
      <c r="H25" s="136"/>
      <c r="I25" s="136">
        <f>IFERROR(_xlfn.XLOOKUP($A25,'Raw Data'!$G:$G,'Raw Data'!AF:AF)/1000,"")</f>
        <v>6.94</v>
      </c>
      <c r="J25" s="136"/>
      <c r="K25" s="137">
        <f>IFERROR(_xlfn.XLOOKUP($A25,'Raw Data'!$G:$G,'Raw Data'!W:W),"")</f>
        <v>28.478929105502772</v>
      </c>
      <c r="L25" s="136">
        <f>IFERROR(_xlfn.XLOOKUP($A25,'Raw Data'!$G:$G,'Raw Data'!X:X),"")</f>
        <v>44.05662915701064</v>
      </c>
      <c r="M25" s="136">
        <f>IFERROR(_xlfn.XLOOKUP($A25,'Raw Data'!$G:$G,'Raw Data'!Y:Y),"")</f>
        <v>0.68469360036346205</v>
      </c>
      <c r="N25" s="136">
        <f>IFERROR(_xlfn.XLOOKUP($A25,'Raw Data'!$G:$G,'Raw Data'!Z:Z),"")</f>
        <v>1.9063102801640828</v>
      </c>
      <c r="O25" s="176">
        <f>IFERROR(1-SUMIF('Plant BD'!$B:$B,$A25,'Plant BD'!$AM:$AM)/($AA25+SUMIF('Plant BD'!$B:$B,$A25,'Plant BD'!$AM:$AM)),"")</f>
        <v>0.87799483392385957</v>
      </c>
      <c r="P25" s="176"/>
      <c r="Q25" s="177"/>
      <c r="R25" s="176">
        <f>IFERROR(1-SUMIF('Grid BD'!$B:$B,$A25,'Grid BD'!$AE:$AE)/($AA25+SUMIF('Grid BD'!$B:$B,$A25,'Grid BD'!$AE:$AE)),"")</f>
        <v>1</v>
      </c>
      <c r="S25" s="17"/>
      <c r="T25" s="177">
        <f>IFERROR(1-SUMIF(Tracker_BD!H:H,$A25,Tracker_BD!AI:AI)/$F25,"")</f>
        <v>1</v>
      </c>
      <c r="U25" s="178">
        <f t="shared" si="1"/>
        <v>0.62323210353240044</v>
      </c>
      <c r="V25" s="17"/>
      <c r="W25" s="164">
        <f t="shared" si="2"/>
        <v>0.18021794993811913</v>
      </c>
      <c r="X25" s="17">
        <f>IFERROR(_xlfn.XLOOKUP($A25,'Raw Data'!$G:$G,'Raw Data'!AB:AB),"")</f>
        <v>43696</v>
      </c>
      <c r="Y25" s="17">
        <f>IFERROR(_xlfn.XLOOKUP($A25,'Raw Data'!$G:$G,'Raw Data'!AC:AC),"")</f>
        <v>45826.499999995576</v>
      </c>
      <c r="Z25" s="38">
        <f>IFERROR(_xlfn.XLOOKUP($A25,'Raw Data'!$G:$G,'Raw Data'!AD:AD),"")</f>
        <v>381.29999999995334</v>
      </c>
      <c r="AA25" s="38">
        <f>IFERROR(_xlfn.XLOOKUP($A25,'Raw Data'!$G:$G,'Raw Data'!AE:AE)*(1+(_xlfn.XLOOKUP(Table13[[#This Row],[Month Year]],JMR!$A:$A,JMR!$J:$J))),"")</f>
        <v>45445.199999995624</v>
      </c>
      <c r="AB25" s="17">
        <f>_xlfn.XLOOKUP($D25,'Modelling New'!D:D,'Modelling New'!N:N)</f>
        <v>10.507</v>
      </c>
      <c r="AC25" s="24">
        <f>IFERROR(_xlfn.XLOOKUP($D25,'Modelling New'!$D:$D,'Modelling New'!P:P),"")</f>
        <v>7.5896068253333331</v>
      </c>
      <c r="AD25" s="38">
        <f>IFERROR(_xlfn.XLOOKUP($D25,'Modelling New'!$D:$D,'Modelling New'!T:T)*1000,"")</f>
        <v>52819.056225669316</v>
      </c>
      <c r="AE25" s="164">
        <f t="shared" si="3"/>
        <v>0.66235775663545005</v>
      </c>
      <c r="AF25" s="164">
        <f>IFERROR(_xlfn.XLOOKUP($D25,'Modelling New'!$D:$D,'Modelling New'!W:W),"")</f>
        <v>0.20945978960720357</v>
      </c>
      <c r="AG25" s="164">
        <f>IFERROR(_xlfn.XLOOKUP($D25,'Modelling New'!$D:$D,'Modelling New'!AD:AD),"")</f>
        <v>0.995</v>
      </c>
      <c r="AH25" s="164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64"/>
      <c r="AO25" s="164"/>
      <c r="AP25" s="164"/>
      <c r="AQ25" s="164"/>
      <c r="AR25" s="38">
        <f>IFERROR(_xlfn.XLOOKUP($D25,'Modelling New'!$D:$D,'Modelling New'!$N:$N),"")</f>
        <v>10.507</v>
      </c>
      <c r="AS25" s="38"/>
      <c r="AT25" s="38">
        <f>IFERROR(_xlfn.XLOOKUP(Table13[[#This Row],[Date]],'Raw Data'!$G:$G,'Raw Data'!$AJ:$AJ),"")</f>
        <v>0</v>
      </c>
      <c r="AU25" s="38">
        <f>IFERROR(_xlfn.XLOOKUP(Table13[[#This Row],[Month Year]],'Modelling New'!$D:$D,'Modelling New'!$AN:$AN),"")</f>
        <v>10</v>
      </c>
      <c r="AV25" s="38">
        <f>SUMIF('Curtailment records'!$C:$C,Table13[[#This Row],[Date]],'Curtailment records'!$R:$R)/1000</f>
        <v>0</v>
      </c>
    </row>
    <row r="26" spans="1:48">
      <c r="A26" s="66">
        <f t="shared" si="5"/>
        <v>45769</v>
      </c>
      <c r="B26" s="38">
        <f>YEAR(Table13[[#This Row],[Date]])+IF(MONTH(Table13[[#This Row],[Date]])&gt;=4,1,0)</f>
        <v>2026</v>
      </c>
      <c r="C26" s="17">
        <f>YEAR(Table13[[#This Row],[Date]])</f>
        <v>2025</v>
      </c>
      <c r="D26" s="37">
        <f>Table13[[#This Row],[Date]]-DAY(Table13[[#This Row],[Date]])+1</f>
        <v>45748</v>
      </c>
      <c r="E26" s="17">
        <f t="shared" si="6"/>
        <v>30</v>
      </c>
      <c r="F26" s="135" cm="1">
        <f t="array" ref="F26">IFERROR(_xlfn.XLOOKUP(Table13[[#This Row],[Date]],Raw_Data[[#All],[Date]],Raw_Data[[#All],[Operating Hours]]),"")</f>
        <v>12.166666666666666</v>
      </c>
      <c r="G26" s="24">
        <f>IFERROR(_xlfn.XLOOKUP($A26,'Raw Data'!$G:$G,'Raw Data'!S:S)/1000,"")</f>
        <v>6.42</v>
      </c>
      <c r="H26" s="24"/>
      <c r="I26" s="24">
        <f>IFERROR(_xlfn.XLOOKUP($A26,'Raw Data'!$G:$G,'Raw Data'!AF:AF)/1000,"")</f>
        <v>7.2</v>
      </c>
      <c r="J26" s="24"/>
      <c r="K26" s="137">
        <f>IFERROR(_xlfn.XLOOKUP($A26,'Raw Data'!$G:$G,'Raw Data'!W:W),"")</f>
        <v>30.195025294022972</v>
      </c>
      <c r="L26" s="136">
        <f>IFERROR(_xlfn.XLOOKUP($A26,'Raw Data'!$G:$G,'Raw Data'!X:X),"")</f>
        <v>46.433191315288987</v>
      </c>
      <c r="M26" s="136">
        <f>IFERROR(_xlfn.XLOOKUP($A26,'Raw Data'!$G:$G,'Raw Data'!Y:Y),"")</f>
        <v>0.77068708417240572</v>
      </c>
      <c r="N26" s="136">
        <f>IFERROR(_xlfn.XLOOKUP($A26,'Raw Data'!$G:$G,'Raw Data'!Z:Z),"")</f>
        <v>3.0955795844395957</v>
      </c>
      <c r="O26" s="176">
        <f>IFERROR(1-SUMIF('Plant BD'!$B:$B,$A26,'Plant BD'!$AM:$AM)/($AA26+SUMIF('Plant BD'!$B:$B,$A26,'Plant BD'!$AM:$AM)),"")</f>
        <v>1</v>
      </c>
      <c r="P26" s="176"/>
      <c r="Q26" s="177"/>
      <c r="R26" s="179">
        <f>IFERROR(1-SUMIF('Grid BD'!$B:$B,$A26,'Grid BD'!$AE:$AE)/($AA26+SUMIF('Grid BD'!$B:$B,$A26,'Grid BD'!$AE:$AE)),"")</f>
        <v>1</v>
      </c>
      <c r="S26" s="17"/>
      <c r="T26" s="177">
        <f>IFERROR(1-SUMIF(Tracker_BD!H:H,$A26,Tracker_BD!AI:AI)/$F26,"")</f>
        <v>1</v>
      </c>
      <c r="U26" s="178">
        <f t="shared" si="1"/>
        <v>0.70209014096428013</v>
      </c>
      <c r="V26" s="17"/>
      <c r="W26" s="164">
        <f t="shared" si="2"/>
        <v>0.21062704228928403</v>
      </c>
      <c r="X26" s="17">
        <f>IFERROR(_xlfn.XLOOKUP($A26,'Raw Data'!$G:$G,'Raw Data'!AB:AB),"")</f>
        <v>50525</v>
      </c>
      <c r="Y26" s="17">
        <f>IFERROR(_xlfn.XLOOKUP($A26,'Raw Data'!$G:$G,'Raw Data'!AC:AC),"")</f>
        <v>53370.800000004238</v>
      </c>
      <c r="Z26" s="38">
        <f>IFERROR(_xlfn.XLOOKUP($A26,'Raw Data'!$G:$G,'Raw Data'!AD:AD),"")</f>
        <v>257.40000000006091</v>
      </c>
      <c r="AA26" s="38">
        <f>IFERROR(_xlfn.XLOOKUP($A26,'Raw Data'!$G:$G,'Raw Data'!AE:AE)*(1+(_xlfn.XLOOKUP(Table13[[#This Row],[Month Year]],JMR!$A:$A,JMR!$J:$J))),"")</f>
        <v>53113.400000004178</v>
      </c>
      <c r="AB26" s="17">
        <f>_xlfn.XLOOKUP($D26,'Modelling New'!D:D,'Modelling New'!N:N)</f>
        <v>10.507</v>
      </c>
      <c r="AC26" s="24">
        <f>IFERROR(_xlfn.XLOOKUP($D26,'Modelling New'!$D:$D,'Modelling New'!P:P),"")</f>
        <v>7.5896068253333331</v>
      </c>
      <c r="AD26" s="38">
        <f>IFERROR(_xlfn.XLOOKUP($D26,'Modelling New'!$D:$D,'Modelling New'!T:T)*1000,"")</f>
        <v>52819.056225669316</v>
      </c>
      <c r="AE26" s="164">
        <f t="shared" si="3"/>
        <v>0.66235775663545005</v>
      </c>
      <c r="AF26" s="164">
        <f>IFERROR(_xlfn.XLOOKUP($D26,'Modelling New'!$D:$D,'Modelling New'!W:W),"")</f>
        <v>0.20945978960720357</v>
      </c>
      <c r="AG26" s="164">
        <f>IFERROR(_xlfn.XLOOKUP($D26,'Modelling New'!$D:$D,'Modelling New'!AD:AD),"")</f>
        <v>0.995</v>
      </c>
      <c r="AH26" s="164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64"/>
      <c r="AO26" s="164"/>
      <c r="AP26" s="164"/>
      <c r="AQ26" s="164"/>
      <c r="AR26" s="38">
        <f>IFERROR(_xlfn.XLOOKUP($D26,'Modelling New'!$D:$D,'Modelling New'!$N:$N),"")</f>
        <v>10.507</v>
      </c>
      <c r="AS26" s="38"/>
      <c r="AT26" s="38">
        <f>IFERROR(_xlfn.XLOOKUP(Table13[[#This Row],[Date]],'Raw Data'!$G:$G,'Raw Data'!$AJ:$AJ),"")</f>
        <v>0</v>
      </c>
      <c r="AU26" s="38">
        <f>IFERROR(_xlfn.XLOOKUP(Table13[[#This Row],[Month Year]],'Modelling New'!$D:$D,'Modelling New'!$AN:$AN),"")</f>
        <v>10</v>
      </c>
      <c r="AV26" s="38">
        <f>SUMIF('Curtailment records'!$C:$C,Table13[[#This Row],[Date]],'Curtailment records'!$R:$R)/1000</f>
        <v>0</v>
      </c>
    </row>
    <row r="27" spans="1:48">
      <c r="A27" s="66">
        <f t="shared" si="5"/>
        <v>45770</v>
      </c>
      <c r="B27" s="38">
        <f>YEAR(Table13[[#This Row],[Date]])+IF(MONTH(Table13[[#This Row],[Date]])&gt;=4,1,0)</f>
        <v>2026</v>
      </c>
      <c r="C27" s="17">
        <f>YEAR(Table13[[#This Row],[Date]])</f>
        <v>2025</v>
      </c>
      <c r="D27" s="37">
        <f>Table13[[#This Row],[Date]]-DAY(Table13[[#This Row],[Date]])+1</f>
        <v>45748</v>
      </c>
      <c r="E27" s="17">
        <f t="shared" si="6"/>
        <v>30</v>
      </c>
      <c r="F27" s="135" cm="1">
        <f t="array" ref="F27">IFERROR(_xlfn.XLOOKUP(Table13[[#This Row],[Date]],Raw_Data[[#All],[Date]],Raw_Data[[#All],[Operating Hours]]),"")</f>
        <v>12.150000000000002</v>
      </c>
      <c r="G27" s="136">
        <f>IFERROR(_xlfn.XLOOKUP($A27,'Raw Data'!$G:$G,'Raw Data'!S:S)/1000,"")</f>
        <v>6.08</v>
      </c>
      <c r="H27" s="136"/>
      <c r="I27" s="136">
        <f>IFERROR(_xlfn.XLOOKUP($A27,'Raw Data'!$G:$G,'Raw Data'!AF:AF)/1000,"")</f>
        <v>6.4</v>
      </c>
      <c r="J27" s="136"/>
      <c r="K27" s="137">
        <f>IFERROR(_xlfn.XLOOKUP($A27,'Raw Data'!$G:$G,'Raw Data'!W:W),"")</f>
        <v>30.227743835971779</v>
      </c>
      <c r="L27" s="136">
        <f>IFERROR(_xlfn.XLOOKUP($A27,'Raw Data'!$G:$G,'Raw Data'!X:X),"")</f>
        <v>45.45609511283979</v>
      </c>
      <c r="M27" s="136">
        <f>IFERROR(_xlfn.XLOOKUP($A27,'Raw Data'!$G:$G,'Raw Data'!Y:Y),"")</f>
        <v>0.88646142972658759</v>
      </c>
      <c r="N27" s="136">
        <f>IFERROR(_xlfn.XLOOKUP($A27,'Raw Data'!$G:$G,'Raw Data'!Z:Z),"")</f>
        <v>4.0238666534423828</v>
      </c>
      <c r="O27" s="176">
        <f>IFERROR(1-SUMIF('Plant BD'!$B:$B,$A27,'Plant BD'!$AM:$AM)/($AA27+SUMIF('Plant BD'!$B:$B,$A27,'Plant BD'!$AM:$AM)),"")</f>
        <v>1</v>
      </c>
      <c r="P27" s="176"/>
      <c r="Q27" s="177"/>
      <c r="R27" s="176">
        <f>IFERROR(1-SUMIF('Grid BD'!$B:$B,$A27,'Grid BD'!$AE:$AE)/($AA27+SUMIF('Grid BD'!$B:$B,$A27,'Grid BD'!$AE:$AE)),"")</f>
        <v>1</v>
      </c>
      <c r="S27" s="17"/>
      <c r="T27" s="177">
        <f>IFERROR(1-SUMIF(Tracker_BD!H:H,$A27,Tracker_BD!AI:AI)/$F27,"")</f>
        <v>1</v>
      </c>
      <c r="U27" s="178">
        <f t="shared" si="1"/>
        <v>0.70535238412485124</v>
      </c>
      <c r="V27" s="17"/>
      <c r="W27" s="164">
        <f t="shared" si="2"/>
        <v>0.18809396909996035</v>
      </c>
      <c r="X27" s="17">
        <f>IFERROR(_xlfn.XLOOKUP($A27,'Raw Data'!$G:$G,'Raw Data'!AB:AB),"")</f>
        <v>45766</v>
      </c>
      <c r="Y27" s="17">
        <f>IFERROR(_xlfn.XLOOKUP($A27,'Raw Data'!$G:$G,'Raw Data'!AC:AC),"")</f>
        <v>47736.799999998766</v>
      </c>
      <c r="Z27" s="38">
        <f>IFERROR(_xlfn.XLOOKUP($A27,'Raw Data'!$G:$G,'Raw Data'!AD:AD),"")</f>
        <v>305.51999999996582</v>
      </c>
      <c r="AA27" s="38">
        <f>IFERROR(_xlfn.XLOOKUP($A27,'Raw Data'!$G:$G,'Raw Data'!AE:AE)*(1+(_xlfn.XLOOKUP(Table13[[#This Row],[Month Year]],JMR!$A:$A,JMR!$J:$J))),"")</f>
        <v>47431.279999998798</v>
      </c>
      <c r="AB27" s="17">
        <f>_xlfn.XLOOKUP($D27,'Modelling New'!D:D,'Modelling New'!N:N)</f>
        <v>10.507</v>
      </c>
      <c r="AC27" s="24">
        <f>IFERROR(_xlfn.XLOOKUP($D27,'Modelling New'!$D:$D,'Modelling New'!P:P),"")</f>
        <v>7.5896068253333331</v>
      </c>
      <c r="AD27" s="38">
        <f>IFERROR(_xlfn.XLOOKUP($D27,'Modelling New'!$D:$D,'Modelling New'!T:T)*1000,"")</f>
        <v>52819.056225669316</v>
      </c>
      <c r="AE27" s="164">
        <f t="shared" si="3"/>
        <v>0.66235775663545005</v>
      </c>
      <c r="AF27" s="164">
        <f>IFERROR(_xlfn.XLOOKUP($D27,'Modelling New'!$D:$D,'Modelling New'!W:W),"")</f>
        <v>0.20945978960720357</v>
      </c>
      <c r="AG27" s="164">
        <f>IFERROR(_xlfn.XLOOKUP($D27,'Modelling New'!$D:$D,'Modelling New'!AD:AD),"")</f>
        <v>0.995</v>
      </c>
      <c r="AH27" s="164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64"/>
      <c r="AO27" s="164"/>
      <c r="AP27" s="164"/>
      <c r="AQ27" s="164"/>
      <c r="AR27" s="38">
        <f>IFERROR(_xlfn.XLOOKUP($D27,'Modelling New'!$D:$D,'Modelling New'!$N:$N),"")</f>
        <v>10.507</v>
      </c>
      <c r="AS27" s="38"/>
      <c r="AT27" s="38">
        <f>IFERROR(_xlfn.XLOOKUP(Table13[[#This Row],[Date]],'Raw Data'!$G:$G,'Raw Data'!$AJ:$AJ),"")</f>
        <v>0</v>
      </c>
      <c r="AU27" s="38">
        <f>IFERROR(_xlfn.XLOOKUP(Table13[[#This Row],[Month Year]],'Modelling New'!$D:$D,'Modelling New'!$AN:$AN),"")</f>
        <v>10</v>
      </c>
      <c r="AV27" s="38">
        <f>SUMIF('Curtailment records'!$C:$C,Table13[[#This Row],[Date]],'Curtailment records'!$R:$R)/1000</f>
        <v>0</v>
      </c>
    </row>
    <row r="28" spans="1:48">
      <c r="A28" s="66">
        <f t="shared" si="5"/>
        <v>45771</v>
      </c>
      <c r="B28" s="38">
        <f>YEAR(Table13[[#This Row],[Date]])+IF(MONTH(Table13[[#This Row],[Date]])&gt;=4,1,0)</f>
        <v>2026</v>
      </c>
      <c r="C28" s="17">
        <f>YEAR(Table13[[#This Row],[Date]])</f>
        <v>2025</v>
      </c>
      <c r="D28" s="37">
        <f>Table13[[#This Row],[Date]]-DAY(Table13[[#This Row],[Date]])+1</f>
        <v>45748</v>
      </c>
      <c r="E28" s="17">
        <f t="shared" si="6"/>
        <v>30</v>
      </c>
      <c r="F28" s="135" cm="1">
        <f t="array" ref="F28">IFERROR(_xlfn.XLOOKUP(Table13[[#This Row],[Date]],Raw_Data[[#All],[Date]],Raw_Data[[#All],[Operating Hours]]),"")</f>
        <v>12.216666666666669</v>
      </c>
      <c r="G28" s="24">
        <f>IFERROR(_xlfn.XLOOKUP($A28,'Raw Data'!$G:$G,'Raw Data'!S:S)/1000,"")</f>
        <v>6.66</v>
      </c>
      <c r="H28" s="24"/>
      <c r="I28" s="24">
        <f>IFERROR(_xlfn.XLOOKUP($A28,'Raw Data'!$G:$G,'Raw Data'!AF:AF)/1000,"")</f>
        <v>7.1749999999999998</v>
      </c>
      <c r="J28" s="24"/>
      <c r="K28" s="137">
        <f>IFERROR(_xlfn.XLOOKUP($A28,'Raw Data'!$G:$G,'Raw Data'!W:W),"")</f>
        <v>30.716914011706759</v>
      </c>
      <c r="L28" s="136">
        <f>IFERROR(_xlfn.XLOOKUP($A28,'Raw Data'!$G:$G,'Raw Data'!X:X),"")</f>
        <v>47.324329121213658</v>
      </c>
      <c r="M28" s="136">
        <f>IFERROR(_xlfn.XLOOKUP($A28,'Raw Data'!$G:$G,'Raw Data'!Y:Y),"")</f>
        <v>1.0548261211318501</v>
      </c>
      <c r="N28" s="136">
        <f>IFERROR(_xlfn.XLOOKUP($A28,'Raw Data'!$G:$G,'Raw Data'!Z:Z),"")</f>
        <v>4.0429811477661133</v>
      </c>
      <c r="O28" s="176">
        <f>IFERROR(1-SUMIF('Plant BD'!$B:$B,$A28,'Plant BD'!$AM:$AM)/($AA28+SUMIF('Plant BD'!$B:$B,$A28,'Plant BD'!$AM:$AM)),"")</f>
        <v>1</v>
      </c>
      <c r="P28" s="176"/>
      <c r="Q28" s="177"/>
      <c r="R28" s="179">
        <f>IFERROR(1-SUMIF('Grid BD'!$B:$B,$A28,'Grid BD'!$AE:$AE)/($AA28+SUMIF('Grid BD'!$B:$B,$A28,'Grid BD'!$AE:$AE)),"")</f>
        <v>1</v>
      </c>
      <c r="S28" s="17"/>
      <c r="T28" s="177">
        <f>IFERROR(1-SUMIF(Tracker_BD!H:H,$A28,Tracker_BD!AI:AI)/$F28,"")</f>
        <v>1</v>
      </c>
      <c r="U28" s="178">
        <f t="shared" si="1"/>
        <v>0.69798551422002197</v>
      </c>
      <c r="V28" s="17"/>
      <c r="W28" s="164">
        <f t="shared" si="2"/>
        <v>0.2086685860220274</v>
      </c>
      <c r="X28" s="17">
        <f>IFERROR(_xlfn.XLOOKUP($A28,'Raw Data'!$G:$G,'Raw Data'!AB:AB),"")</f>
        <v>50266</v>
      </c>
      <c r="Y28" s="17">
        <f>IFERROR(_xlfn.XLOOKUP($A28,'Raw Data'!$G:$G,'Raw Data'!AC:AC),"")</f>
        <v>52925.300000002608</v>
      </c>
      <c r="Z28" s="38">
        <f>IFERROR(_xlfn.XLOOKUP($A28,'Raw Data'!$G:$G,'Raw Data'!AD:AD),"")</f>
        <v>305.75999999999937</v>
      </c>
      <c r="AA28" s="38">
        <f>IFERROR(_xlfn.XLOOKUP($A28,'Raw Data'!$G:$G,'Raw Data'!AE:AE)*(1+(_xlfn.XLOOKUP(Table13[[#This Row],[Month Year]],JMR!$A:$A,JMR!$J:$J))),"")</f>
        <v>52619.540000002606</v>
      </c>
      <c r="AB28" s="17">
        <f>_xlfn.XLOOKUP($D28,'Modelling New'!D:D,'Modelling New'!N:N)</f>
        <v>10.507</v>
      </c>
      <c r="AC28" s="24">
        <f>IFERROR(_xlfn.XLOOKUP($D28,'Modelling New'!$D:$D,'Modelling New'!P:P),"")</f>
        <v>7.5896068253333331</v>
      </c>
      <c r="AD28" s="38">
        <f>IFERROR(_xlfn.XLOOKUP($D28,'Modelling New'!$D:$D,'Modelling New'!T:T)*1000,"")</f>
        <v>52819.056225669316</v>
      </c>
      <c r="AE28" s="164">
        <f t="shared" si="3"/>
        <v>0.66235775663545005</v>
      </c>
      <c r="AF28" s="164">
        <f>IFERROR(_xlfn.XLOOKUP($D28,'Modelling New'!$D:$D,'Modelling New'!W:W),"")</f>
        <v>0.20945978960720357</v>
      </c>
      <c r="AG28" s="164">
        <f>IFERROR(_xlfn.XLOOKUP($D28,'Modelling New'!$D:$D,'Modelling New'!AD:AD),"")</f>
        <v>0.995</v>
      </c>
      <c r="AH28" s="164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64"/>
      <c r="AO28" s="164"/>
      <c r="AP28" s="164"/>
      <c r="AQ28" s="164"/>
      <c r="AR28" s="38">
        <f>IFERROR(_xlfn.XLOOKUP($D28,'Modelling New'!$D:$D,'Modelling New'!$N:$N),"")</f>
        <v>10.507</v>
      </c>
      <c r="AS28" s="38"/>
      <c r="AT28" s="38">
        <f>IFERROR(_xlfn.XLOOKUP(Table13[[#This Row],[Date]],'Raw Data'!$G:$G,'Raw Data'!$AJ:$AJ),"")</f>
        <v>0</v>
      </c>
      <c r="AU28" s="38">
        <f>IFERROR(_xlfn.XLOOKUP(Table13[[#This Row],[Month Year]],'Modelling New'!$D:$D,'Modelling New'!$AN:$AN),"")</f>
        <v>10</v>
      </c>
      <c r="AV28" s="38">
        <f>SUMIF('Curtailment records'!$C:$C,Table13[[#This Row],[Date]],'Curtailment records'!$R:$R)/1000</f>
        <v>0</v>
      </c>
    </row>
    <row r="29" spans="1:48">
      <c r="A29" s="66">
        <f t="shared" si="5"/>
        <v>45772</v>
      </c>
      <c r="B29" s="38">
        <f>YEAR(Table13[[#This Row],[Date]])+IF(MONTH(Table13[[#This Row],[Date]])&gt;=4,1,0)</f>
        <v>2026</v>
      </c>
      <c r="C29" s="17">
        <f>YEAR(Table13[[#This Row],[Date]])</f>
        <v>2025</v>
      </c>
      <c r="D29" s="37">
        <f>Table13[[#This Row],[Date]]-DAY(Table13[[#This Row],[Date]])+1</f>
        <v>45748</v>
      </c>
      <c r="E29" s="17">
        <f t="shared" si="6"/>
        <v>30</v>
      </c>
      <c r="F29" s="135" cm="1">
        <f t="array" ref="F29">IFERROR(_xlfn.XLOOKUP(Table13[[#This Row],[Date]],Raw_Data[[#All],[Date]],Raw_Data[[#All],[Operating Hours]]),"")</f>
        <v>12.033333333333333</v>
      </c>
      <c r="G29" s="136">
        <f>IFERROR(_xlfn.XLOOKUP($A29,'Raw Data'!$G:$G,'Raw Data'!S:S)/1000,"")</f>
        <v>6.14</v>
      </c>
      <c r="H29" s="136"/>
      <c r="I29" s="136">
        <f>IFERROR(_xlfn.XLOOKUP($A29,'Raw Data'!$G:$G,'Raw Data'!AF:AF)/1000,"")</f>
        <v>6.48</v>
      </c>
      <c r="J29" s="136"/>
      <c r="K29" s="137">
        <f>IFERROR(_xlfn.XLOOKUP($A29,'Raw Data'!$G:$G,'Raw Data'!W:W),"")</f>
        <v>30.478981988888393</v>
      </c>
      <c r="L29" s="136">
        <f>IFERROR(_xlfn.XLOOKUP($A29,'Raw Data'!$G:$G,'Raw Data'!X:X),"")</f>
        <v>47.159383897794562</v>
      </c>
      <c r="M29" s="136">
        <f>IFERROR(_xlfn.XLOOKUP($A29,'Raw Data'!$G:$G,'Raw Data'!Y:Y),"")</f>
        <v>0.89743580618669716</v>
      </c>
      <c r="N29" s="136">
        <f>IFERROR(_xlfn.XLOOKUP($A29,'Raw Data'!$G:$G,'Raw Data'!Z:Z),"")</f>
        <v>3.3385260105133057</v>
      </c>
      <c r="O29" s="176">
        <f>IFERROR(1-SUMIF('Plant BD'!$B:$B,$A29,'Plant BD'!$AM:$AM)/($AA29+SUMIF('Plant BD'!$B:$B,$A29,'Plant BD'!$AM:$AM)),"")</f>
        <v>1</v>
      </c>
      <c r="P29" s="176"/>
      <c r="Q29" s="177"/>
      <c r="R29" s="176">
        <f>IFERROR(1-SUMIF('Grid BD'!$B:$B,$A29,'Grid BD'!$AE:$AE)/($AA29+SUMIF('Grid BD'!$B:$B,$A29,'Grid BD'!$AE:$AE)),"")</f>
        <v>1</v>
      </c>
      <c r="S29" s="17"/>
      <c r="T29" s="177">
        <f>IFERROR(1-SUMIF(Tracker_BD!H:H,$A29,Tracker_BD!AI:AI)/$F29,"")</f>
        <v>1</v>
      </c>
      <c r="U29" s="178">
        <f t="shared" si="1"/>
        <v>0.70485637441006077</v>
      </c>
      <c r="V29" s="17"/>
      <c r="W29" s="164">
        <f t="shared" si="2"/>
        <v>0.19031122109071641</v>
      </c>
      <c r="X29" s="17">
        <f>IFERROR(_xlfn.XLOOKUP($A29,'Raw Data'!$G:$G,'Raw Data'!AB:AB),"")</f>
        <v>46238</v>
      </c>
      <c r="Y29" s="17">
        <f>IFERROR(_xlfn.XLOOKUP($A29,'Raw Data'!$G:$G,'Raw Data'!AC:AC),"")</f>
        <v>48299.100000003818</v>
      </c>
      <c r="Z29" s="38">
        <f>IFERROR(_xlfn.XLOOKUP($A29,'Raw Data'!$G:$G,'Raw Data'!AD:AD),"")</f>
        <v>308.70000000003728</v>
      </c>
      <c r="AA29" s="38">
        <f>IFERROR(_xlfn.XLOOKUP($A29,'Raw Data'!$G:$G,'Raw Data'!AE:AE)*(1+(_xlfn.XLOOKUP(Table13[[#This Row],[Month Year]],JMR!$A:$A,JMR!$J:$J))),"")</f>
        <v>47990.400000003778</v>
      </c>
      <c r="AB29" s="17">
        <f>_xlfn.XLOOKUP($D29,'Modelling New'!D:D,'Modelling New'!N:N)</f>
        <v>10.507</v>
      </c>
      <c r="AC29" s="24">
        <f>IFERROR(_xlfn.XLOOKUP($D29,'Modelling New'!$D:$D,'Modelling New'!P:P),"")</f>
        <v>7.5896068253333331</v>
      </c>
      <c r="AD29" s="38">
        <f>IFERROR(_xlfn.XLOOKUP($D29,'Modelling New'!$D:$D,'Modelling New'!T:T)*1000,"")</f>
        <v>52819.056225669316</v>
      </c>
      <c r="AE29" s="164">
        <f t="shared" si="3"/>
        <v>0.66235775663545005</v>
      </c>
      <c r="AF29" s="164">
        <f>IFERROR(_xlfn.XLOOKUP($D29,'Modelling New'!$D:$D,'Modelling New'!W:W),"")</f>
        <v>0.20945978960720357</v>
      </c>
      <c r="AG29" s="164">
        <f>IFERROR(_xlfn.XLOOKUP($D29,'Modelling New'!$D:$D,'Modelling New'!AD:AD),"")</f>
        <v>0.995</v>
      </c>
      <c r="AH29" s="164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64"/>
      <c r="AO29" s="164"/>
      <c r="AP29" s="164"/>
      <c r="AQ29" s="164"/>
      <c r="AR29" s="38">
        <f>IFERROR(_xlfn.XLOOKUP($D29,'Modelling New'!$D:$D,'Modelling New'!$N:$N),"")</f>
        <v>10.507</v>
      </c>
      <c r="AS29" s="38"/>
      <c r="AT29" s="38">
        <f>IFERROR(_xlfn.XLOOKUP(Table13[[#This Row],[Date]],'Raw Data'!$G:$G,'Raw Data'!$AJ:$AJ),"")</f>
        <v>0</v>
      </c>
      <c r="AU29" s="38">
        <f>IFERROR(_xlfn.XLOOKUP(Table13[[#This Row],[Month Year]],'Modelling New'!$D:$D,'Modelling New'!$AN:$AN),"")</f>
        <v>10</v>
      </c>
      <c r="AV29" s="38">
        <f>SUMIF('Curtailment records'!$C:$C,Table13[[#This Row],[Date]],'Curtailment records'!$R:$R)/1000</f>
        <v>0</v>
      </c>
    </row>
    <row r="30" spans="1:48">
      <c r="A30" s="66">
        <f t="shared" si="5"/>
        <v>45773</v>
      </c>
      <c r="B30" s="38">
        <f>YEAR(Table13[[#This Row],[Date]])+IF(MONTH(Table13[[#This Row],[Date]])&gt;=4,1,0)</f>
        <v>2026</v>
      </c>
      <c r="C30" s="17">
        <f>YEAR(Table13[[#This Row],[Date]])</f>
        <v>2025</v>
      </c>
      <c r="D30" s="37">
        <f>Table13[[#This Row],[Date]]-DAY(Table13[[#This Row],[Date]])+1</f>
        <v>45748</v>
      </c>
      <c r="E30" s="17">
        <f t="shared" si="6"/>
        <v>30</v>
      </c>
      <c r="F30" s="135" cm="1">
        <f t="array" ref="F30">IFERROR(_xlfn.XLOOKUP(Table13[[#This Row],[Date]],Raw_Data[[#All],[Date]],Raw_Data[[#All],[Operating Hours]]),"")</f>
        <v>12.250000000000002</v>
      </c>
      <c r="G30" s="24">
        <f>IFERROR(_xlfn.XLOOKUP($A30,'Raw Data'!$G:$G,'Raw Data'!S:S)/1000,"")</f>
        <v>6.83</v>
      </c>
      <c r="H30" s="24"/>
      <c r="I30" s="24">
        <f>IFERROR(_xlfn.XLOOKUP($A30,'Raw Data'!$G:$G,'Raw Data'!AF:AF)/1000,"")</f>
        <v>7.5549999999999997</v>
      </c>
      <c r="J30" s="24"/>
      <c r="K30" s="137">
        <f>IFERROR(_xlfn.XLOOKUP($A30,'Raw Data'!$G:$G,'Raw Data'!W:W),"")</f>
        <v>30.130225562531017</v>
      </c>
      <c r="L30" s="136">
        <f>IFERROR(_xlfn.XLOOKUP($A30,'Raw Data'!$G:$G,'Raw Data'!X:X),"")</f>
        <v>47.661406682885215</v>
      </c>
      <c r="M30" s="136">
        <f>IFERROR(_xlfn.XLOOKUP($A30,'Raw Data'!$G:$G,'Raw Data'!Y:Y),"")</f>
        <v>1.2326965915930013</v>
      </c>
      <c r="N30" s="136">
        <f>IFERROR(_xlfn.XLOOKUP($A30,'Raw Data'!$G:$G,'Raw Data'!Z:Z),"")</f>
        <v>4.8131527900695801</v>
      </c>
      <c r="O30" s="176">
        <f>IFERROR(1-SUMIF('Plant BD'!$B:$B,$A30,'Plant BD'!$AM:$AM)/($AA30+SUMIF('Plant BD'!$B:$B,$A30,'Plant BD'!$AM:$AM)),"")</f>
        <v>0.99673788116903894</v>
      </c>
      <c r="P30" s="176"/>
      <c r="Q30" s="177"/>
      <c r="R30" s="179">
        <f>IFERROR(1-SUMIF('Grid BD'!$B:$B,$A30,'Grid BD'!$AE:$AE)/($AA30+SUMIF('Grid BD'!$B:$B,$A30,'Grid BD'!$AE:$AE)),"")</f>
        <v>1</v>
      </c>
      <c r="S30" s="17"/>
      <c r="T30" s="177">
        <f>IFERROR(1-SUMIF(Tracker_BD!H:H,$A30,Tracker_BD!AI:AI)/$F30,"")</f>
        <v>1</v>
      </c>
      <c r="U30" s="178">
        <f t="shared" si="1"/>
        <v>0.68094555096946296</v>
      </c>
      <c r="V30" s="17"/>
      <c r="W30" s="164">
        <f t="shared" si="2"/>
        <v>0.21435598489892888</v>
      </c>
      <c r="X30" s="17">
        <f>IFERROR(_xlfn.XLOOKUP($A30,'Raw Data'!$G:$G,'Raw Data'!AB:AB),"")</f>
        <v>51304</v>
      </c>
      <c r="Y30" s="17">
        <f>IFERROR(_xlfn.XLOOKUP($A30,'Raw Data'!$G:$G,'Raw Data'!AC:AC),"")</f>
        <v>54362.599999993108</v>
      </c>
      <c r="Z30" s="38">
        <f>IFERROR(_xlfn.XLOOKUP($A30,'Raw Data'!$G:$G,'Raw Data'!AD:AD),"")</f>
        <v>308.88000000000915</v>
      </c>
      <c r="AA30" s="38">
        <f>IFERROR(_xlfn.XLOOKUP($A30,'Raw Data'!$G:$G,'Raw Data'!AE:AE)*(1+(_xlfn.XLOOKUP(Table13[[#This Row],[Month Year]],JMR!$A:$A,JMR!$J:$J))),"")</f>
        <v>54053.719999993096</v>
      </c>
      <c r="AB30" s="17">
        <f>_xlfn.XLOOKUP($D30,'Modelling New'!D:D,'Modelling New'!N:N)</f>
        <v>10.507</v>
      </c>
      <c r="AC30" s="24">
        <f>IFERROR(_xlfn.XLOOKUP($D30,'Modelling New'!$D:$D,'Modelling New'!P:P),"")</f>
        <v>7.5896068253333331</v>
      </c>
      <c r="AD30" s="38">
        <f>IFERROR(_xlfn.XLOOKUP($D30,'Modelling New'!$D:$D,'Modelling New'!T:T)*1000,"")</f>
        <v>52819.056225669316</v>
      </c>
      <c r="AE30" s="164">
        <f t="shared" si="3"/>
        <v>0.66235775663545005</v>
      </c>
      <c r="AF30" s="164">
        <f>IFERROR(_xlfn.XLOOKUP($D30,'Modelling New'!$D:$D,'Modelling New'!W:W),"")</f>
        <v>0.20945978960720357</v>
      </c>
      <c r="AG30" s="164">
        <f>IFERROR(_xlfn.XLOOKUP($D30,'Modelling New'!$D:$D,'Modelling New'!AD:AD),"")</f>
        <v>0.995</v>
      </c>
      <c r="AH30" s="164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64"/>
      <c r="AO30" s="164"/>
      <c r="AP30" s="164"/>
      <c r="AQ30" s="164"/>
      <c r="AR30" s="38">
        <f>IFERROR(_xlfn.XLOOKUP($D30,'Modelling New'!$D:$D,'Modelling New'!$N:$N),"")</f>
        <v>10.507</v>
      </c>
      <c r="AS30" s="38"/>
      <c r="AT30" s="38">
        <f>IFERROR(_xlfn.XLOOKUP(Table13[[#This Row],[Date]],'Raw Data'!$G:$G,'Raw Data'!$AJ:$AJ),"")</f>
        <v>0</v>
      </c>
      <c r="AU30" s="38">
        <f>IFERROR(_xlfn.XLOOKUP(Table13[[#This Row],[Month Year]],'Modelling New'!$D:$D,'Modelling New'!$AN:$AN),"")</f>
        <v>10</v>
      </c>
      <c r="AV30" s="38">
        <f>SUMIF('Curtailment records'!$C:$C,Table13[[#This Row],[Date]],'Curtailment records'!$R:$R)/1000</f>
        <v>0</v>
      </c>
    </row>
    <row r="31" spans="1:48">
      <c r="A31" s="66">
        <f t="shared" si="5"/>
        <v>45774</v>
      </c>
      <c r="B31" s="38">
        <f>YEAR(Table13[[#This Row],[Date]])+IF(MONTH(Table13[[#This Row],[Date]])&gt;=4,1,0)</f>
        <v>2026</v>
      </c>
      <c r="C31" s="17">
        <f>YEAR(Table13[[#This Row],[Date]])</f>
        <v>2025</v>
      </c>
      <c r="D31" s="37">
        <f>Table13[[#This Row],[Date]]-DAY(Table13[[#This Row],[Date]])+1</f>
        <v>45748</v>
      </c>
      <c r="E31" s="17">
        <f t="shared" si="6"/>
        <v>30</v>
      </c>
      <c r="F31" s="135" cm="1">
        <f t="array" ref="F31">IFERROR(_xlfn.XLOOKUP(Table13[[#This Row],[Date]],Raw_Data[[#All],[Date]],Raw_Data[[#All],[Operating Hours]]),"")</f>
        <v>12.133333333333333</v>
      </c>
      <c r="G31" s="136">
        <f>IFERROR(_xlfn.XLOOKUP($A31,'Raw Data'!$G:$G,'Raw Data'!S:S)/1000,"")</f>
        <v>6.07</v>
      </c>
      <c r="H31" s="136"/>
      <c r="I31" s="136">
        <f>IFERROR(_xlfn.XLOOKUP($A31,'Raw Data'!$G:$G,'Raw Data'!AF:AF)/1000,"")</f>
        <v>6.38</v>
      </c>
      <c r="J31" s="136"/>
      <c r="K31" s="137">
        <f>IFERROR(_xlfn.XLOOKUP($A31,'Raw Data'!$G:$G,'Raw Data'!W:W),"")</f>
        <v>30.227743835971779</v>
      </c>
      <c r="L31" s="136">
        <f>IFERROR(_xlfn.XLOOKUP($A31,'Raw Data'!$G:$G,'Raw Data'!X:X),"")</f>
        <v>45.45609511283979</v>
      </c>
      <c r="M31" s="136">
        <f>IFERROR(_xlfn.XLOOKUP($A31,'Raw Data'!$G:$G,'Raw Data'!Y:Y),"")</f>
        <v>0.88646142972658759</v>
      </c>
      <c r="N31" s="136">
        <f>IFERROR(_xlfn.XLOOKUP($A31,'Raw Data'!$G:$G,'Raw Data'!Z:Z),"")</f>
        <v>4.0238666534423828</v>
      </c>
      <c r="O31" s="176">
        <f>IFERROR(1-SUMIF('Plant BD'!$B:$B,$A31,'Plant BD'!$AM:$AM)/($AA31+SUMIF('Plant BD'!$B:$B,$A31,'Plant BD'!$AM:$AM)),"")</f>
        <v>1</v>
      </c>
      <c r="P31" s="176"/>
      <c r="Q31" s="177"/>
      <c r="R31" s="176">
        <f>IFERROR(1-SUMIF('Grid BD'!$B:$B,$A31,'Grid BD'!$AE:$AE)/($AA31+SUMIF('Grid BD'!$B:$B,$A31,'Grid BD'!$AE:$AE)),"")</f>
        <v>1</v>
      </c>
      <c r="S31" s="17"/>
      <c r="T31" s="177">
        <f>IFERROR(1-SUMIF(Tracker_BD!H:H,$A31,Tracker_BD!AI:AI)/$F31,"")</f>
        <v>1</v>
      </c>
      <c r="U31" s="178">
        <f t="shared" si="1"/>
        <v>0.7061708077582578</v>
      </c>
      <c r="V31" s="17"/>
      <c r="W31" s="164">
        <f t="shared" si="2"/>
        <v>0.18772373972907019</v>
      </c>
      <c r="X31" s="17">
        <f>IFERROR(_xlfn.XLOOKUP($A31,'Raw Data'!$G:$G,'Raw Data'!AB:AB),"")</f>
        <v>45458</v>
      </c>
      <c r="Y31" s="17">
        <f>IFERROR(_xlfn.XLOOKUP($A31,'Raw Data'!$G:$G,'Raw Data'!AC:AC),"")</f>
        <v>47634.500000000116</v>
      </c>
      <c r="Z31" s="38">
        <f>IFERROR(_xlfn.XLOOKUP($A31,'Raw Data'!$G:$G,'Raw Data'!AD:AD),"")</f>
        <v>296.57999999994189</v>
      </c>
      <c r="AA31" s="38">
        <f>IFERROR(_xlfn.XLOOKUP($A31,'Raw Data'!$G:$G,'Raw Data'!AE:AE)*(1+(_xlfn.XLOOKUP(Table13[[#This Row],[Month Year]],JMR!$A:$A,JMR!$J:$J))),"")</f>
        <v>47337.920000000173</v>
      </c>
      <c r="AB31" s="17">
        <f>_xlfn.XLOOKUP($D31,'Modelling New'!D:D,'Modelling New'!N:N)</f>
        <v>10.507</v>
      </c>
      <c r="AC31" s="24">
        <f>IFERROR(_xlfn.XLOOKUP($D31,'Modelling New'!$D:$D,'Modelling New'!P:P),"")</f>
        <v>7.5896068253333331</v>
      </c>
      <c r="AD31" s="38">
        <f>IFERROR(_xlfn.XLOOKUP($D31,'Modelling New'!$D:$D,'Modelling New'!T:T)*1000,"")</f>
        <v>52819.056225669316</v>
      </c>
      <c r="AE31" s="164">
        <f t="shared" si="3"/>
        <v>0.66235775663545005</v>
      </c>
      <c r="AF31" s="164">
        <f>IFERROR(_xlfn.XLOOKUP($D31,'Modelling New'!$D:$D,'Modelling New'!W:W),"")</f>
        <v>0.20945978960720357</v>
      </c>
      <c r="AG31" s="164">
        <f>IFERROR(_xlfn.XLOOKUP($D31,'Modelling New'!$D:$D,'Modelling New'!AD:AD),"")</f>
        <v>0.995</v>
      </c>
      <c r="AH31" s="164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64"/>
      <c r="AO31" s="164"/>
      <c r="AP31" s="164"/>
      <c r="AQ31" s="164"/>
      <c r="AR31" s="38">
        <f>IFERROR(_xlfn.XLOOKUP($D31,'Modelling New'!$D:$D,'Modelling New'!$N:$N),"")</f>
        <v>10.507</v>
      </c>
      <c r="AS31" s="38"/>
      <c r="AT31" s="38">
        <f>IFERROR(_xlfn.XLOOKUP(Table13[[#This Row],[Date]],'Raw Data'!$G:$G,'Raw Data'!$AJ:$AJ),"")</f>
        <v>0</v>
      </c>
      <c r="AU31" s="38">
        <f>IFERROR(_xlfn.XLOOKUP(Table13[[#This Row],[Month Year]],'Modelling New'!$D:$D,'Modelling New'!$AN:$AN),"")</f>
        <v>10</v>
      </c>
      <c r="AV31" s="38">
        <f>SUMIF('Curtailment records'!$C:$C,Table13[[#This Row],[Date]],'Curtailment records'!$R:$R)/1000</f>
        <v>0</v>
      </c>
    </row>
    <row r="32" spans="1:48">
      <c r="A32" s="66">
        <f t="shared" si="5"/>
        <v>45775</v>
      </c>
      <c r="B32" s="38">
        <f>YEAR(Table13[[#This Row],[Date]])+IF(MONTH(Table13[[#This Row],[Date]])&gt;=4,1,0)</f>
        <v>2026</v>
      </c>
      <c r="C32" s="17">
        <f>YEAR(Table13[[#This Row],[Date]])</f>
        <v>2025</v>
      </c>
      <c r="D32" s="37">
        <f>Table13[[#This Row],[Date]]-DAY(Table13[[#This Row],[Date]])+1</f>
        <v>45748</v>
      </c>
      <c r="E32" s="17">
        <f t="shared" si="6"/>
        <v>30</v>
      </c>
      <c r="F32" s="135" cm="1">
        <f t="array" ref="F32">IFERROR(_xlfn.XLOOKUP(Table13[[#This Row],[Date]],Raw_Data[[#All],[Date]],Raw_Data[[#All],[Operating Hours]]),"")</f>
        <v>11.866666666666665</v>
      </c>
      <c r="G32" s="24">
        <f>IFERROR(_xlfn.XLOOKUP($A32,'Raw Data'!$G:$G,'Raw Data'!S:S)/1000,"")</f>
        <v>6.45</v>
      </c>
      <c r="H32" s="24"/>
      <c r="I32" s="24">
        <f>IFERROR(_xlfn.XLOOKUP($A32,'Raw Data'!$G:$G,'Raw Data'!AF:AF)/1000,"")</f>
        <v>7.2</v>
      </c>
      <c r="J32" s="24"/>
      <c r="K32" s="137">
        <f>IFERROR(_xlfn.XLOOKUP($A32,'Raw Data'!$G:$G,'Raw Data'!W:W),"")</f>
        <v>30.195025294022972</v>
      </c>
      <c r="L32" s="136">
        <f>IFERROR(_xlfn.XLOOKUP($A32,'Raw Data'!$G:$G,'Raw Data'!X:X),"")</f>
        <v>46.433191315288987</v>
      </c>
      <c r="M32" s="136">
        <f>IFERROR(_xlfn.XLOOKUP($A32,'Raw Data'!$G:$G,'Raw Data'!Y:Y),"")</f>
        <v>0.77068708417240572</v>
      </c>
      <c r="N32" s="136">
        <f>IFERROR(_xlfn.XLOOKUP($A32,'Raw Data'!$G:$G,'Raw Data'!Z:Z),"")</f>
        <v>3.0955795844395957</v>
      </c>
      <c r="O32" s="176">
        <f>IFERROR(1-SUMIF('Plant BD'!$B:$B,$A32,'Plant BD'!$AM:$AM)/($AA32+SUMIF('Plant BD'!$B:$B,$A32,'Plant BD'!$AM:$AM)),"")</f>
        <v>1</v>
      </c>
      <c r="P32" s="176"/>
      <c r="Q32" s="177"/>
      <c r="R32" s="179">
        <f>IFERROR(1-SUMIF('Grid BD'!$B:$B,$A32,'Grid BD'!$AE:$AE)/($AA32+SUMIF('Grid BD'!$B:$B,$A32,'Grid BD'!$AE:$AE)),"")</f>
        <v>1</v>
      </c>
      <c r="S32" s="17"/>
      <c r="T32" s="177">
        <f>IFERROR(1-SUMIF(Tracker_BD!H:H,$A32,Tracker_BD!AI:AI)/$F32,"")</f>
        <v>1</v>
      </c>
      <c r="U32" s="178">
        <f t="shared" si="1"/>
        <v>0.70832302274676184</v>
      </c>
      <c r="V32" s="17"/>
      <c r="W32" s="164">
        <f t="shared" si="2"/>
        <v>0.21249690682402855</v>
      </c>
      <c r="X32" s="17">
        <f>IFERROR(_xlfn.XLOOKUP($A32,'Raw Data'!$G:$G,'Raw Data'!AB:AB),"")</f>
        <v>50824</v>
      </c>
      <c r="Y32" s="17">
        <f>IFERROR(_xlfn.XLOOKUP($A32,'Raw Data'!$G:$G,'Raw Data'!AC:AC),"")</f>
        <v>53883.00000000163</v>
      </c>
      <c r="Z32" s="38">
        <f>IFERROR(_xlfn.XLOOKUP($A32,'Raw Data'!$G:$G,'Raw Data'!AD:AD),"")</f>
        <v>298.07999999999168</v>
      </c>
      <c r="AA32" s="38">
        <f>IFERROR(_xlfn.XLOOKUP($A32,'Raw Data'!$G:$G,'Raw Data'!AE:AE)*(1+(_xlfn.XLOOKUP(Table13[[#This Row],[Month Year]],JMR!$A:$A,JMR!$J:$J))),"")</f>
        <v>53584.920000001635</v>
      </c>
      <c r="AB32" s="17">
        <f>_xlfn.XLOOKUP($D32,'Modelling New'!D:D,'Modelling New'!N:N)</f>
        <v>10.507</v>
      </c>
      <c r="AC32" s="24">
        <f>IFERROR(_xlfn.XLOOKUP($D32,'Modelling New'!$D:$D,'Modelling New'!P:P),"")</f>
        <v>7.5896068253333331</v>
      </c>
      <c r="AD32" s="38">
        <f>IFERROR(_xlfn.XLOOKUP($D32,'Modelling New'!$D:$D,'Modelling New'!T:T)*1000,"")</f>
        <v>52819.056225669316</v>
      </c>
      <c r="AE32" s="164">
        <f t="shared" si="3"/>
        <v>0.66235775663545005</v>
      </c>
      <c r="AF32" s="164">
        <f>IFERROR(_xlfn.XLOOKUP($D32,'Modelling New'!$D:$D,'Modelling New'!W:W),"")</f>
        <v>0.20945978960720357</v>
      </c>
      <c r="AG32" s="164">
        <f>IFERROR(_xlfn.XLOOKUP($D32,'Modelling New'!$D:$D,'Modelling New'!AD:AD),"")</f>
        <v>0.995</v>
      </c>
      <c r="AH32" s="164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64"/>
      <c r="AO32" s="164"/>
      <c r="AP32" s="164"/>
      <c r="AQ32" s="164"/>
      <c r="AR32" s="38">
        <f>IFERROR(_xlfn.XLOOKUP($D32,'Modelling New'!$D:$D,'Modelling New'!$N:$N),"")</f>
        <v>10.507</v>
      </c>
      <c r="AS32" s="38"/>
      <c r="AT32" s="38">
        <f>IFERROR(_xlfn.XLOOKUP(Table13[[#This Row],[Date]],'Raw Data'!$G:$G,'Raw Data'!$AJ:$AJ),"")</f>
        <v>0</v>
      </c>
      <c r="AU32" s="38">
        <f>IFERROR(_xlfn.XLOOKUP(Table13[[#This Row],[Month Year]],'Modelling New'!$D:$D,'Modelling New'!$AN:$AN),"")</f>
        <v>10</v>
      </c>
      <c r="AV32" s="38">
        <f>SUMIF('Curtailment records'!$C:$C,Table13[[#This Row],[Date]],'Curtailment records'!$R:$R)/1000</f>
        <v>0</v>
      </c>
    </row>
    <row r="33" spans="1:48">
      <c r="A33" s="66">
        <f t="shared" si="5"/>
        <v>45776</v>
      </c>
      <c r="B33" s="38">
        <f>YEAR(Table13[[#This Row],[Date]])+IF(MONTH(Table13[[#This Row],[Date]])&gt;=4,1,0)</f>
        <v>2026</v>
      </c>
      <c r="C33" s="17">
        <f>YEAR(Table13[[#This Row],[Date]])</f>
        <v>2025</v>
      </c>
      <c r="D33" s="37">
        <f>Table13[[#This Row],[Date]]-DAY(Table13[[#This Row],[Date]])+1</f>
        <v>45748</v>
      </c>
      <c r="E33" s="17">
        <f t="shared" si="6"/>
        <v>30</v>
      </c>
      <c r="F33" s="135" cm="1">
        <f t="array" ref="F33">IFERROR(_xlfn.XLOOKUP(Table13[[#This Row],[Date]],Raw_Data[[#All],[Date]],Raw_Data[[#All],[Operating Hours]]),"")</f>
        <v>12.316666666666668</v>
      </c>
      <c r="G33" s="136">
        <f>IFERROR(_xlfn.XLOOKUP($A33,'Raw Data'!$G:$G,'Raw Data'!S:S)/1000,"")</f>
        <v>6.32</v>
      </c>
      <c r="H33" s="136"/>
      <c r="I33" s="136">
        <f>IFERROR(_xlfn.XLOOKUP($A33,'Raw Data'!$G:$G,'Raw Data'!AF:AF)/1000,"")</f>
        <v>6.74</v>
      </c>
      <c r="J33" s="136"/>
      <c r="K33" s="137">
        <f>IFERROR(_xlfn.XLOOKUP($A33,'Raw Data'!$G:$G,'Raw Data'!W:W),"")</f>
        <v>28.832486485146188</v>
      </c>
      <c r="L33" s="136">
        <f>IFERROR(_xlfn.XLOOKUP($A33,'Raw Data'!$G:$G,'Raw Data'!X:X),"")</f>
        <v>45.329904009844803</v>
      </c>
      <c r="M33" s="136">
        <f>IFERROR(_xlfn.XLOOKUP($A33,'Raw Data'!$G:$G,'Raw Data'!Y:Y),"")</f>
        <v>0.84027799351795296</v>
      </c>
      <c r="N33" s="136">
        <f>IFERROR(_xlfn.XLOOKUP($A33,'Raw Data'!$G:$G,'Raw Data'!Z:Z),"")</f>
        <v>4.5701980590820313</v>
      </c>
      <c r="O33" s="176">
        <f>IFERROR(1-SUMIF('Plant BD'!$B:$B,$A33,'Plant BD'!$AM:$AM)/($AA33+SUMIF('Plant BD'!$B:$B,$A33,'Plant BD'!$AM:$AM)),"")</f>
        <v>1</v>
      </c>
      <c r="P33" s="176"/>
      <c r="Q33" s="177"/>
      <c r="R33" s="176">
        <f>IFERROR(1-SUMIF('Grid BD'!$B:$B,$A33,'Grid BD'!$AE:$AE)/($AA33+SUMIF('Grid BD'!$B:$B,$A33,'Grid BD'!$AE:$AE)),"")</f>
        <v>1</v>
      </c>
      <c r="S33" s="17"/>
      <c r="T33" s="177">
        <f>IFERROR(1-SUMIF(Tracker_BD!H:H,$A33,Tracker_BD!AI:AI)/$F33,"")</f>
        <v>1</v>
      </c>
      <c r="U33" s="178">
        <f t="shared" si="1"/>
        <v>0.69994710323109222</v>
      </c>
      <c r="V33" s="17"/>
      <c r="W33" s="164">
        <f t="shared" si="2"/>
        <v>0.19656847815739839</v>
      </c>
      <c r="X33" s="17">
        <f>IFERROR(_xlfn.XLOOKUP($A33,'Raw Data'!$G:$G,'Raw Data'!AB:AB),"")</f>
        <v>47486</v>
      </c>
      <c r="Y33" s="17">
        <f>IFERROR(_xlfn.XLOOKUP($A33,'Raw Data'!$G:$G,'Raw Data'!AC:AC),"")</f>
        <v>49894.499999994878</v>
      </c>
      <c r="Z33" s="38">
        <f>IFERROR(_xlfn.XLOOKUP($A33,'Raw Data'!$G:$G,'Raw Data'!AD:AD),"")</f>
        <v>326.22000000003482</v>
      </c>
      <c r="AA33" s="38">
        <f>IFERROR(_xlfn.XLOOKUP($A33,'Raw Data'!$G:$G,'Raw Data'!AE:AE)*(1+(_xlfn.XLOOKUP(Table13[[#This Row],[Month Year]],JMR!$A:$A,JMR!$J:$J))),"")</f>
        <v>49568.27999999484</v>
      </c>
      <c r="AB33" s="17">
        <f>_xlfn.XLOOKUP($D33,'Modelling New'!D:D,'Modelling New'!N:N)</f>
        <v>10.507</v>
      </c>
      <c r="AC33" s="24">
        <f>IFERROR(_xlfn.XLOOKUP($D33,'Modelling New'!$D:$D,'Modelling New'!P:P),"")</f>
        <v>7.5896068253333331</v>
      </c>
      <c r="AD33" s="38">
        <f>IFERROR(_xlfn.XLOOKUP($D33,'Modelling New'!$D:$D,'Modelling New'!T:T)*1000,"")</f>
        <v>52819.056225669316</v>
      </c>
      <c r="AE33" s="164">
        <f t="shared" si="3"/>
        <v>0.66235775663545005</v>
      </c>
      <c r="AF33" s="164">
        <f>IFERROR(_xlfn.XLOOKUP($D33,'Modelling New'!$D:$D,'Modelling New'!W:W),"")</f>
        <v>0.20945978960720357</v>
      </c>
      <c r="AG33" s="164">
        <f>IFERROR(_xlfn.XLOOKUP($D33,'Modelling New'!$D:$D,'Modelling New'!AD:AD),"")</f>
        <v>0.995</v>
      </c>
      <c r="AH33" s="164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64"/>
      <c r="AO33" s="164"/>
      <c r="AP33" s="164"/>
      <c r="AQ33" s="164"/>
      <c r="AR33" s="38">
        <f>IFERROR(_xlfn.XLOOKUP($D33,'Modelling New'!$D:$D,'Modelling New'!$N:$N),"")</f>
        <v>10.507</v>
      </c>
      <c r="AS33" s="38"/>
      <c r="AT33" s="38">
        <f>IFERROR(_xlfn.XLOOKUP(Table13[[#This Row],[Date]],'Raw Data'!$G:$G,'Raw Data'!$AJ:$AJ),"")</f>
        <v>0</v>
      </c>
      <c r="AU33" s="38">
        <f>IFERROR(_xlfn.XLOOKUP(Table13[[#This Row],[Month Year]],'Modelling New'!$D:$D,'Modelling New'!$AN:$AN),"")</f>
        <v>10</v>
      </c>
      <c r="AV33" s="38">
        <f>SUMIF('Curtailment records'!$C:$C,Table13[[#This Row],[Date]],'Curtailment records'!$R:$R)/1000</f>
        <v>0</v>
      </c>
    </row>
    <row r="34" spans="1:48">
      <c r="A34" s="66">
        <f t="shared" si="5"/>
        <v>45777</v>
      </c>
      <c r="B34" s="38">
        <f>YEAR(Table13[[#This Row],[Date]])+IF(MONTH(Table13[[#This Row],[Date]])&gt;=4,1,0)</f>
        <v>2026</v>
      </c>
      <c r="C34" s="17">
        <f>YEAR(Table13[[#This Row],[Date]])</f>
        <v>2025</v>
      </c>
      <c r="D34" s="37">
        <f>Table13[[#This Row],[Date]]-DAY(Table13[[#This Row],[Date]])+1</f>
        <v>45748</v>
      </c>
      <c r="E34" s="17">
        <f t="shared" si="6"/>
        <v>30</v>
      </c>
      <c r="F34" s="135" cm="1">
        <f t="array" ref="F34">IFERROR(_xlfn.XLOOKUP(Table13[[#This Row],[Date]],Raw_Data[[#All],[Date]],Raw_Data[[#All],[Operating Hours]]),"")</f>
        <v>12.216666666666669</v>
      </c>
      <c r="G34" s="24">
        <f>IFERROR(_xlfn.XLOOKUP($A34,'Raw Data'!$G:$G,'Raw Data'!S:S)/1000,"")</f>
        <v>6.39</v>
      </c>
      <c r="H34" s="24"/>
      <c r="I34" s="24">
        <f>IFERROR(_xlfn.XLOOKUP($A34,'Raw Data'!$G:$G,'Raw Data'!AF:AF)/1000,"")</f>
        <v>6.92</v>
      </c>
      <c r="J34" s="24"/>
      <c r="K34" s="137">
        <f>IFERROR(_xlfn.XLOOKUP($A34,'Raw Data'!$G:$G,'Raw Data'!W:W),"")</f>
        <v>29.060165749943774</v>
      </c>
      <c r="L34" s="136">
        <f>IFERROR(_xlfn.XLOOKUP($A34,'Raw Data'!$G:$G,'Raw Data'!X:X),"")</f>
        <v>45.871413189431898</v>
      </c>
      <c r="M34" s="136">
        <f>IFERROR(_xlfn.XLOOKUP($A34,'Raw Data'!$G:$G,'Raw Data'!Y:Y),"")</f>
        <v>1.0986528424951045</v>
      </c>
      <c r="N34" s="136">
        <f>IFERROR(_xlfn.XLOOKUP($A34,'Raw Data'!$G:$G,'Raw Data'!Z:Z),"")</f>
        <v>8.6628732681274414</v>
      </c>
      <c r="O34" s="176">
        <f>IFERROR(1-SUMIF('Plant BD'!$B:$B,$A34,'Plant BD'!$AM:$AM)/($AA34+SUMIF('Plant BD'!$B:$B,$A34,'Plant BD'!$AM:$AM)),"")</f>
        <v>1</v>
      </c>
      <c r="P34" s="176"/>
      <c r="Q34" s="177"/>
      <c r="R34" s="179">
        <f>IFERROR(1-SUMIF('Grid BD'!$B:$B,$A34,'Grid BD'!$AE:$AE)/($AA34+SUMIF('Grid BD'!$B:$B,$A34,'Grid BD'!$AE:$AE)),"")</f>
        <v>1</v>
      </c>
      <c r="S34" s="17"/>
      <c r="T34" s="177">
        <f>IFERROR(1-SUMIF(Tracker_BD!H:H,$A34,Tracker_BD!AI:AI)/$F34,"")</f>
        <v>1</v>
      </c>
      <c r="U34" s="178">
        <f t="shared" si="1"/>
        <v>0.70422470898838208</v>
      </c>
      <c r="V34" s="17"/>
      <c r="W34" s="164">
        <f t="shared" si="2"/>
        <v>0.20305145775831682</v>
      </c>
      <c r="X34" s="17">
        <f>IFERROR(_xlfn.XLOOKUP($A34,'Raw Data'!$G:$G,'Raw Data'!AB:AB),"")</f>
        <v>48801</v>
      </c>
      <c r="Y34" s="17">
        <f>IFERROR(_xlfn.XLOOKUP($A34,'Raw Data'!$G:$G,'Raw Data'!AC:AC),"")</f>
        <v>51524.799999999232</v>
      </c>
      <c r="Z34" s="38">
        <f>IFERROR(_xlfn.XLOOKUP($A34,'Raw Data'!$G:$G,'Raw Data'!AD:AD),"")</f>
        <v>321.71999999999201</v>
      </c>
      <c r="AA34" s="38">
        <f>IFERROR(_xlfn.XLOOKUP($A34,'Raw Data'!$G:$G,'Raw Data'!AE:AE)*(1+(_xlfn.XLOOKUP(Table13[[#This Row],[Month Year]],JMR!$A:$A,JMR!$J:$J))),"")</f>
        <v>51203.079999999238</v>
      </c>
      <c r="AB34" s="17">
        <f>_xlfn.XLOOKUP($D34,'Modelling New'!D:D,'Modelling New'!N:N)</f>
        <v>10.507</v>
      </c>
      <c r="AC34" s="24">
        <f>IFERROR(_xlfn.XLOOKUP($D34,'Modelling New'!$D:$D,'Modelling New'!P:P),"")</f>
        <v>7.5896068253333331</v>
      </c>
      <c r="AD34" s="38">
        <f>IFERROR(_xlfn.XLOOKUP($D34,'Modelling New'!$D:$D,'Modelling New'!T:T)*1000,"")</f>
        <v>52819.056225669316</v>
      </c>
      <c r="AE34" s="164">
        <f t="shared" si="3"/>
        <v>0.66235775663545005</v>
      </c>
      <c r="AF34" s="164">
        <f>IFERROR(_xlfn.XLOOKUP($D34,'Modelling New'!$D:$D,'Modelling New'!W:W),"")</f>
        <v>0.20945978960720357</v>
      </c>
      <c r="AG34" s="164">
        <f>IFERROR(_xlfn.XLOOKUP($D34,'Modelling New'!$D:$D,'Modelling New'!AD:AD),"")</f>
        <v>0.995</v>
      </c>
      <c r="AH34" s="164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64"/>
      <c r="AO34" s="164"/>
      <c r="AP34" s="164"/>
      <c r="AQ34" s="164"/>
      <c r="AR34" s="38">
        <f>IFERROR(_xlfn.XLOOKUP($D34,'Modelling New'!$D:$D,'Modelling New'!$N:$N),"")</f>
        <v>10.507</v>
      </c>
      <c r="AS34" s="38"/>
      <c r="AT34" s="38">
        <f>IFERROR(_xlfn.XLOOKUP(Table13[[#This Row],[Date]],'Raw Data'!$G:$G,'Raw Data'!$AJ:$AJ),"")</f>
        <v>0</v>
      </c>
      <c r="AU34" s="38">
        <f>IFERROR(_xlfn.XLOOKUP(Table13[[#This Row],[Month Year]],'Modelling New'!$D:$D,'Modelling New'!$AN:$AN),"")</f>
        <v>10</v>
      </c>
      <c r="AV34" s="38">
        <f>SUMIF('Curtailment records'!$C:$C,Table13[[#This Row],[Date]],'Curtailment records'!$R:$R)/1000</f>
        <v>0</v>
      </c>
    </row>
    <row r="35" spans="1:48">
      <c r="A35" s="66">
        <f t="shared" si="5"/>
        <v>45778</v>
      </c>
      <c r="B35" s="38">
        <f>YEAR(Table13[[#This Row],[Date]])+IF(MONTH(Table13[[#This Row],[Date]])&gt;=4,1,0)</f>
        <v>2026</v>
      </c>
      <c r="C35" s="17">
        <f>YEAR(Table13[[#This Row],[Date]])</f>
        <v>2025</v>
      </c>
      <c r="D35" s="37">
        <f>Table13[[#This Row],[Date]]-DAY(Table13[[#This Row],[Date]])+1</f>
        <v>45778</v>
      </c>
      <c r="E35" s="17">
        <f t="shared" si="6"/>
        <v>31</v>
      </c>
      <c r="F35" s="135" cm="1">
        <f t="array" ref="F35">IFERROR(_xlfn.XLOOKUP(Table13[[#This Row],[Date]],Raw_Data[[#All],[Date]],Raw_Data[[#All],[Operating Hours]]),"")</f>
        <v>12.350000000000001</v>
      </c>
      <c r="G35" s="136">
        <f>IFERROR(_xlfn.XLOOKUP($A35,'Raw Data'!$G:$G,'Raw Data'!S:S)/1000,"")</f>
        <v>3.54</v>
      </c>
      <c r="H35" s="136"/>
      <c r="I35" s="136">
        <f>IFERROR(_xlfn.XLOOKUP($A35,'Raw Data'!$G:$G,'Raw Data'!AF:AF)/1000,"")</f>
        <v>4.1100000000000003</v>
      </c>
      <c r="J35" s="136"/>
      <c r="K35" s="137">
        <f>IFERROR(_xlfn.XLOOKUP($A35,'Raw Data'!$G:$G,'Raw Data'!W:W),"")</f>
        <v>28.478929105502772</v>
      </c>
      <c r="L35" s="136">
        <f>IFERROR(_xlfn.XLOOKUP($A35,'Raw Data'!$G:$G,'Raw Data'!X:X),"")</f>
        <v>44.05662915701064</v>
      </c>
      <c r="M35" s="136">
        <f>IFERROR(_xlfn.XLOOKUP($A35,'Raw Data'!$G:$G,'Raw Data'!Y:Y),"")</f>
        <v>0.68469360036346205</v>
      </c>
      <c r="N35" s="136">
        <f>IFERROR(_xlfn.XLOOKUP($A35,'Raw Data'!$G:$G,'Raw Data'!Z:Z),"")</f>
        <v>1.9063102801640828</v>
      </c>
      <c r="O35" s="176">
        <f>IFERROR(1-SUMIF('Plant BD'!$B:$B,$A35,'Plant BD'!$AM:$AM)/($AA35+SUMIF('Plant BD'!$B:$B,$A35,'Plant BD'!$AM:$AM)),"")</f>
        <v>1</v>
      </c>
      <c r="P35" s="176"/>
      <c r="Q35" s="177"/>
      <c r="R35" s="176">
        <f>IFERROR(1-SUMIF('Grid BD'!$B:$B,$A35,'Grid BD'!$AE:$AE)/($AA35+SUMIF('Grid BD'!$B:$B,$A35,'Grid BD'!$AE:$AE)),"")</f>
        <v>0.9993040016409096</v>
      </c>
      <c r="S35" s="17"/>
      <c r="T35" s="177">
        <f>IFERROR(1-SUMIF(Tracker_BD!H:H,$A35,Tracker_BD!AI:AI)/$F35,"")</f>
        <v>1</v>
      </c>
      <c r="U35" s="178">
        <f t="shared" si="1"/>
        <v>0.70429376592191839</v>
      </c>
      <c r="V35" s="17"/>
      <c r="W35" s="164">
        <f t="shared" si="2"/>
        <v>0.12061030741412852</v>
      </c>
      <c r="X35" s="17">
        <f>IFERROR(_xlfn.XLOOKUP($A35,'Raw Data'!$G:$G,'Raw Data'!AB:AB),"")</f>
        <v>31158</v>
      </c>
      <c r="Y35" s="17">
        <f>IFERROR(_xlfn.XLOOKUP($A35,'Raw Data'!$G:$G,'Raw Data'!AC:AC),"")</f>
        <v>30715.200000006007</v>
      </c>
      <c r="Z35" s="38">
        <f>IFERROR(_xlfn.XLOOKUP($A35,'Raw Data'!$G:$G,'Raw Data'!AD:AD),"")</f>
        <v>301.14000000004637</v>
      </c>
      <c r="AA35" s="38">
        <f>IFERROR(_xlfn.XLOOKUP($A35,'Raw Data'!$G:$G,'Raw Data'!AE:AE)*(1+(_xlfn.XLOOKUP(Table13[[#This Row],[Month Year]],JMR!$A:$A,JMR!$J:$J))),"")</f>
        <v>30414.06000000596</v>
      </c>
      <c r="AB35" s="17">
        <f>_xlfn.XLOOKUP($D35,'Modelling New'!D:D,'Modelling New'!N:N)</f>
        <v>10.507</v>
      </c>
      <c r="AC35" s="24">
        <f>IFERROR(_xlfn.XLOOKUP($D35,'Modelling New'!$D:$D,'Modelling New'!P:P),"")</f>
        <v>6.9530422466129034</v>
      </c>
      <c r="AD35" s="38">
        <f>IFERROR(_xlfn.XLOOKUP($D35,'Modelling New'!$D:$D,'Modelling New'!T:T)*1000,"")</f>
        <v>50788.087346112523</v>
      </c>
      <c r="AE35" s="164">
        <f t="shared" si="3"/>
        <v>0.69519758920580954</v>
      </c>
      <c r="AF35" s="164">
        <f>IFERROR(_xlfn.XLOOKUP($D35,'Modelling New'!$D:$D,'Modelling New'!W:W),"")</f>
        <v>0.20140575864547652</v>
      </c>
      <c r="AG35" s="164">
        <f>IFERROR(_xlfn.XLOOKUP($D35,'Modelling New'!$D:$D,'Modelling New'!AD:AD),"")</f>
        <v>0.995</v>
      </c>
      <c r="AH35" s="164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64"/>
      <c r="AO35" s="164"/>
      <c r="AP35" s="164"/>
      <c r="AQ35" s="164"/>
      <c r="AR35" s="38">
        <f>IFERROR(_xlfn.XLOOKUP($D35,'Modelling New'!$D:$D,'Modelling New'!$N:$N),"")</f>
        <v>10.507</v>
      </c>
      <c r="AS35" s="38"/>
      <c r="AT35" s="38">
        <f>IFERROR(_xlfn.XLOOKUP(Table13[[#This Row],[Date]],'Raw Data'!$G:$G,'Raw Data'!$AJ:$AJ),"")</f>
        <v>0</v>
      </c>
      <c r="AU35" s="38">
        <f>IFERROR(_xlfn.XLOOKUP(Table13[[#This Row],[Month Year]],'Modelling New'!$D:$D,'Modelling New'!$AN:$AN),"")</f>
        <v>10</v>
      </c>
      <c r="AV35" s="38">
        <f>SUMIF('Curtailment records'!$C:$C,Table13[[#This Row],[Date]],'Curtailment records'!$R:$R)/1000</f>
        <v>0</v>
      </c>
    </row>
    <row r="36" spans="1:48">
      <c r="A36" s="66">
        <f t="shared" si="5"/>
        <v>45779</v>
      </c>
      <c r="B36" s="38">
        <f>YEAR(Table13[[#This Row],[Date]])+IF(MONTH(Table13[[#This Row],[Date]])&gt;=4,1,0)</f>
        <v>2026</v>
      </c>
      <c r="C36" s="17">
        <f>YEAR(Table13[[#This Row],[Date]])</f>
        <v>2025</v>
      </c>
      <c r="D36" s="37">
        <f>Table13[[#This Row],[Date]]-DAY(Table13[[#This Row],[Date]])+1</f>
        <v>45778</v>
      </c>
      <c r="E36" s="17">
        <f t="shared" si="6"/>
        <v>31</v>
      </c>
      <c r="F36" s="135" cm="1">
        <f t="array" ref="F36">IFERROR(_xlfn.XLOOKUP(Table13[[#This Row],[Date]],Raw_Data[[#All],[Date]],Raw_Data[[#All],[Operating Hours]]),"")</f>
        <v>12.250000000000002</v>
      </c>
      <c r="G36" s="24">
        <f>IFERROR(_xlfn.XLOOKUP($A36,'Raw Data'!$G:$G,'Raw Data'!S:S)/1000,"")</f>
        <v>6.09</v>
      </c>
      <c r="H36" s="24"/>
      <c r="I36" s="24">
        <f>IFERROR(_xlfn.XLOOKUP($A36,'Raw Data'!$G:$G,'Raw Data'!AF:AF)/1000,"")</f>
        <v>6.63</v>
      </c>
      <c r="J36" s="24"/>
      <c r="K36" s="137">
        <f>IFERROR(_xlfn.XLOOKUP($A36,'Raw Data'!$G:$G,'Raw Data'!W:W),"")</f>
        <v>29.215711995311406</v>
      </c>
      <c r="L36" s="136">
        <f>IFERROR(_xlfn.XLOOKUP($A36,'Raw Data'!$G:$G,'Raw Data'!X:X),"")</f>
        <v>45.438008059626043</v>
      </c>
      <c r="M36" s="136">
        <f>IFERROR(_xlfn.XLOOKUP($A36,'Raw Data'!$G:$G,'Raw Data'!Y:Y),"")</f>
        <v>0.72585032750730927</v>
      </c>
      <c r="N36" s="136">
        <f>IFERROR(_xlfn.XLOOKUP($A36,'Raw Data'!$G:$G,'Raw Data'!Z:Z),"")</f>
        <v>2.4936389923095703</v>
      </c>
      <c r="O36" s="176">
        <f>IFERROR(1-SUMIF('Plant BD'!$B:$B,$A36,'Plant BD'!$AM:$AM)/($AA36+SUMIF('Plant BD'!$B:$B,$A36,'Plant BD'!$AM:$AM)),"")</f>
        <v>1</v>
      </c>
      <c r="P36" s="176"/>
      <c r="Q36" s="177"/>
      <c r="R36" s="179">
        <f>IFERROR(1-SUMIF('Grid BD'!$B:$B,$A36,'Grid BD'!$AE:$AE)/($AA36+SUMIF('Grid BD'!$B:$B,$A36,'Grid BD'!$AE:$AE)),"")</f>
        <v>1</v>
      </c>
      <c r="S36" s="17"/>
      <c r="T36" s="177">
        <f>IFERROR(1-SUMIF(Tracker_BD!H:H,$A36,Tracker_BD!AI:AI)/$F36,"")</f>
        <v>1</v>
      </c>
      <c r="U36" s="178">
        <f t="shared" si="1"/>
        <v>0.70338369550652835</v>
      </c>
      <c r="V36" s="17"/>
      <c r="W36" s="164">
        <f t="shared" si="2"/>
        <v>0.19430974588367844</v>
      </c>
      <c r="X36" s="17">
        <f>IFERROR(_xlfn.XLOOKUP($A36,'Raw Data'!$G:$G,'Raw Data'!AB:AB),"")</f>
        <v>46992</v>
      </c>
      <c r="Y36" s="17">
        <f>IFERROR(_xlfn.XLOOKUP($A36,'Raw Data'!$G:$G,'Raw Data'!AC:AC),"")</f>
        <v>49302.599999995437</v>
      </c>
      <c r="Z36" s="38">
        <f>IFERROR(_xlfn.XLOOKUP($A36,'Raw Data'!$G:$G,'Raw Data'!AD:AD),"")</f>
        <v>303.90000000000583</v>
      </c>
      <c r="AA36" s="38">
        <f>IFERROR(_xlfn.XLOOKUP($A36,'Raw Data'!$G:$G,'Raw Data'!AE:AE)*(1+(_xlfn.XLOOKUP(Table13[[#This Row],[Month Year]],JMR!$A:$A,JMR!$J:$J))),"")</f>
        <v>48998.699999995428</v>
      </c>
      <c r="AB36" s="17">
        <f>_xlfn.XLOOKUP($D36,'Modelling New'!D:D,'Modelling New'!N:N)</f>
        <v>10.507</v>
      </c>
      <c r="AC36" s="24">
        <f>IFERROR(_xlfn.XLOOKUP($D36,'Modelling New'!$D:$D,'Modelling New'!P:P),"")</f>
        <v>6.9530422466129034</v>
      </c>
      <c r="AD36" s="38">
        <f>IFERROR(_xlfn.XLOOKUP($D36,'Modelling New'!$D:$D,'Modelling New'!T:T)*1000,"")</f>
        <v>50788.087346112523</v>
      </c>
      <c r="AE36" s="164">
        <f t="shared" si="3"/>
        <v>0.69519758920580954</v>
      </c>
      <c r="AF36" s="164">
        <f>IFERROR(_xlfn.XLOOKUP($D36,'Modelling New'!$D:$D,'Modelling New'!W:W),"")</f>
        <v>0.20140575864547652</v>
      </c>
      <c r="AG36" s="164">
        <f>IFERROR(_xlfn.XLOOKUP($D36,'Modelling New'!$D:$D,'Modelling New'!AD:AD),"")</f>
        <v>0.995</v>
      </c>
      <c r="AH36" s="164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64"/>
      <c r="AO36" s="164"/>
      <c r="AP36" s="164"/>
      <c r="AQ36" s="164"/>
      <c r="AR36" s="38">
        <f>IFERROR(_xlfn.XLOOKUP($D36,'Modelling New'!$D:$D,'Modelling New'!$N:$N),"")</f>
        <v>10.507</v>
      </c>
      <c r="AS36" s="38"/>
      <c r="AT36" s="38">
        <f>IFERROR(_xlfn.XLOOKUP(Table13[[#This Row],[Date]],'Raw Data'!$G:$G,'Raw Data'!$AJ:$AJ),"")</f>
        <v>0</v>
      </c>
      <c r="AU36" s="38">
        <f>IFERROR(_xlfn.XLOOKUP(Table13[[#This Row],[Month Year]],'Modelling New'!$D:$D,'Modelling New'!$AN:$AN),"")</f>
        <v>10</v>
      </c>
      <c r="AV36" s="38">
        <f>SUMIF('Curtailment records'!$C:$C,Table13[[#This Row],[Date]],'Curtailment records'!$R:$R)/1000</f>
        <v>0</v>
      </c>
    </row>
    <row r="37" spans="1:48">
      <c r="A37" s="66">
        <f t="shared" si="5"/>
        <v>45780</v>
      </c>
      <c r="B37" s="38">
        <f>YEAR(Table13[[#This Row],[Date]])+IF(MONTH(Table13[[#This Row],[Date]])&gt;=4,1,0)</f>
        <v>2026</v>
      </c>
      <c r="C37" s="17">
        <f>YEAR(Table13[[#This Row],[Date]])</f>
        <v>2025</v>
      </c>
      <c r="D37" s="37">
        <f>Table13[[#This Row],[Date]]-DAY(Table13[[#This Row],[Date]])+1</f>
        <v>45778</v>
      </c>
      <c r="E37" s="17">
        <f t="shared" si="6"/>
        <v>31</v>
      </c>
      <c r="F37" s="135" cm="1">
        <f t="array" ref="F37">IFERROR(_xlfn.XLOOKUP(Table13[[#This Row],[Date]],Raw_Data[[#All],[Date]],Raw_Data[[#All],[Operating Hours]]),"")</f>
        <v>12.333333333333336</v>
      </c>
      <c r="G37" s="136">
        <f>IFERROR(_xlfn.XLOOKUP($A37,'Raw Data'!$G:$G,'Raw Data'!S:S)/1000,"")</f>
        <v>6.51</v>
      </c>
      <c r="H37" s="136"/>
      <c r="I37" s="136">
        <f>IFERROR(_xlfn.XLOOKUP($A37,'Raw Data'!$G:$G,'Raw Data'!AF:AF)/1000,"")</f>
        <v>7.1115000000000004</v>
      </c>
      <c r="J37" s="136"/>
      <c r="K37" s="137">
        <f>IFERROR(_xlfn.XLOOKUP($A37,'Raw Data'!$G:$G,'Raw Data'!W:W),"")</f>
        <v>28.113916304430017</v>
      </c>
      <c r="L37" s="136">
        <f>IFERROR(_xlfn.XLOOKUP($A37,'Raw Data'!$G:$G,'Raw Data'!X:X),"")</f>
        <v>44.201562302315281</v>
      </c>
      <c r="M37" s="136">
        <f>IFERROR(_xlfn.XLOOKUP($A37,'Raw Data'!$G:$G,'Raw Data'!Y:Y),"")</f>
        <v>0.97610341046664073</v>
      </c>
      <c r="N37" s="136">
        <f>IFERROR(_xlfn.XLOOKUP($A37,'Raw Data'!$G:$G,'Raw Data'!Z:Z),"")</f>
        <v>3.9186539649963379</v>
      </c>
      <c r="O37" s="176">
        <f>IFERROR(1-SUMIF('Plant BD'!$B:$B,$A37,'Plant BD'!$AM:$AM)/($AA37+SUMIF('Plant BD'!$B:$B,$A37,'Plant BD'!$AM:$AM)),"")</f>
        <v>1</v>
      </c>
      <c r="P37" s="176"/>
      <c r="Q37" s="177"/>
      <c r="R37" s="176">
        <f>IFERROR(1-SUMIF('Grid BD'!$B:$B,$A37,'Grid BD'!$AE:$AE)/($AA37+SUMIF('Grid BD'!$B:$B,$A37,'Grid BD'!$AE:$AE)),"")</f>
        <v>1</v>
      </c>
      <c r="S37" s="17"/>
      <c r="T37" s="177">
        <f>IFERROR(1-SUMIF(Tracker_BD!H:H,$A37,Tracker_BD!AI:AI)/$F37,"")</f>
        <v>1</v>
      </c>
      <c r="U37" s="178">
        <f t="shared" si="1"/>
        <v>0.70487320750495386</v>
      </c>
      <c r="V37" s="17"/>
      <c r="W37" s="164">
        <f t="shared" si="2"/>
        <v>0.20886274229881166</v>
      </c>
      <c r="X37" s="17">
        <f>IFERROR(_xlfn.XLOOKUP($A37,'Raw Data'!$G:$G,'Raw Data'!AB:AB),"")</f>
        <v>50064</v>
      </c>
      <c r="Y37" s="17">
        <f>IFERROR(_xlfn.XLOOKUP($A37,'Raw Data'!$G:$G,'Raw Data'!AC:AC),"")</f>
        <v>53007.800000006682</v>
      </c>
      <c r="Z37" s="38">
        <f>IFERROR(_xlfn.XLOOKUP($A37,'Raw Data'!$G:$G,'Raw Data'!AD:AD),"")</f>
        <v>339.29999999994465</v>
      </c>
      <c r="AA37" s="38">
        <f>IFERROR(_xlfn.XLOOKUP($A37,'Raw Data'!$G:$G,'Raw Data'!AE:AE)*(1+(_xlfn.XLOOKUP(Table13[[#This Row],[Month Year]],JMR!$A:$A,JMR!$J:$J))),"")</f>
        <v>52668.500000006738</v>
      </c>
      <c r="AB37" s="17">
        <f>_xlfn.XLOOKUP($D37,'Modelling New'!D:D,'Modelling New'!N:N)</f>
        <v>10.507</v>
      </c>
      <c r="AC37" s="24">
        <f>IFERROR(_xlfn.XLOOKUP($D37,'Modelling New'!$D:$D,'Modelling New'!P:P),"")</f>
        <v>6.9530422466129034</v>
      </c>
      <c r="AD37" s="38">
        <f>IFERROR(_xlfn.XLOOKUP($D37,'Modelling New'!$D:$D,'Modelling New'!T:T)*1000,"")</f>
        <v>50788.087346112523</v>
      </c>
      <c r="AE37" s="164">
        <f t="shared" si="3"/>
        <v>0.69519758920580954</v>
      </c>
      <c r="AF37" s="164">
        <f>IFERROR(_xlfn.XLOOKUP($D37,'Modelling New'!$D:$D,'Modelling New'!W:W),"")</f>
        <v>0.20140575864547652</v>
      </c>
      <c r="AG37" s="164">
        <f>IFERROR(_xlfn.XLOOKUP($D37,'Modelling New'!$D:$D,'Modelling New'!AD:AD),"")</f>
        <v>0.995</v>
      </c>
      <c r="AH37" s="164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64"/>
      <c r="AO37" s="164"/>
      <c r="AP37" s="164"/>
      <c r="AQ37" s="164"/>
      <c r="AR37" s="38">
        <f>IFERROR(_xlfn.XLOOKUP($D37,'Modelling New'!$D:$D,'Modelling New'!$N:$N),"")</f>
        <v>10.507</v>
      </c>
      <c r="AS37" s="38"/>
      <c r="AT37" s="38">
        <f>IFERROR(_xlfn.XLOOKUP(Table13[[#This Row],[Date]],'Raw Data'!$G:$G,'Raw Data'!$AJ:$AJ),"")</f>
        <v>0</v>
      </c>
      <c r="AU37" s="38">
        <f>IFERROR(_xlfn.XLOOKUP(Table13[[#This Row],[Month Year]],'Modelling New'!$D:$D,'Modelling New'!$AN:$AN),"")</f>
        <v>10</v>
      </c>
      <c r="AV37" s="38">
        <f>SUMIF('Curtailment records'!$C:$C,Table13[[#This Row],[Date]],'Curtailment records'!$R:$R)/1000</f>
        <v>0</v>
      </c>
    </row>
    <row r="38" spans="1:48">
      <c r="A38" s="66">
        <f t="shared" si="5"/>
        <v>45781</v>
      </c>
      <c r="B38" s="38">
        <f>YEAR(Table13[[#This Row],[Date]])+IF(MONTH(Table13[[#This Row],[Date]])&gt;=4,1,0)</f>
        <v>2026</v>
      </c>
      <c r="C38" s="17">
        <f>YEAR(Table13[[#This Row],[Date]])</f>
        <v>2025</v>
      </c>
      <c r="D38" s="37">
        <f>Table13[[#This Row],[Date]]-DAY(Table13[[#This Row],[Date]])+1</f>
        <v>45778</v>
      </c>
      <c r="E38" s="17">
        <f t="shared" si="6"/>
        <v>31</v>
      </c>
      <c r="F38" s="135" cm="1">
        <f t="array" ref="F38">IFERROR(_xlfn.XLOOKUP(Table13[[#This Row],[Date]],Raw_Data[[#All],[Date]],Raw_Data[[#All],[Operating Hours]]),"")</f>
        <v>12.566666666666666</v>
      </c>
      <c r="G38" s="24">
        <f>IFERROR(_xlfn.XLOOKUP($A38,'Raw Data'!$G:$G,'Raw Data'!S:S)/1000,"")</f>
        <v>6.85</v>
      </c>
      <c r="H38" s="24"/>
      <c r="I38" s="24">
        <f>IFERROR(_xlfn.XLOOKUP($A38,'Raw Data'!$G:$G,'Raw Data'!AF:AF)/1000,"")</f>
        <v>7.4349999999999996</v>
      </c>
      <c r="J38" s="24"/>
      <c r="K38" s="137">
        <f>IFERROR(_xlfn.XLOOKUP($A38,'Raw Data'!$G:$G,'Raw Data'!W:W),"")</f>
        <v>29.436037058552738</v>
      </c>
      <c r="L38" s="136">
        <f>IFERROR(_xlfn.XLOOKUP($A38,'Raw Data'!$G:$G,'Raw Data'!X:X),"")</f>
        <v>45.008805774507067</v>
      </c>
      <c r="M38" s="136">
        <f>IFERROR(_xlfn.XLOOKUP($A38,'Raw Data'!$G:$G,'Raw Data'!Y:Y),"")</f>
        <v>1.0626042891274055</v>
      </c>
      <c r="N38" s="136">
        <f>IFERROR(_xlfn.XLOOKUP($A38,'Raw Data'!$G:$G,'Raw Data'!Z:Z),"")</f>
        <v>4.730926513671875</v>
      </c>
      <c r="O38" s="176">
        <f>IFERROR(1-SUMIF('Plant BD'!$B:$B,$A38,'Plant BD'!$AM:$AM)/($AA38+SUMIF('Plant BD'!$B:$B,$A38,'Plant BD'!$AM:$AM)),"")</f>
        <v>1</v>
      </c>
      <c r="P38" s="176"/>
      <c r="Q38" s="177"/>
      <c r="R38" s="179">
        <f>IFERROR(1-SUMIF('Grid BD'!$B:$B,$A38,'Grid BD'!$AE:$AE)/($AA38+SUMIF('Grid BD'!$B:$B,$A38,'Grid BD'!$AE:$AE)),"")</f>
        <v>1</v>
      </c>
      <c r="S38" s="17"/>
      <c r="T38" s="177">
        <f>IFERROR(1-SUMIF(Tracker_BD!H:H,$A38,Tracker_BD!AI:AI)/$F38,"")</f>
        <v>1</v>
      </c>
      <c r="U38" s="178">
        <f t="shared" si="1"/>
        <v>0.69997335493945878</v>
      </c>
      <c r="V38" s="17"/>
      <c r="W38" s="164">
        <f t="shared" si="2"/>
        <v>0.21684591224895314</v>
      </c>
      <c r="X38" s="17">
        <f>IFERROR(_xlfn.XLOOKUP($A38,'Raw Data'!$G:$G,'Raw Data'!AB:AB),"")</f>
        <v>51825</v>
      </c>
      <c r="Y38" s="17">
        <f>IFERROR(_xlfn.XLOOKUP($A38,'Raw Data'!$G:$G,'Raw Data'!AC:AC),"")</f>
        <v>55015.499999994063</v>
      </c>
      <c r="Z38" s="38">
        <f>IFERROR(_xlfn.XLOOKUP($A38,'Raw Data'!$G:$G,'Raw Data'!AD:AD),"")</f>
        <v>333.9000000000425</v>
      </c>
      <c r="AA38" s="38">
        <f>IFERROR(_xlfn.XLOOKUP($A38,'Raw Data'!$G:$G,'Raw Data'!AE:AE)*(1+(_xlfn.XLOOKUP(Table13[[#This Row],[Month Year]],JMR!$A:$A,JMR!$J:$J))),"")</f>
        <v>54681.599999994018</v>
      </c>
      <c r="AB38" s="17">
        <f>_xlfn.XLOOKUP($D38,'Modelling New'!D:D,'Modelling New'!N:N)</f>
        <v>10.507</v>
      </c>
      <c r="AC38" s="24">
        <f>IFERROR(_xlfn.XLOOKUP($D38,'Modelling New'!$D:$D,'Modelling New'!P:P),"")</f>
        <v>6.9530422466129034</v>
      </c>
      <c r="AD38" s="38">
        <f>IFERROR(_xlfn.XLOOKUP($D38,'Modelling New'!$D:$D,'Modelling New'!T:T)*1000,"")</f>
        <v>50788.087346112523</v>
      </c>
      <c r="AE38" s="164">
        <f t="shared" si="3"/>
        <v>0.69519758920580954</v>
      </c>
      <c r="AF38" s="164">
        <f>IFERROR(_xlfn.XLOOKUP($D38,'Modelling New'!$D:$D,'Modelling New'!W:W),"")</f>
        <v>0.20140575864547652</v>
      </c>
      <c r="AG38" s="164">
        <f>IFERROR(_xlfn.XLOOKUP($D38,'Modelling New'!$D:$D,'Modelling New'!AD:AD),"")</f>
        <v>0.995</v>
      </c>
      <c r="AH38" s="164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64"/>
      <c r="AO38" s="164"/>
      <c r="AP38" s="164"/>
      <c r="AQ38" s="164"/>
      <c r="AR38" s="38">
        <f>IFERROR(_xlfn.XLOOKUP($D38,'Modelling New'!$D:$D,'Modelling New'!$N:$N),"")</f>
        <v>10.507</v>
      </c>
      <c r="AS38" s="38"/>
      <c r="AT38" s="38">
        <f>IFERROR(_xlfn.XLOOKUP(Table13[[#This Row],[Date]],'Raw Data'!$G:$G,'Raw Data'!$AJ:$AJ),"")</f>
        <v>0</v>
      </c>
      <c r="AU38" s="38">
        <f>IFERROR(_xlfn.XLOOKUP(Table13[[#This Row],[Month Year]],'Modelling New'!$D:$D,'Modelling New'!$AN:$AN),"")</f>
        <v>10</v>
      </c>
      <c r="AV38" s="38">
        <f>SUMIF('Curtailment records'!$C:$C,Table13[[#This Row],[Date]],'Curtailment records'!$R:$R)/1000</f>
        <v>0</v>
      </c>
    </row>
    <row r="39" spans="1:48">
      <c r="A39" s="66">
        <f t="shared" si="5"/>
        <v>45782</v>
      </c>
      <c r="B39" s="38">
        <f>YEAR(Table13[[#This Row],[Date]])+IF(MONTH(Table13[[#This Row],[Date]])&gt;=4,1,0)</f>
        <v>2026</v>
      </c>
      <c r="C39" s="17">
        <f>YEAR(Table13[[#This Row],[Date]])</f>
        <v>2025</v>
      </c>
      <c r="D39" s="37">
        <f>Table13[[#This Row],[Date]]-DAY(Table13[[#This Row],[Date]])+1</f>
        <v>45778</v>
      </c>
      <c r="E39" s="17">
        <f t="shared" si="6"/>
        <v>31</v>
      </c>
      <c r="F39" s="135" cm="1">
        <f t="array" ref="F39">IFERROR(_xlfn.XLOOKUP(Table13[[#This Row],[Date]],Raw_Data[[#All],[Date]],Raw_Data[[#All],[Operating Hours]]),"")</f>
        <v>12.2</v>
      </c>
      <c r="G39" s="136">
        <f>IFERROR(_xlfn.XLOOKUP($A39,'Raw Data'!$G:$G,'Raw Data'!S:S)/1000,"")</f>
        <v>7.05</v>
      </c>
      <c r="H39" s="136"/>
      <c r="I39" s="136">
        <f>IFERROR(_xlfn.XLOOKUP($A39,'Raw Data'!$G:$G,'Raw Data'!AF:AF)/1000,"")</f>
        <v>7.68</v>
      </c>
      <c r="J39" s="136"/>
      <c r="K39" s="137">
        <f>IFERROR(_xlfn.XLOOKUP($A39,'Raw Data'!$G:$G,'Raw Data'!W:W),"")</f>
        <v>30.083660198591577</v>
      </c>
      <c r="L39" s="136">
        <f>IFERROR(_xlfn.XLOOKUP($A39,'Raw Data'!$G:$G,'Raw Data'!X:X),"")</f>
        <v>48.474387758262814</v>
      </c>
      <c r="M39" s="136">
        <f>IFERROR(_xlfn.XLOOKUP($A39,'Raw Data'!$G:$G,'Raw Data'!Y:Y),"")</f>
        <v>0.81191037881911043</v>
      </c>
      <c r="N39" s="136">
        <f>IFERROR(_xlfn.XLOOKUP($A39,'Raw Data'!$G:$G,'Raw Data'!Z:Z),"")</f>
        <v>3.4706258773803711</v>
      </c>
      <c r="O39" s="176">
        <f>IFERROR(1-SUMIF('Plant BD'!$B:$B,$A39,'Plant BD'!$AM:$AM)/($AA39+SUMIF('Plant BD'!$B:$B,$A39,'Plant BD'!$AM:$AM)),"")</f>
        <v>1</v>
      </c>
      <c r="P39" s="176"/>
      <c r="Q39" s="177"/>
      <c r="R39" s="176">
        <f>IFERROR(1-SUMIF('Grid BD'!$B:$B,$A39,'Grid BD'!$AE:$AE)/($AA39+SUMIF('Grid BD'!$B:$B,$A39,'Grid BD'!$AE:$AE)),"")</f>
        <v>1</v>
      </c>
      <c r="S39" s="17"/>
      <c r="T39" s="177">
        <f>IFERROR(1-SUMIF(Tracker_BD!H:H,$A39,Tracker_BD!AI:AI)/$F39,"")</f>
        <v>1</v>
      </c>
      <c r="U39" s="178">
        <f t="shared" si="1"/>
        <v>0.69602036142570978</v>
      </c>
      <c r="V39" s="17"/>
      <c r="W39" s="164">
        <f t="shared" si="2"/>
        <v>0.22272651565622714</v>
      </c>
      <c r="X39" s="17">
        <f>IFERROR(_xlfn.XLOOKUP($A39,'Raw Data'!$G:$G,'Raw Data'!AB:AB),"")</f>
        <v>53045</v>
      </c>
      <c r="Y39" s="17">
        <f>IFERROR(_xlfn.XLOOKUP($A39,'Raw Data'!$G:$G,'Raw Data'!AC:AC),"")</f>
        <v>56466.899999999441</v>
      </c>
      <c r="Z39" s="38">
        <f>IFERROR(_xlfn.XLOOKUP($A39,'Raw Data'!$G:$G,'Raw Data'!AD:AD),"")</f>
        <v>302.39999999995604</v>
      </c>
      <c r="AA39" s="38">
        <f>IFERROR(_xlfn.XLOOKUP($A39,'Raw Data'!$G:$G,'Raw Data'!AE:AE)*(1+(_xlfn.XLOOKUP(Table13[[#This Row],[Month Year]],JMR!$A:$A,JMR!$J:$J))),"")</f>
        <v>56164.499999999483</v>
      </c>
      <c r="AB39" s="17">
        <f>_xlfn.XLOOKUP($D39,'Modelling New'!D:D,'Modelling New'!N:N)</f>
        <v>10.507</v>
      </c>
      <c r="AC39" s="24">
        <f>IFERROR(_xlfn.XLOOKUP($D39,'Modelling New'!$D:$D,'Modelling New'!P:P),"")</f>
        <v>6.9530422466129034</v>
      </c>
      <c r="AD39" s="38">
        <f>IFERROR(_xlfn.XLOOKUP($D39,'Modelling New'!$D:$D,'Modelling New'!T:T)*1000,"")</f>
        <v>50788.087346112523</v>
      </c>
      <c r="AE39" s="164">
        <f t="shared" si="3"/>
        <v>0.69519758920580954</v>
      </c>
      <c r="AF39" s="164">
        <f>IFERROR(_xlfn.XLOOKUP($D39,'Modelling New'!$D:$D,'Modelling New'!W:W),"")</f>
        <v>0.20140575864547652</v>
      </c>
      <c r="AG39" s="164">
        <f>IFERROR(_xlfn.XLOOKUP($D39,'Modelling New'!$D:$D,'Modelling New'!AD:AD),"")</f>
        <v>0.995</v>
      </c>
      <c r="AH39" s="164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64"/>
      <c r="AO39" s="164"/>
      <c r="AP39" s="164"/>
      <c r="AQ39" s="164"/>
      <c r="AR39" s="38">
        <f>IFERROR(_xlfn.XLOOKUP($D39,'Modelling New'!$D:$D,'Modelling New'!$N:$N),"")</f>
        <v>10.507</v>
      </c>
      <c r="AS39" s="38"/>
      <c r="AT39" s="38">
        <f>IFERROR(_xlfn.XLOOKUP(Table13[[#This Row],[Date]],'Raw Data'!$G:$G,'Raw Data'!$AJ:$AJ),"")</f>
        <v>0</v>
      </c>
      <c r="AU39" s="38">
        <f>IFERROR(_xlfn.XLOOKUP(Table13[[#This Row],[Month Year]],'Modelling New'!$D:$D,'Modelling New'!$AN:$AN),"")</f>
        <v>10</v>
      </c>
      <c r="AV39" s="38">
        <f>SUMIF('Curtailment records'!$C:$C,Table13[[#This Row],[Date]],'Curtailment records'!$R:$R)/1000</f>
        <v>0</v>
      </c>
    </row>
    <row r="40" spans="1:48">
      <c r="A40" s="66">
        <f t="shared" si="5"/>
        <v>45783</v>
      </c>
      <c r="B40" s="38">
        <f>YEAR(Table13[[#This Row],[Date]])+IF(MONTH(Table13[[#This Row],[Date]])&gt;=4,1,0)</f>
        <v>2026</v>
      </c>
      <c r="C40" s="17">
        <f>YEAR(Table13[[#This Row],[Date]])</f>
        <v>2025</v>
      </c>
      <c r="D40" s="37">
        <f>Table13[[#This Row],[Date]]-DAY(Table13[[#This Row],[Date]])+1</f>
        <v>45778</v>
      </c>
      <c r="E40" s="17">
        <f t="shared" si="6"/>
        <v>31</v>
      </c>
      <c r="F40" s="135" cm="1">
        <f t="array" ref="F40">IFERROR(_xlfn.XLOOKUP(Table13[[#This Row],[Date]],Raw_Data[[#All],[Date]],Raw_Data[[#All],[Operating Hours]]),"")</f>
        <v>12.433333333333334</v>
      </c>
      <c r="G40" s="24">
        <f>IFERROR(_xlfn.XLOOKUP($A40,'Raw Data'!$G:$G,'Raw Data'!S:S)/1000,"")</f>
        <v>7.32</v>
      </c>
      <c r="H40" s="24"/>
      <c r="I40" s="24">
        <f>IFERROR(_xlfn.XLOOKUP($A40,'Raw Data'!$G:$G,'Raw Data'!AF:AF)/1000,"")</f>
        <v>8.09</v>
      </c>
      <c r="J40" s="24"/>
      <c r="K40" s="137">
        <f>IFERROR(_xlfn.XLOOKUP($A40,'Raw Data'!$G:$G,'Raw Data'!W:W),"")</f>
        <v>29.963512665775408</v>
      </c>
      <c r="L40" s="136">
        <f>IFERROR(_xlfn.XLOOKUP($A40,'Raw Data'!$G:$G,'Raw Data'!X:X),"")</f>
        <v>46.653368070262822</v>
      </c>
      <c r="M40" s="136">
        <f>IFERROR(_xlfn.XLOOKUP($A40,'Raw Data'!$G:$G,'Raw Data'!Y:Y),"")</f>
        <v>1.1116950752904298</v>
      </c>
      <c r="N40" s="136">
        <f>IFERROR(_xlfn.XLOOKUP($A40,'Raw Data'!$G:$G,'Raw Data'!Z:Z),"")</f>
        <v>4.0150880813598633</v>
      </c>
      <c r="O40" s="176">
        <f>IFERROR(1-SUMIF('Plant BD'!$B:$B,$A40,'Plant BD'!$AM:$AM)/($AA40+SUMIF('Plant BD'!$B:$B,$A40,'Plant BD'!$AM:$AM)),"")</f>
        <v>1</v>
      </c>
      <c r="P40" s="176"/>
      <c r="Q40" s="177"/>
      <c r="R40" s="179">
        <f>IFERROR(1-SUMIF('Grid BD'!$B:$B,$A40,'Grid BD'!$AE:$AE)/($AA40+SUMIF('Grid BD'!$B:$B,$A40,'Grid BD'!$AE:$AE)),"")</f>
        <v>1</v>
      </c>
      <c r="S40" s="17"/>
      <c r="T40" s="177">
        <f>IFERROR(1-SUMIF(Tracker_BD!H:H,$A40,Tracker_BD!AI:AI)/$F40,"")</f>
        <v>1</v>
      </c>
      <c r="U40" s="178">
        <f t="shared" si="1"/>
        <v>0.70284299254036264</v>
      </c>
      <c r="V40" s="17"/>
      <c r="W40" s="164">
        <f t="shared" si="2"/>
        <v>0.2369166587354806</v>
      </c>
      <c r="X40" s="17">
        <f>IFERROR(_xlfn.XLOOKUP($A40,'Raw Data'!$G:$G,'Raw Data'!AB:AB),"")</f>
        <v>56126</v>
      </c>
      <c r="Y40" s="17">
        <f>IFERROR(_xlfn.XLOOKUP($A40,'Raw Data'!$G:$G,'Raw Data'!AC:AC),"")</f>
        <v>60044.300000008661</v>
      </c>
      <c r="Z40" s="38">
        <f>IFERROR(_xlfn.XLOOKUP($A40,'Raw Data'!$G:$G,'Raw Data'!AD:AD),"")</f>
        <v>301.49999999999011</v>
      </c>
      <c r="AA40" s="38">
        <f>IFERROR(_xlfn.XLOOKUP($A40,'Raw Data'!$G:$G,'Raw Data'!AE:AE)*(1+(_xlfn.XLOOKUP(Table13[[#This Row],[Month Year]],JMR!$A:$A,JMR!$J:$J))),"")</f>
        <v>59742.800000008669</v>
      </c>
      <c r="AB40" s="17">
        <f>_xlfn.XLOOKUP($D40,'Modelling New'!D:D,'Modelling New'!N:N)</f>
        <v>10.507</v>
      </c>
      <c r="AC40" s="24">
        <f>IFERROR(_xlfn.XLOOKUP($D40,'Modelling New'!$D:$D,'Modelling New'!P:P),"")</f>
        <v>6.9530422466129034</v>
      </c>
      <c r="AD40" s="38">
        <f>IFERROR(_xlfn.XLOOKUP($D40,'Modelling New'!$D:$D,'Modelling New'!T:T)*1000,"")</f>
        <v>50788.087346112523</v>
      </c>
      <c r="AE40" s="164">
        <f t="shared" si="3"/>
        <v>0.69519758920580954</v>
      </c>
      <c r="AF40" s="164">
        <f>IFERROR(_xlfn.XLOOKUP($D40,'Modelling New'!$D:$D,'Modelling New'!W:W),"")</f>
        <v>0.20140575864547652</v>
      </c>
      <c r="AG40" s="164">
        <f>IFERROR(_xlfn.XLOOKUP($D40,'Modelling New'!$D:$D,'Modelling New'!AD:AD),"")</f>
        <v>0.995</v>
      </c>
      <c r="AH40" s="164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64"/>
      <c r="AO40" s="164"/>
      <c r="AP40" s="164"/>
      <c r="AQ40" s="164"/>
      <c r="AR40" s="38">
        <f>IFERROR(_xlfn.XLOOKUP($D40,'Modelling New'!$D:$D,'Modelling New'!$N:$N),"")</f>
        <v>10.507</v>
      </c>
      <c r="AS40" s="38"/>
      <c r="AT40" s="38">
        <f>IFERROR(_xlfn.XLOOKUP(Table13[[#This Row],[Date]],'Raw Data'!$G:$G,'Raw Data'!$AJ:$AJ),"")</f>
        <v>0</v>
      </c>
      <c r="AU40" s="38">
        <f>IFERROR(_xlfn.XLOOKUP(Table13[[#This Row],[Month Year]],'Modelling New'!$D:$D,'Modelling New'!$AN:$AN),"")</f>
        <v>10</v>
      </c>
      <c r="AV40" s="38">
        <f>SUMIF('Curtailment records'!$C:$C,Table13[[#This Row],[Date]],'Curtailment records'!$R:$R)/1000</f>
        <v>0</v>
      </c>
    </row>
    <row r="41" spans="1:48">
      <c r="A41" s="66">
        <f t="shared" si="5"/>
        <v>45784</v>
      </c>
      <c r="B41" s="38">
        <f>YEAR(Table13[[#This Row],[Date]])+IF(MONTH(Table13[[#This Row],[Date]])&gt;=4,1,0)</f>
        <v>2026</v>
      </c>
      <c r="C41" s="17">
        <f>YEAR(Table13[[#This Row],[Date]])</f>
        <v>2025</v>
      </c>
      <c r="D41" s="37">
        <f>Table13[[#This Row],[Date]]-DAY(Table13[[#This Row],[Date]])+1</f>
        <v>45778</v>
      </c>
      <c r="E41" s="17">
        <f t="shared" si="6"/>
        <v>31</v>
      </c>
      <c r="F41" s="135" cm="1">
        <f t="array" ref="F41">IFERROR(_xlfn.XLOOKUP(Table13[[#This Row],[Date]],Raw_Data[[#All],[Date]],Raw_Data[[#All],[Operating Hours]]),"")</f>
        <v>12.366666666666667</v>
      </c>
      <c r="G41" s="136">
        <f>IFERROR(_xlfn.XLOOKUP($A41,'Raw Data'!$G:$G,'Raw Data'!S:S)/1000,"")</f>
        <v>7.18</v>
      </c>
      <c r="H41" s="136"/>
      <c r="I41" s="136">
        <f>IFERROR(_xlfn.XLOOKUP($A41,'Raw Data'!$G:$G,'Raw Data'!AF:AF)/1000,"")</f>
        <v>7.65</v>
      </c>
      <c r="J41" s="136"/>
      <c r="K41" s="137">
        <f>IFERROR(_xlfn.XLOOKUP($A41,'Raw Data'!$G:$G,'Raw Data'!W:W),"")</f>
        <v>30.171870815641626</v>
      </c>
      <c r="L41" s="136">
        <f>IFERROR(_xlfn.XLOOKUP($A41,'Raw Data'!$G:$G,'Raw Data'!X:X),"")</f>
        <v>46.967232705446143</v>
      </c>
      <c r="M41" s="136">
        <f>IFERROR(_xlfn.XLOOKUP($A41,'Raw Data'!$G:$G,'Raw Data'!Y:Y),"")</f>
        <v>1.04443880021171</v>
      </c>
      <c r="N41" s="136">
        <f>IFERROR(_xlfn.XLOOKUP($A41,'Raw Data'!$G:$G,'Raw Data'!Z:Z),"")</f>
        <v>3.5783801078796387</v>
      </c>
      <c r="O41" s="176">
        <f>IFERROR(1-SUMIF('Plant BD'!$B:$B,$A41,'Plant BD'!$AM:$AM)/($AA41+SUMIF('Plant BD'!$B:$B,$A41,'Plant BD'!$AM:$AM)),"")</f>
        <v>1</v>
      </c>
      <c r="P41" s="176"/>
      <c r="Q41" s="177"/>
      <c r="R41" s="176">
        <f>IFERROR(1-SUMIF('Grid BD'!$B:$B,$A41,'Grid BD'!$AE:$AE)/($AA41+SUMIF('Grid BD'!$B:$B,$A41,'Grid BD'!$AE:$AE)),"")</f>
        <v>1</v>
      </c>
      <c r="S41" s="17"/>
      <c r="T41" s="177">
        <f>IFERROR(1-SUMIF(Tracker_BD!H:H,$A41,Tracker_BD!AI:AI)/$F41,"")</f>
        <v>1</v>
      </c>
      <c r="U41" s="178">
        <f t="shared" si="1"/>
        <v>0.70909315980441256</v>
      </c>
      <c r="V41" s="17"/>
      <c r="W41" s="164">
        <f t="shared" si="2"/>
        <v>0.22602344468765653</v>
      </c>
      <c r="X41" s="17">
        <f>IFERROR(_xlfn.XLOOKUP($A41,'Raw Data'!$G:$G,'Raw Data'!AB:AB),"")</f>
        <v>53818</v>
      </c>
      <c r="Y41" s="17">
        <f>IFERROR(_xlfn.XLOOKUP($A41,'Raw Data'!$G:$G,'Raw Data'!AC:AC),"")</f>
        <v>57301.09999999695</v>
      </c>
      <c r="Z41" s="38">
        <f>IFERROR(_xlfn.XLOOKUP($A41,'Raw Data'!$G:$G,'Raw Data'!AD:AD),"")</f>
        <v>305.21999999997718</v>
      </c>
      <c r="AA41" s="38">
        <f>IFERROR(_xlfn.XLOOKUP($A41,'Raw Data'!$G:$G,'Raw Data'!AE:AE)*(1+(_xlfn.XLOOKUP(Table13[[#This Row],[Month Year]],JMR!$A:$A,JMR!$J:$J))),"")</f>
        <v>56995.879999996971</v>
      </c>
      <c r="AB41" s="17">
        <f>_xlfn.XLOOKUP($D41,'Modelling New'!D:D,'Modelling New'!N:N)</f>
        <v>10.507</v>
      </c>
      <c r="AC41" s="24">
        <f>IFERROR(_xlfn.XLOOKUP($D41,'Modelling New'!$D:$D,'Modelling New'!P:P),"")</f>
        <v>6.9530422466129034</v>
      </c>
      <c r="AD41" s="38">
        <f>IFERROR(_xlfn.XLOOKUP($D41,'Modelling New'!$D:$D,'Modelling New'!T:T)*1000,"")</f>
        <v>50788.087346112523</v>
      </c>
      <c r="AE41" s="164">
        <f t="shared" si="3"/>
        <v>0.69519758920580954</v>
      </c>
      <c r="AF41" s="164">
        <f>IFERROR(_xlfn.XLOOKUP($D41,'Modelling New'!$D:$D,'Modelling New'!W:W),"")</f>
        <v>0.20140575864547652</v>
      </c>
      <c r="AG41" s="164">
        <f>IFERROR(_xlfn.XLOOKUP($D41,'Modelling New'!$D:$D,'Modelling New'!AD:AD),"")</f>
        <v>0.995</v>
      </c>
      <c r="AH41" s="164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64"/>
      <c r="AO41" s="164"/>
      <c r="AP41" s="164"/>
      <c r="AQ41" s="164"/>
      <c r="AR41" s="38">
        <f>IFERROR(_xlfn.XLOOKUP($D41,'Modelling New'!$D:$D,'Modelling New'!$N:$N),"")</f>
        <v>10.507</v>
      </c>
      <c r="AS41" s="38"/>
      <c r="AT41" s="38">
        <f>IFERROR(_xlfn.XLOOKUP(Table13[[#This Row],[Date]],'Raw Data'!$G:$G,'Raw Data'!$AJ:$AJ),"")</f>
        <v>0</v>
      </c>
      <c r="AU41" s="38">
        <f>IFERROR(_xlfn.XLOOKUP(Table13[[#This Row],[Month Year]],'Modelling New'!$D:$D,'Modelling New'!$AN:$AN),"")</f>
        <v>10</v>
      </c>
      <c r="AV41" s="38">
        <f>SUMIF('Curtailment records'!$C:$C,Table13[[#This Row],[Date]],'Curtailment records'!$R:$R)/1000</f>
        <v>0</v>
      </c>
    </row>
    <row r="42" spans="1:48">
      <c r="A42" s="66">
        <f t="shared" si="5"/>
        <v>45785</v>
      </c>
      <c r="B42" s="38">
        <f>YEAR(Table13[[#This Row],[Date]])+IF(MONTH(Table13[[#This Row],[Date]])&gt;=4,1,0)</f>
        <v>2026</v>
      </c>
      <c r="C42" s="17">
        <f>YEAR(Table13[[#This Row],[Date]])</f>
        <v>2025</v>
      </c>
      <c r="D42" s="37">
        <f>Table13[[#This Row],[Date]]-DAY(Table13[[#This Row],[Date]])+1</f>
        <v>45778</v>
      </c>
      <c r="E42" s="17">
        <f t="shared" si="6"/>
        <v>31</v>
      </c>
      <c r="F42" s="135" cm="1">
        <f t="array" ref="F42">IFERROR(_xlfn.XLOOKUP(Table13[[#This Row],[Date]],Raw_Data[[#All],[Date]],Raw_Data[[#All],[Operating Hours]]),"")</f>
        <v>12.416666666666668</v>
      </c>
      <c r="G42" s="24">
        <f>IFERROR(_xlfn.XLOOKUP($A42,'Raw Data'!$G:$G,'Raw Data'!S:S)/1000,"")</f>
        <v>7.12</v>
      </c>
      <c r="H42" s="24"/>
      <c r="I42" s="24">
        <f>IFERROR(_xlfn.XLOOKUP($A42,'Raw Data'!$G:$G,'Raw Data'!AF:AF)/1000,"")</f>
        <v>7.59</v>
      </c>
      <c r="J42" s="24"/>
      <c r="K42" s="137">
        <f>IFERROR(_xlfn.XLOOKUP($A42,'Raw Data'!$G:$G,'Raw Data'!W:W),"")</f>
        <v>29.060599503978604</v>
      </c>
      <c r="L42" s="136">
        <f>IFERROR(_xlfn.XLOOKUP($A42,'Raw Data'!$G:$G,'Raw Data'!X:X),"")</f>
        <v>46.285987566876152</v>
      </c>
      <c r="M42" s="136">
        <f>IFERROR(_xlfn.XLOOKUP($A42,'Raw Data'!$G:$G,'Raw Data'!Y:Y),"")</f>
        <v>1.1256793553950966</v>
      </c>
      <c r="N42" s="136">
        <f>IFERROR(_xlfn.XLOOKUP($A42,'Raw Data'!$G:$G,'Raw Data'!Z:Z),"")</f>
        <v>4.0229320526123047</v>
      </c>
      <c r="O42" s="176">
        <f>IFERROR(1-SUMIF('Plant BD'!$B:$B,$A42,'Plant BD'!$AM:$AM)/($AA42+SUMIF('Plant BD'!$B:$B,$A42,'Plant BD'!$AM:$AM)),"")</f>
        <v>1</v>
      </c>
      <c r="P42" s="176"/>
      <c r="Q42" s="177"/>
      <c r="R42" s="179">
        <f>IFERROR(1-SUMIF('Grid BD'!$B:$B,$A42,'Grid BD'!$AE:$AE)/($AA42+SUMIF('Grid BD'!$B:$B,$A42,'Grid BD'!$AE:$AE)),"")</f>
        <v>1</v>
      </c>
      <c r="S42" s="17"/>
      <c r="T42" s="177">
        <f>IFERROR(1-SUMIF(Tracker_BD!H:H,$A42,Tracker_BD!AI:AI)/$F42,"")</f>
        <v>1</v>
      </c>
      <c r="U42" s="178">
        <f t="shared" si="1"/>
        <v>0.70373010627330945</v>
      </c>
      <c r="V42" s="17"/>
      <c r="W42" s="164">
        <f t="shared" si="2"/>
        <v>0.22255464610893411</v>
      </c>
      <c r="X42" s="17">
        <f>IFERROR(_xlfn.XLOOKUP($A42,'Raw Data'!$G:$G,'Raw Data'!AB:AB),"")</f>
        <v>53197</v>
      </c>
      <c r="Y42" s="17">
        <f>IFERROR(_xlfn.XLOOKUP($A42,'Raw Data'!$G:$G,'Raw Data'!AC:AC),"")</f>
        <v>56430.099999997765</v>
      </c>
      <c r="Z42" s="38">
        <f>IFERROR(_xlfn.XLOOKUP($A42,'Raw Data'!$G:$G,'Raw Data'!AD:AD),"")</f>
        <v>308.94000000007082</v>
      </c>
      <c r="AA42" s="38">
        <f>IFERROR(_xlfn.XLOOKUP($A42,'Raw Data'!$G:$G,'Raw Data'!AE:AE)*(1+(_xlfn.XLOOKUP(Table13[[#This Row],[Month Year]],JMR!$A:$A,JMR!$J:$J))),"")</f>
        <v>56121.159999997697</v>
      </c>
      <c r="AB42" s="17">
        <f>_xlfn.XLOOKUP($D42,'Modelling New'!D:D,'Modelling New'!N:N)</f>
        <v>10.507</v>
      </c>
      <c r="AC42" s="24">
        <f>IFERROR(_xlfn.XLOOKUP($D42,'Modelling New'!$D:$D,'Modelling New'!P:P),"")</f>
        <v>6.9530422466129034</v>
      </c>
      <c r="AD42" s="38">
        <f>IFERROR(_xlfn.XLOOKUP($D42,'Modelling New'!$D:$D,'Modelling New'!T:T)*1000,"")</f>
        <v>50788.087346112523</v>
      </c>
      <c r="AE42" s="164">
        <f t="shared" si="3"/>
        <v>0.69519758920580954</v>
      </c>
      <c r="AF42" s="164">
        <f>IFERROR(_xlfn.XLOOKUP($D42,'Modelling New'!$D:$D,'Modelling New'!W:W),"")</f>
        <v>0.20140575864547652</v>
      </c>
      <c r="AG42" s="164">
        <f>IFERROR(_xlfn.XLOOKUP($D42,'Modelling New'!$D:$D,'Modelling New'!AD:AD),"")</f>
        <v>0.995</v>
      </c>
      <c r="AH42" s="164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64"/>
      <c r="AO42" s="164"/>
      <c r="AP42" s="164"/>
      <c r="AQ42" s="164"/>
      <c r="AR42" s="38">
        <f>IFERROR(_xlfn.XLOOKUP($D42,'Modelling New'!$D:$D,'Modelling New'!$N:$N),"")</f>
        <v>10.507</v>
      </c>
      <c r="AS42" s="38"/>
      <c r="AT42" s="38">
        <f>IFERROR(_xlfn.XLOOKUP(Table13[[#This Row],[Date]],'Raw Data'!$G:$G,'Raw Data'!$AJ:$AJ),"")</f>
        <v>0</v>
      </c>
      <c r="AU42" s="38">
        <f>IFERROR(_xlfn.XLOOKUP(Table13[[#This Row],[Month Year]],'Modelling New'!$D:$D,'Modelling New'!$AN:$AN),"")</f>
        <v>10</v>
      </c>
      <c r="AV42" s="38">
        <f>SUMIF('Curtailment records'!$C:$C,Table13[[#This Row],[Date]],'Curtailment records'!$R:$R)/1000</f>
        <v>0</v>
      </c>
    </row>
    <row r="43" spans="1:48">
      <c r="A43" s="66">
        <f t="shared" si="5"/>
        <v>45786</v>
      </c>
      <c r="B43" s="38">
        <f>YEAR(Table13[[#This Row],[Date]])+IF(MONTH(Table13[[#This Row],[Date]])&gt;=4,1,0)</f>
        <v>2026</v>
      </c>
      <c r="C43" s="17">
        <f>YEAR(Table13[[#This Row],[Date]])</f>
        <v>2025</v>
      </c>
      <c r="D43" s="37">
        <f>Table13[[#This Row],[Date]]-DAY(Table13[[#This Row],[Date]])+1</f>
        <v>45778</v>
      </c>
      <c r="E43" s="17">
        <f t="shared" si="6"/>
        <v>31</v>
      </c>
      <c r="F43" s="135" cm="1">
        <f t="array" ref="F43">IFERROR(_xlfn.XLOOKUP(Table13[[#This Row],[Date]],Raw_Data[[#All],[Date]],Raw_Data[[#All],[Operating Hours]]),"")</f>
        <v>12.483333333333334</v>
      </c>
      <c r="G43" s="136">
        <f>IFERROR(_xlfn.XLOOKUP($A43,'Raw Data'!$G:$G,'Raw Data'!S:S)/1000,"")</f>
        <v>6.7</v>
      </c>
      <c r="H43" s="136"/>
      <c r="I43" s="136">
        <f>IFERROR(_xlfn.XLOOKUP($A43,'Raw Data'!$G:$G,'Raw Data'!AF:AF)/1000,"")</f>
        <v>6.9</v>
      </c>
      <c r="J43" s="136"/>
      <c r="K43" s="137">
        <f>IFERROR(_xlfn.XLOOKUP($A43,'Raw Data'!$G:$G,'Raw Data'!W:W),"")</f>
        <v>29.122828013102215</v>
      </c>
      <c r="L43" s="136">
        <f>IFERROR(_xlfn.XLOOKUP($A43,'Raw Data'!$G:$G,'Raw Data'!X:X),"")</f>
        <v>46.170705973307292</v>
      </c>
      <c r="M43" s="136">
        <f>IFERROR(_xlfn.XLOOKUP($A43,'Raw Data'!$G:$G,'Raw Data'!Y:Y),"")</f>
        <v>0.85346687873204552</v>
      </c>
      <c r="N43" s="136">
        <f>IFERROR(_xlfn.XLOOKUP($A43,'Raw Data'!$G:$G,'Raw Data'!Z:Z),"")</f>
        <v>5.067441463470459</v>
      </c>
      <c r="O43" s="176">
        <f>IFERROR(1-SUMIF('Plant BD'!$B:$B,$A43,'Plant BD'!$AM:$AM)/($AA43+SUMIF('Plant BD'!$B:$B,$A43,'Plant BD'!$AM:$AM)),"")</f>
        <v>1</v>
      </c>
      <c r="P43" s="176"/>
      <c r="Q43" s="177"/>
      <c r="R43" s="176">
        <f>IFERROR(1-SUMIF('Grid BD'!$B:$B,$A43,'Grid BD'!$AE:$AE)/($AA43+SUMIF('Grid BD'!$B:$B,$A43,'Grid BD'!$AE:$AE)),"")</f>
        <v>1</v>
      </c>
      <c r="S43" s="17"/>
      <c r="T43" s="177">
        <f>IFERROR(1-SUMIF(Tracker_BD!H:H,$A43,Tracker_BD!AI:AI)/$F43,"")</f>
        <v>1</v>
      </c>
      <c r="U43" s="178">
        <f t="shared" si="1"/>
        <v>0.71253063864955213</v>
      </c>
      <c r="V43" s="17"/>
      <c r="W43" s="164">
        <f t="shared" si="2"/>
        <v>0.20485255861174625</v>
      </c>
      <c r="X43" s="17">
        <f>IFERROR(_xlfn.XLOOKUP($A43,'Raw Data'!$G:$G,'Raw Data'!AB:AB),"")</f>
        <v>49406</v>
      </c>
      <c r="Y43" s="17">
        <f>IFERROR(_xlfn.XLOOKUP($A43,'Raw Data'!$G:$G,'Raw Data'!AC:AC),"")</f>
        <v>51954.800000006799</v>
      </c>
      <c r="Z43" s="38">
        <f>IFERROR(_xlfn.XLOOKUP($A43,'Raw Data'!$G:$G,'Raw Data'!AD:AD),"")</f>
        <v>297.5399999999695</v>
      </c>
      <c r="AA43" s="38">
        <f>IFERROR(_xlfn.XLOOKUP($A43,'Raw Data'!$G:$G,'Raw Data'!AE:AE)*(1+(_xlfn.XLOOKUP(Table13[[#This Row],[Month Year]],JMR!$A:$A,JMR!$J:$J))),"")</f>
        <v>51657.260000006827</v>
      </c>
      <c r="AB43" s="17">
        <f>_xlfn.XLOOKUP($D43,'Modelling New'!D:D,'Modelling New'!N:N)</f>
        <v>10.507</v>
      </c>
      <c r="AC43" s="24">
        <f>IFERROR(_xlfn.XLOOKUP($D43,'Modelling New'!$D:$D,'Modelling New'!P:P),"")</f>
        <v>6.9530422466129034</v>
      </c>
      <c r="AD43" s="38">
        <f>IFERROR(_xlfn.XLOOKUP($D43,'Modelling New'!$D:$D,'Modelling New'!T:T)*1000,"")</f>
        <v>50788.087346112523</v>
      </c>
      <c r="AE43" s="164">
        <f t="shared" si="3"/>
        <v>0.69519758920580954</v>
      </c>
      <c r="AF43" s="164">
        <f>IFERROR(_xlfn.XLOOKUP($D43,'Modelling New'!$D:$D,'Modelling New'!W:W),"")</f>
        <v>0.20140575864547652</v>
      </c>
      <c r="AG43" s="164">
        <f>IFERROR(_xlfn.XLOOKUP($D43,'Modelling New'!$D:$D,'Modelling New'!AD:AD),"")</f>
        <v>0.995</v>
      </c>
      <c r="AH43" s="164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64"/>
      <c r="AO43" s="164"/>
      <c r="AP43" s="164"/>
      <c r="AQ43" s="164"/>
      <c r="AR43" s="38">
        <f>IFERROR(_xlfn.XLOOKUP($D43,'Modelling New'!$D:$D,'Modelling New'!$N:$N),"")</f>
        <v>10.507</v>
      </c>
      <c r="AS43" s="38"/>
      <c r="AT43" s="38">
        <f>IFERROR(_xlfn.XLOOKUP(Table13[[#This Row],[Date]],'Raw Data'!$G:$G,'Raw Data'!$AJ:$AJ),"")</f>
        <v>0</v>
      </c>
      <c r="AU43" s="38">
        <f>IFERROR(_xlfn.XLOOKUP(Table13[[#This Row],[Month Year]],'Modelling New'!$D:$D,'Modelling New'!$AN:$AN),"")</f>
        <v>10</v>
      </c>
      <c r="AV43" s="38">
        <f>SUMIF('Curtailment records'!$C:$C,Table13[[#This Row],[Date]],'Curtailment records'!$R:$R)/1000</f>
        <v>0</v>
      </c>
    </row>
    <row r="44" spans="1:48">
      <c r="A44" s="66">
        <f t="shared" si="5"/>
        <v>45787</v>
      </c>
      <c r="B44" s="38">
        <f>YEAR(Table13[[#This Row],[Date]])+IF(MONTH(Table13[[#This Row],[Date]])&gt;=4,1,0)</f>
        <v>2026</v>
      </c>
      <c r="C44" s="17">
        <f>YEAR(Table13[[#This Row],[Date]])</f>
        <v>2025</v>
      </c>
      <c r="D44" s="37">
        <f>Table13[[#This Row],[Date]]-DAY(Table13[[#This Row],[Date]])+1</f>
        <v>45778</v>
      </c>
      <c r="E44" s="17">
        <f t="shared" si="6"/>
        <v>31</v>
      </c>
      <c r="F44" s="135" cm="1">
        <f t="array" ref="F44">IFERROR(_xlfn.XLOOKUP(Table13[[#This Row],[Date]],Raw_Data[[#All],[Date]],Raw_Data[[#All],[Operating Hours]]),"")</f>
        <v>12.533333333333335</v>
      </c>
      <c r="G44" s="24">
        <f>IFERROR(_xlfn.XLOOKUP($A44,'Raw Data'!$G:$G,'Raw Data'!S:S)/1000,"")</f>
        <v>7.29</v>
      </c>
      <c r="H44" s="24"/>
      <c r="I44" s="24">
        <f>IFERROR(_xlfn.XLOOKUP($A44,'Raw Data'!$G:$G,'Raw Data'!AF:AF)/1000,"")</f>
        <v>8.0549999999999997</v>
      </c>
      <c r="J44" s="24"/>
      <c r="K44" s="137">
        <f>IFERROR(_xlfn.XLOOKUP($A44,'Raw Data'!$G:$G,'Raw Data'!W:W),"")</f>
        <v>29.338062440889924</v>
      </c>
      <c r="L44" s="136">
        <f>IFERROR(_xlfn.XLOOKUP($A44,'Raw Data'!$G:$G,'Raw Data'!X:X),"")</f>
        <v>47.275033370748773</v>
      </c>
      <c r="M44" s="136">
        <f>IFERROR(_xlfn.XLOOKUP($A44,'Raw Data'!$G:$G,'Raw Data'!Y:Y),"")</f>
        <v>1.0884951096606919</v>
      </c>
      <c r="N44" s="136">
        <f>IFERROR(_xlfn.XLOOKUP($A44,'Raw Data'!$G:$G,'Raw Data'!Z:Z),"")</f>
        <v>4.3082637786865234</v>
      </c>
      <c r="O44" s="176">
        <f>IFERROR(1-SUMIF('Plant BD'!$B:$B,$A44,'Plant BD'!$AM:$AM)/($AA44+SUMIF('Plant BD'!$B:$B,$A44,'Plant BD'!$AM:$AM)),"")</f>
        <v>1</v>
      </c>
      <c r="P44" s="176"/>
      <c r="Q44" s="177"/>
      <c r="R44" s="179">
        <f>IFERROR(1-SUMIF('Grid BD'!$B:$B,$A44,'Grid BD'!$AE:$AE)/($AA44+SUMIF('Grid BD'!$B:$B,$A44,'Grid BD'!$AE:$AE)),"")</f>
        <v>1</v>
      </c>
      <c r="S44" s="17"/>
      <c r="T44" s="177">
        <f>IFERROR(1-SUMIF(Tracker_BD!H:H,$A44,Tracker_BD!AI:AI)/$F44,"")</f>
        <v>1</v>
      </c>
      <c r="U44" s="178">
        <f t="shared" si="1"/>
        <v>0.69712645236584769</v>
      </c>
      <c r="V44" s="17"/>
      <c r="W44" s="164">
        <f t="shared" si="2"/>
        <v>0.23397306557528763</v>
      </c>
      <c r="X44" s="17">
        <f>IFERROR(_xlfn.XLOOKUP($A44,'Raw Data'!$G:$G,'Raw Data'!AB:AB),"")</f>
        <v>55729</v>
      </c>
      <c r="Y44" s="17">
        <f>IFERROR(_xlfn.XLOOKUP($A44,'Raw Data'!$G:$G,'Raw Data'!AC:AC),"")</f>
        <v>59289.59999998915</v>
      </c>
      <c r="Z44" s="38">
        <f>IFERROR(_xlfn.XLOOKUP($A44,'Raw Data'!$G:$G,'Raw Data'!AD:AD),"")</f>
        <v>289.08000000001266</v>
      </c>
      <c r="AA44" s="38">
        <f>IFERROR(_xlfn.XLOOKUP($A44,'Raw Data'!$G:$G,'Raw Data'!AE:AE)*(1+(_xlfn.XLOOKUP(Table13[[#This Row],[Month Year]],JMR!$A:$A,JMR!$J:$J))),"")</f>
        <v>59000.519999989134</v>
      </c>
      <c r="AB44" s="17">
        <f>_xlfn.XLOOKUP($D44,'Modelling New'!D:D,'Modelling New'!N:N)</f>
        <v>10.507</v>
      </c>
      <c r="AC44" s="24">
        <f>IFERROR(_xlfn.XLOOKUP($D44,'Modelling New'!$D:$D,'Modelling New'!P:P),"")</f>
        <v>6.9530422466129034</v>
      </c>
      <c r="AD44" s="38">
        <f>IFERROR(_xlfn.XLOOKUP($D44,'Modelling New'!$D:$D,'Modelling New'!T:T)*1000,"")</f>
        <v>50788.087346112523</v>
      </c>
      <c r="AE44" s="164">
        <f t="shared" si="3"/>
        <v>0.69519758920580954</v>
      </c>
      <c r="AF44" s="164">
        <f>IFERROR(_xlfn.XLOOKUP($D44,'Modelling New'!$D:$D,'Modelling New'!W:W),"")</f>
        <v>0.20140575864547652</v>
      </c>
      <c r="AG44" s="164">
        <f>IFERROR(_xlfn.XLOOKUP($D44,'Modelling New'!$D:$D,'Modelling New'!AD:AD),"")</f>
        <v>0.995</v>
      </c>
      <c r="AH44" s="164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64"/>
      <c r="AO44" s="164"/>
      <c r="AP44" s="164"/>
      <c r="AQ44" s="164"/>
      <c r="AR44" s="38">
        <f>IFERROR(_xlfn.XLOOKUP($D44,'Modelling New'!$D:$D,'Modelling New'!$N:$N),"")</f>
        <v>10.507</v>
      </c>
      <c r="AS44" s="38"/>
      <c r="AT44" s="38">
        <f>IFERROR(_xlfn.XLOOKUP(Table13[[#This Row],[Date]],'Raw Data'!$G:$G,'Raw Data'!$AJ:$AJ),"")</f>
        <v>0</v>
      </c>
      <c r="AU44" s="38">
        <f>IFERROR(_xlfn.XLOOKUP(Table13[[#This Row],[Month Year]],'Modelling New'!$D:$D,'Modelling New'!$AN:$AN),"")</f>
        <v>10</v>
      </c>
      <c r="AV44" s="38">
        <f>SUMIF('Curtailment records'!$C:$C,Table13[[#This Row],[Date]],'Curtailment records'!$R:$R)/1000</f>
        <v>0</v>
      </c>
    </row>
    <row r="45" spans="1:48">
      <c r="A45" s="66">
        <f t="shared" si="5"/>
        <v>45788</v>
      </c>
      <c r="B45" s="38">
        <f>YEAR(Table13[[#This Row],[Date]])+IF(MONTH(Table13[[#This Row],[Date]])&gt;=4,1,0)</f>
        <v>2026</v>
      </c>
      <c r="C45" s="17">
        <f>YEAR(Table13[[#This Row],[Date]])</f>
        <v>2025</v>
      </c>
      <c r="D45" s="37">
        <f>Table13[[#This Row],[Date]]-DAY(Table13[[#This Row],[Date]])+1</f>
        <v>45778</v>
      </c>
      <c r="E45" s="17">
        <f t="shared" si="6"/>
        <v>31</v>
      </c>
      <c r="F45" s="135" cm="1">
        <f t="array" ref="F45">IFERROR(_xlfn.XLOOKUP(Table13[[#This Row],[Date]],Raw_Data[[#All],[Date]],Raw_Data[[#All],[Operating Hours]]),"")</f>
        <v>12.466666666666669</v>
      </c>
      <c r="G45" s="136">
        <f>IFERROR(_xlfn.XLOOKUP($A45,'Raw Data'!$G:$G,'Raw Data'!S:S)/1000,"")</f>
        <v>7.31</v>
      </c>
      <c r="H45" s="136"/>
      <c r="I45" s="136">
        <f>IFERROR(_xlfn.XLOOKUP($A45,'Raw Data'!$G:$G,'Raw Data'!AF:AF)/1000,"")</f>
        <v>7.7249999999999996</v>
      </c>
      <c r="J45" s="136"/>
      <c r="K45" s="137">
        <f>IFERROR(_xlfn.XLOOKUP($A45,'Raw Data'!$G:$G,'Raw Data'!W:W),"")</f>
        <v>29.433610154726157</v>
      </c>
      <c r="L45" s="136">
        <f>IFERROR(_xlfn.XLOOKUP($A45,'Raw Data'!$G:$G,'Raw Data'!X:X),"")</f>
        <v>47.588709058366888</v>
      </c>
      <c r="M45" s="136">
        <f>IFERROR(_xlfn.XLOOKUP($A45,'Raw Data'!$G:$G,'Raw Data'!Y:Y),"")</f>
        <v>0.77545295586095797</v>
      </c>
      <c r="N45" s="136">
        <f>IFERROR(_xlfn.XLOOKUP($A45,'Raw Data'!$G:$G,'Raw Data'!Z:Z),"")</f>
        <v>3.6445503234863281</v>
      </c>
      <c r="O45" s="176">
        <f>IFERROR(1-SUMIF('Plant BD'!$B:$B,$A45,'Plant BD'!$AM:$AM)/($AA45+SUMIF('Plant BD'!$B:$B,$A45,'Plant BD'!$AM:$AM)),"")</f>
        <v>0.99290901323785341</v>
      </c>
      <c r="P45" s="176"/>
      <c r="Q45" s="177"/>
      <c r="R45" s="176">
        <f>IFERROR(1-SUMIF('Grid BD'!$B:$B,$A45,'Grid BD'!$AE:$AE)/($AA45+SUMIF('Grid BD'!$B:$B,$A45,'Grid BD'!$AE:$AE)),"")</f>
        <v>1</v>
      </c>
      <c r="S45" s="17"/>
      <c r="T45" s="177">
        <f>IFERROR(1-SUMIF(Tracker_BD!H:H,$A45,Tracker_BD!AI:AI)/$F45,"")</f>
        <v>1</v>
      </c>
      <c r="U45" s="178">
        <f t="shared" si="1"/>
        <v>0.70070247512599038</v>
      </c>
      <c r="V45" s="17"/>
      <c r="W45" s="164">
        <f t="shared" si="2"/>
        <v>0.22553860918117816</v>
      </c>
      <c r="X45" s="17">
        <f>IFERROR(_xlfn.XLOOKUP($A45,'Raw Data'!$G:$G,'Raw Data'!AB:AB),"")</f>
        <v>53844</v>
      </c>
      <c r="Y45" s="17">
        <f>IFERROR(_xlfn.XLOOKUP($A45,'Raw Data'!$G:$G,'Raw Data'!AC:AC),"")</f>
        <v>57178.599999999278</v>
      </c>
      <c r="Z45" s="38">
        <f>IFERROR(_xlfn.XLOOKUP($A45,'Raw Data'!$G:$G,'Raw Data'!AD:AD),"")</f>
        <v>304.97999999994363</v>
      </c>
      <c r="AA45" s="38">
        <f>IFERROR(_xlfn.XLOOKUP($A45,'Raw Data'!$G:$G,'Raw Data'!AE:AE)*(1+(_xlfn.XLOOKUP(Table13[[#This Row],[Month Year]],JMR!$A:$A,JMR!$J:$J))),"")</f>
        <v>56873.619999999333</v>
      </c>
      <c r="AB45" s="17">
        <f>_xlfn.XLOOKUP($D45,'Modelling New'!D:D,'Modelling New'!N:N)</f>
        <v>10.507</v>
      </c>
      <c r="AC45" s="24">
        <f>IFERROR(_xlfn.XLOOKUP($D45,'Modelling New'!$D:$D,'Modelling New'!P:P),"")</f>
        <v>6.9530422466129034</v>
      </c>
      <c r="AD45" s="38">
        <f>IFERROR(_xlfn.XLOOKUP($D45,'Modelling New'!$D:$D,'Modelling New'!T:T)*1000,"")</f>
        <v>50788.087346112523</v>
      </c>
      <c r="AE45" s="164">
        <f t="shared" si="3"/>
        <v>0.69519758920580954</v>
      </c>
      <c r="AF45" s="164">
        <f>IFERROR(_xlfn.XLOOKUP($D45,'Modelling New'!$D:$D,'Modelling New'!W:W),"")</f>
        <v>0.20140575864547652</v>
      </c>
      <c r="AG45" s="164">
        <f>IFERROR(_xlfn.XLOOKUP($D45,'Modelling New'!$D:$D,'Modelling New'!AD:AD),"")</f>
        <v>0.995</v>
      </c>
      <c r="AH45" s="164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64"/>
      <c r="AO45" s="164"/>
      <c r="AP45" s="164"/>
      <c r="AQ45" s="164"/>
      <c r="AR45" s="38">
        <f>IFERROR(_xlfn.XLOOKUP($D45,'Modelling New'!$D:$D,'Modelling New'!$N:$N),"")</f>
        <v>10.507</v>
      </c>
      <c r="AS45" s="38"/>
      <c r="AT45" s="38">
        <f>IFERROR(_xlfn.XLOOKUP(Table13[[#This Row],[Date]],'Raw Data'!$G:$G,'Raw Data'!$AJ:$AJ),"")</f>
        <v>0</v>
      </c>
      <c r="AU45" s="38">
        <f>IFERROR(_xlfn.XLOOKUP(Table13[[#This Row],[Month Year]],'Modelling New'!$D:$D,'Modelling New'!$AN:$AN),"")</f>
        <v>10</v>
      </c>
      <c r="AV45" s="38">
        <f>SUMIF('Curtailment records'!$C:$C,Table13[[#This Row],[Date]],'Curtailment records'!$R:$R)/1000</f>
        <v>0</v>
      </c>
    </row>
    <row r="46" spans="1:48">
      <c r="A46" s="66">
        <f t="shared" si="5"/>
        <v>45789</v>
      </c>
      <c r="B46" s="38">
        <f>YEAR(Table13[[#This Row],[Date]])+IF(MONTH(Table13[[#This Row],[Date]])&gt;=4,1,0)</f>
        <v>2026</v>
      </c>
      <c r="C46" s="17">
        <f>YEAR(Table13[[#This Row],[Date]])</f>
        <v>2025</v>
      </c>
      <c r="D46" s="37">
        <f>Table13[[#This Row],[Date]]-DAY(Table13[[#This Row],[Date]])+1</f>
        <v>45778</v>
      </c>
      <c r="E46" s="17">
        <f t="shared" si="6"/>
        <v>31</v>
      </c>
      <c r="F46" s="135" cm="1">
        <f t="array" ref="F46">IFERROR(_xlfn.XLOOKUP(Table13[[#This Row],[Date]],Raw_Data[[#All],[Date]],Raw_Data[[#All],[Operating Hours]]),"")</f>
        <v>12.25</v>
      </c>
      <c r="G46" s="24">
        <f>IFERROR(_xlfn.XLOOKUP($A46,'Raw Data'!$G:$G,'Raw Data'!S:S)/1000,"")</f>
        <v>6.86</v>
      </c>
      <c r="H46" s="24"/>
      <c r="I46" s="24">
        <f>IFERROR(_xlfn.XLOOKUP($A46,'Raw Data'!$G:$G,'Raw Data'!AF:AF)/1000,"")</f>
        <v>7.49</v>
      </c>
      <c r="J46" s="24"/>
      <c r="K46" s="137">
        <f>IFERROR(_xlfn.XLOOKUP($A46,'Raw Data'!$G:$G,'Raw Data'!W:W),"")</f>
        <v>29.210928945593494</v>
      </c>
      <c r="L46" s="136">
        <f>IFERROR(_xlfn.XLOOKUP($A46,'Raw Data'!$G:$G,'Raw Data'!X:X),"")</f>
        <v>45.96077874188866</v>
      </c>
      <c r="M46" s="136">
        <f>IFERROR(_xlfn.XLOOKUP($A46,'Raw Data'!$G:$G,'Raw Data'!Y:Y),"")</f>
        <v>0.87807381201962953</v>
      </c>
      <c r="N46" s="136">
        <f>IFERROR(_xlfn.XLOOKUP($A46,'Raw Data'!$G:$G,'Raw Data'!Z:Z),"")</f>
        <v>3.839648962020874</v>
      </c>
      <c r="O46" s="176">
        <f>IFERROR(1-SUMIF('Plant BD'!$B:$B,$A46,'Plant BD'!$AM:$AM)/($AA46+SUMIF('Plant BD'!$B:$B,$A46,'Plant BD'!$AM:$AM)),"")</f>
        <v>0.99710576869080114</v>
      </c>
      <c r="P46" s="176"/>
      <c r="Q46" s="177"/>
      <c r="R46" s="179">
        <f>IFERROR(1-SUMIF('Grid BD'!$B:$B,$A46,'Grid BD'!$AE:$AE)/($AA46+SUMIF('Grid BD'!$B:$B,$A46,'Grid BD'!$AE:$AE)),"")</f>
        <v>1</v>
      </c>
      <c r="S46" s="17"/>
      <c r="T46" s="177">
        <f>IFERROR(1-SUMIF(Tracker_BD!H:H,$A46,Tracker_BD!AI:AI)/$F46,"")</f>
        <v>1</v>
      </c>
      <c r="U46" s="178">
        <f t="shared" si="1"/>
        <v>0.67262882663391688</v>
      </c>
      <c r="V46" s="17"/>
      <c r="W46" s="164">
        <f t="shared" si="2"/>
        <v>0.20991624631200156</v>
      </c>
      <c r="X46" s="17">
        <f>IFERROR(_xlfn.XLOOKUP($A46,'Raw Data'!$G:$G,'Raw Data'!AB:AB),"")</f>
        <v>50438</v>
      </c>
      <c r="Y46" s="17">
        <f>IFERROR(_xlfn.XLOOKUP($A46,'Raw Data'!$G:$G,'Raw Data'!AC:AC),"")</f>
        <v>53230.80000000482</v>
      </c>
      <c r="Z46" s="38">
        <f>IFERROR(_xlfn.XLOOKUP($A46,'Raw Data'!$G:$G,'Raw Data'!AD:AD),"")</f>
        <v>296.64000000000357</v>
      </c>
      <c r="AA46" s="38">
        <f>IFERROR(_xlfn.XLOOKUP($A46,'Raw Data'!$G:$G,'Raw Data'!AE:AE)*(1+(_xlfn.XLOOKUP(Table13[[#This Row],[Month Year]],JMR!$A:$A,JMR!$J:$J))),"")</f>
        <v>52934.160000004813</v>
      </c>
      <c r="AB46" s="17">
        <f>_xlfn.XLOOKUP($D46,'Modelling New'!D:D,'Modelling New'!N:N)</f>
        <v>10.507</v>
      </c>
      <c r="AC46" s="24">
        <f>IFERROR(_xlfn.XLOOKUP($D46,'Modelling New'!$D:$D,'Modelling New'!P:P),"")</f>
        <v>6.9530422466129034</v>
      </c>
      <c r="AD46" s="38">
        <f>IFERROR(_xlfn.XLOOKUP($D46,'Modelling New'!$D:$D,'Modelling New'!T:T)*1000,"")</f>
        <v>50788.087346112523</v>
      </c>
      <c r="AE46" s="164">
        <f t="shared" si="3"/>
        <v>0.69519758920580954</v>
      </c>
      <c r="AF46" s="164">
        <f>IFERROR(_xlfn.XLOOKUP($D46,'Modelling New'!$D:$D,'Modelling New'!W:W),"")</f>
        <v>0.20140575864547652</v>
      </c>
      <c r="AG46" s="164">
        <f>IFERROR(_xlfn.XLOOKUP($D46,'Modelling New'!$D:$D,'Modelling New'!AD:AD),"")</f>
        <v>0.995</v>
      </c>
      <c r="AH46" s="164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64"/>
      <c r="AO46" s="164"/>
      <c r="AP46" s="164"/>
      <c r="AQ46" s="164"/>
      <c r="AR46" s="38">
        <f>IFERROR(_xlfn.XLOOKUP($D46,'Modelling New'!$D:$D,'Modelling New'!$N:$N),"")</f>
        <v>10.507</v>
      </c>
      <c r="AS46" s="38"/>
      <c r="AT46" s="38">
        <f>IFERROR(_xlfn.XLOOKUP(Table13[[#This Row],[Date]],'Raw Data'!$G:$G,'Raw Data'!$AJ:$AJ),"")</f>
        <v>0</v>
      </c>
      <c r="AU46" s="38">
        <f>IFERROR(_xlfn.XLOOKUP(Table13[[#This Row],[Month Year]],'Modelling New'!$D:$D,'Modelling New'!$AN:$AN),"")</f>
        <v>10</v>
      </c>
      <c r="AV46" s="38">
        <f>SUMIF('Curtailment records'!$C:$C,Table13[[#This Row],[Date]],'Curtailment records'!$R:$R)/1000</f>
        <v>0</v>
      </c>
    </row>
    <row r="47" spans="1:48">
      <c r="A47" s="66">
        <f t="shared" si="5"/>
        <v>45790</v>
      </c>
      <c r="B47" s="38">
        <f>YEAR(Table13[[#This Row],[Date]])+IF(MONTH(Table13[[#This Row],[Date]])&gt;=4,1,0)</f>
        <v>2026</v>
      </c>
      <c r="C47" s="17">
        <f>YEAR(Table13[[#This Row],[Date]])</f>
        <v>2025</v>
      </c>
      <c r="D47" s="37">
        <f>Table13[[#This Row],[Date]]-DAY(Table13[[#This Row],[Date]])+1</f>
        <v>45778</v>
      </c>
      <c r="E47" s="17">
        <f t="shared" si="6"/>
        <v>31</v>
      </c>
      <c r="F47" s="135" cm="1">
        <f t="array" ref="F47">IFERROR(_xlfn.XLOOKUP(Table13[[#This Row],[Date]],Raw_Data[[#All],[Date]],Raw_Data[[#All],[Operating Hours]]),"")</f>
        <v>12.166666666666666</v>
      </c>
      <c r="G47" s="136">
        <f>IFERROR(_xlfn.XLOOKUP($A47,'Raw Data'!$G:$G,'Raw Data'!S:S)/1000,"")</f>
        <v>6.74</v>
      </c>
      <c r="H47" s="136"/>
      <c r="I47" s="136">
        <f>IFERROR(_xlfn.XLOOKUP($A47,'Raw Data'!$G:$G,'Raw Data'!AF:AF)/1000,"")</f>
        <v>7.4249999999999998</v>
      </c>
      <c r="J47" s="136"/>
      <c r="K47" s="137">
        <f>IFERROR(_xlfn.XLOOKUP($A47,'Raw Data'!$G:$G,'Raw Data'!W:W),"")</f>
        <v>27.80498357738907</v>
      </c>
      <c r="L47" s="136">
        <f>IFERROR(_xlfn.XLOOKUP($A47,'Raw Data'!$G:$G,'Raw Data'!X:X),"")</f>
        <v>44.983782015486064</v>
      </c>
      <c r="M47" s="136">
        <f>IFERROR(_xlfn.XLOOKUP($A47,'Raw Data'!$G:$G,'Raw Data'!Y:Y),"")</f>
        <v>1.1784522068647287</v>
      </c>
      <c r="N47" s="136">
        <f>IFERROR(_xlfn.XLOOKUP($A47,'Raw Data'!$G:$G,'Raw Data'!Z:Z),"")</f>
        <v>5.2117886543273926</v>
      </c>
      <c r="O47" s="176">
        <f>IFERROR(1-SUMIF('Plant BD'!$B:$B,$A47,'Plant BD'!$AM:$AM)/($AA47+SUMIF('Plant BD'!$B:$B,$A47,'Plant BD'!$AM:$AM)),"")</f>
        <v>1</v>
      </c>
      <c r="P47" s="176"/>
      <c r="Q47" s="177"/>
      <c r="R47" s="176">
        <f>IFERROR(1-SUMIF('Grid BD'!$B:$B,$A47,'Grid BD'!$AE:$AE)/($AA47+SUMIF('Grid BD'!$B:$B,$A47,'Grid BD'!$AE:$AE)),"")</f>
        <v>1</v>
      </c>
      <c r="S47" s="17"/>
      <c r="T47" s="177">
        <f>IFERROR(1-SUMIF(Tracker_BD!H:H,$A47,Tracker_BD!AI:AI)/$F47,"")</f>
        <v>1</v>
      </c>
      <c r="U47" s="178">
        <f t="shared" si="1"/>
        <v>0.70519656768818739</v>
      </c>
      <c r="V47" s="17"/>
      <c r="W47" s="164">
        <f t="shared" si="2"/>
        <v>0.21817018812853298</v>
      </c>
      <c r="X47" s="17">
        <f>IFERROR(_xlfn.XLOOKUP($A47,'Raw Data'!$G:$G,'Raw Data'!AB:AB),"")</f>
        <v>52054</v>
      </c>
      <c r="Y47" s="17">
        <f>IFERROR(_xlfn.XLOOKUP($A47,'Raw Data'!$G:$G,'Raw Data'!AC:AC),"")</f>
        <v>55335.699999995995</v>
      </c>
      <c r="Z47" s="38">
        <f>IFERROR(_xlfn.XLOOKUP($A47,'Raw Data'!$G:$G,'Raw Data'!AD:AD),"")</f>
        <v>320.1600000000937</v>
      </c>
      <c r="AA47" s="38">
        <f>IFERROR(_xlfn.XLOOKUP($A47,'Raw Data'!$G:$G,'Raw Data'!AE:AE)*(1+(_xlfn.XLOOKUP(Table13[[#This Row],[Month Year]],JMR!$A:$A,JMR!$J:$J))),"")</f>
        <v>55015.539999995905</v>
      </c>
      <c r="AB47" s="17">
        <f>_xlfn.XLOOKUP($D47,'Modelling New'!D:D,'Modelling New'!N:N)</f>
        <v>10.507</v>
      </c>
      <c r="AC47" s="24">
        <f>IFERROR(_xlfn.XLOOKUP($D47,'Modelling New'!$D:$D,'Modelling New'!P:P),"")</f>
        <v>6.9530422466129034</v>
      </c>
      <c r="AD47" s="38">
        <f>IFERROR(_xlfn.XLOOKUP($D47,'Modelling New'!$D:$D,'Modelling New'!T:T)*1000,"")</f>
        <v>50788.087346112523</v>
      </c>
      <c r="AE47" s="164">
        <f t="shared" si="3"/>
        <v>0.69519758920580954</v>
      </c>
      <c r="AF47" s="164">
        <f>IFERROR(_xlfn.XLOOKUP($D47,'Modelling New'!$D:$D,'Modelling New'!W:W),"")</f>
        <v>0.20140575864547652</v>
      </c>
      <c r="AG47" s="164">
        <f>IFERROR(_xlfn.XLOOKUP($D47,'Modelling New'!$D:$D,'Modelling New'!AD:AD),"")</f>
        <v>0.995</v>
      </c>
      <c r="AH47" s="164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64"/>
      <c r="AO47" s="164"/>
      <c r="AP47" s="164"/>
      <c r="AQ47" s="164"/>
      <c r="AR47" s="38">
        <f>IFERROR(_xlfn.XLOOKUP($D47,'Modelling New'!$D:$D,'Modelling New'!$N:$N),"")</f>
        <v>10.507</v>
      </c>
      <c r="AS47" s="38"/>
      <c r="AT47" s="38">
        <f>IFERROR(_xlfn.XLOOKUP(Table13[[#This Row],[Date]],'Raw Data'!$G:$G,'Raw Data'!$AJ:$AJ),"")</f>
        <v>0</v>
      </c>
      <c r="AU47" s="38">
        <f>IFERROR(_xlfn.XLOOKUP(Table13[[#This Row],[Month Year]],'Modelling New'!$D:$D,'Modelling New'!$AN:$AN),"")</f>
        <v>10</v>
      </c>
      <c r="AV47" s="38">
        <f>SUMIF('Curtailment records'!$C:$C,Table13[[#This Row],[Date]],'Curtailment records'!$R:$R)/1000</f>
        <v>0</v>
      </c>
    </row>
    <row r="48" spans="1:48">
      <c r="A48" s="66">
        <f t="shared" si="5"/>
        <v>45791</v>
      </c>
      <c r="B48" s="38">
        <f>YEAR(Table13[[#This Row],[Date]])+IF(MONTH(Table13[[#This Row],[Date]])&gt;=4,1,0)</f>
        <v>2026</v>
      </c>
      <c r="C48" s="17">
        <f>YEAR(Table13[[#This Row],[Date]])</f>
        <v>2025</v>
      </c>
      <c r="D48" s="37">
        <f>Table13[[#This Row],[Date]]-DAY(Table13[[#This Row],[Date]])+1</f>
        <v>45778</v>
      </c>
      <c r="E48" s="17">
        <f t="shared" si="6"/>
        <v>31</v>
      </c>
      <c r="F48" s="135" cm="1">
        <f t="array" ref="F48">IFERROR(_xlfn.XLOOKUP(Table13[[#This Row],[Date]],Raw_Data[[#All],[Date]],Raw_Data[[#All],[Operating Hours]]),"")</f>
        <v>12.483333333333334</v>
      </c>
      <c r="G48" s="24">
        <f>IFERROR(_xlfn.XLOOKUP($A48,'Raw Data'!$G:$G,'Raw Data'!S:S)/1000,"")</f>
        <v>6.2</v>
      </c>
      <c r="H48" s="24"/>
      <c r="I48" s="24">
        <f>IFERROR(_xlfn.XLOOKUP($A48,'Raw Data'!$G:$G,'Raw Data'!AF:AF)/1000,"")</f>
        <v>6.8</v>
      </c>
      <c r="J48" s="24"/>
      <c r="K48" s="137">
        <f>IFERROR(_xlfn.XLOOKUP($A48,'Raw Data'!$G:$G,'Raw Data'!W:W),"")</f>
        <v>28.833588255917963</v>
      </c>
      <c r="L48" s="136">
        <f>IFERROR(_xlfn.XLOOKUP($A48,'Raw Data'!$G:$G,'Raw Data'!X:X),"")</f>
        <v>44.387602005412873</v>
      </c>
      <c r="M48" s="136">
        <f>IFERROR(_xlfn.XLOOKUP($A48,'Raw Data'!$G:$G,'Raw Data'!Y:Y),"")</f>
        <v>0.8505988215061433</v>
      </c>
      <c r="N48" s="136">
        <f>IFERROR(_xlfn.XLOOKUP($A48,'Raw Data'!$G:$G,'Raw Data'!Z:Z),"")</f>
        <v>2.5288939476013184</v>
      </c>
      <c r="O48" s="176">
        <f>IFERROR(1-SUMIF('Plant BD'!$B:$B,$A48,'Plant BD'!$AM:$AM)/($AA48+SUMIF('Plant BD'!$B:$B,$A48,'Plant BD'!$AM:$AM)),"")</f>
        <v>0.99715228177459958</v>
      </c>
      <c r="P48" s="176"/>
      <c r="Q48" s="177"/>
      <c r="R48" s="179">
        <f>IFERROR(1-SUMIF('Grid BD'!$B:$B,$A48,'Grid BD'!$AE:$AE)/($AA48+SUMIF('Grid BD'!$B:$B,$A48,'Grid BD'!$AE:$AE)),"")</f>
        <v>1</v>
      </c>
      <c r="S48" s="17"/>
      <c r="T48" s="177">
        <f>IFERROR(1-SUMIF(Tracker_BD!H:H,$A48,Tracker_BD!AI:AI)/$F48,"")</f>
        <v>1</v>
      </c>
      <c r="U48" s="178">
        <f t="shared" si="1"/>
        <v>0.69955519849523951</v>
      </c>
      <c r="V48" s="17"/>
      <c r="W48" s="164">
        <f t="shared" si="2"/>
        <v>0.19820730624031785</v>
      </c>
      <c r="X48" s="17">
        <f>IFERROR(_xlfn.XLOOKUP($A48,'Raw Data'!$G:$G,'Raw Data'!AB:AB),"")</f>
        <v>47806</v>
      </c>
      <c r="Y48" s="17">
        <f>IFERROR(_xlfn.XLOOKUP($A48,'Raw Data'!$G:$G,'Raw Data'!AC:AC),"")</f>
        <v>50304.100000008475</v>
      </c>
      <c r="Z48" s="38">
        <f>IFERROR(_xlfn.XLOOKUP($A48,'Raw Data'!$G:$G,'Raw Data'!AD:AD),"")</f>
        <v>322.56000000000284</v>
      </c>
      <c r="AA48" s="38">
        <f>IFERROR(_xlfn.XLOOKUP($A48,'Raw Data'!$G:$G,'Raw Data'!AE:AE)*(1+(_xlfn.XLOOKUP(Table13[[#This Row],[Month Year]],JMR!$A:$A,JMR!$J:$J))),"")</f>
        <v>49981.54000000847</v>
      </c>
      <c r="AB48" s="17">
        <f>_xlfn.XLOOKUP($D48,'Modelling New'!D:D,'Modelling New'!N:N)</f>
        <v>10.507</v>
      </c>
      <c r="AC48" s="24">
        <f>IFERROR(_xlfn.XLOOKUP($D48,'Modelling New'!$D:$D,'Modelling New'!P:P),"")</f>
        <v>6.9530422466129034</v>
      </c>
      <c r="AD48" s="38">
        <f>IFERROR(_xlfn.XLOOKUP($D48,'Modelling New'!$D:$D,'Modelling New'!T:T)*1000,"")</f>
        <v>50788.087346112523</v>
      </c>
      <c r="AE48" s="164">
        <f t="shared" si="3"/>
        <v>0.69519758920580954</v>
      </c>
      <c r="AF48" s="164">
        <f>IFERROR(_xlfn.XLOOKUP($D48,'Modelling New'!$D:$D,'Modelling New'!W:W),"")</f>
        <v>0.20140575864547652</v>
      </c>
      <c r="AG48" s="164">
        <f>IFERROR(_xlfn.XLOOKUP($D48,'Modelling New'!$D:$D,'Modelling New'!AD:AD),"")</f>
        <v>0.995</v>
      </c>
      <c r="AH48" s="164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64"/>
      <c r="AO48" s="164"/>
      <c r="AP48" s="164"/>
      <c r="AQ48" s="164"/>
      <c r="AR48" s="38">
        <f>IFERROR(_xlfn.XLOOKUP($D48,'Modelling New'!$D:$D,'Modelling New'!$N:$N),"")</f>
        <v>10.507</v>
      </c>
      <c r="AS48" s="38"/>
      <c r="AT48" s="38">
        <f>IFERROR(_xlfn.XLOOKUP(Table13[[#This Row],[Date]],'Raw Data'!$G:$G,'Raw Data'!$AJ:$AJ),"")</f>
        <v>0</v>
      </c>
      <c r="AU48" s="38">
        <f>IFERROR(_xlfn.XLOOKUP(Table13[[#This Row],[Month Year]],'Modelling New'!$D:$D,'Modelling New'!$AN:$AN),"")</f>
        <v>10</v>
      </c>
      <c r="AV48" s="38">
        <f>SUMIF('Curtailment records'!$C:$C,Table13[[#This Row],[Date]],'Curtailment records'!$R:$R)/1000</f>
        <v>0</v>
      </c>
    </row>
    <row r="49" spans="1:48">
      <c r="A49" s="66">
        <f t="shared" si="5"/>
        <v>45792</v>
      </c>
      <c r="B49" s="38">
        <f>YEAR(Table13[[#This Row],[Date]])+IF(MONTH(Table13[[#This Row],[Date]])&gt;=4,1,0)</f>
        <v>2026</v>
      </c>
      <c r="C49" s="17">
        <f>YEAR(Table13[[#This Row],[Date]])</f>
        <v>2025</v>
      </c>
      <c r="D49" s="37">
        <f>Table13[[#This Row],[Date]]-DAY(Table13[[#This Row],[Date]])+1</f>
        <v>45778</v>
      </c>
      <c r="E49" s="17">
        <f t="shared" si="6"/>
        <v>31</v>
      </c>
      <c r="F49" s="135" cm="1">
        <f t="array" ref="F49">IFERROR(_xlfn.XLOOKUP(Table13[[#This Row],[Date]],Raw_Data[[#All],[Date]],Raw_Data[[#All],[Operating Hours]]),"")</f>
        <v>12.333333333333336</v>
      </c>
      <c r="G49" s="136">
        <f>IFERROR(_xlfn.XLOOKUP($A49,'Raw Data'!$G:$G,'Raw Data'!S:S)/1000,"")</f>
        <v>6.21</v>
      </c>
      <c r="H49" s="136"/>
      <c r="I49" s="136">
        <f>IFERROR(_xlfn.XLOOKUP($A49,'Raw Data'!$G:$G,'Raw Data'!AF:AF)/1000,"")</f>
        <v>6.4749999999999996</v>
      </c>
      <c r="J49" s="136"/>
      <c r="K49" s="137">
        <f>IFERROR(_xlfn.XLOOKUP($A49,'Raw Data'!$G:$G,'Raw Data'!W:W),"")</f>
        <v>28.34533201055488</v>
      </c>
      <c r="L49" s="136">
        <f>IFERROR(_xlfn.XLOOKUP($A49,'Raw Data'!$G:$G,'Raw Data'!X:X),"")</f>
        <v>44.065251812439378</v>
      </c>
      <c r="M49" s="136">
        <f>IFERROR(_xlfn.XLOOKUP($A49,'Raw Data'!$G:$G,'Raw Data'!Y:Y),"")</f>
        <v>0.8646186336010252</v>
      </c>
      <c r="N49" s="136">
        <f>IFERROR(_xlfn.XLOOKUP($A49,'Raw Data'!$G:$G,'Raw Data'!Z:Z),"")</f>
        <v>3.7344009876251221</v>
      </c>
      <c r="O49" s="176">
        <f>IFERROR(1-SUMIF('Plant BD'!$B:$B,$A49,'Plant BD'!$AM:$AM)/($AA49+SUMIF('Plant BD'!$B:$B,$A49,'Plant BD'!$AM:$AM)),"")</f>
        <v>1</v>
      </c>
      <c r="P49" s="176"/>
      <c r="Q49" s="177"/>
      <c r="R49" s="176">
        <f>IFERROR(1-SUMIF('Grid BD'!$B:$B,$A49,'Grid BD'!$AE:$AE)/($AA49+SUMIF('Grid BD'!$B:$B,$A49,'Grid BD'!$AE:$AE)),"")</f>
        <v>1</v>
      </c>
      <c r="S49" s="17"/>
      <c r="T49" s="177">
        <f>IFERROR(1-SUMIF(Tracker_BD!H:H,$A49,Tracker_BD!AI:AI)/$F49,"")</f>
        <v>1</v>
      </c>
      <c r="U49" s="178">
        <f t="shared" si="1"/>
        <v>0.7097009421555559</v>
      </c>
      <c r="V49" s="17"/>
      <c r="W49" s="164">
        <f t="shared" si="2"/>
        <v>0.19147140001905102</v>
      </c>
      <c r="X49" s="17">
        <f>IFERROR(_xlfn.XLOOKUP($A49,'Raw Data'!$G:$G,'Raw Data'!AB:AB),"")</f>
        <v>46338</v>
      </c>
      <c r="Y49" s="17">
        <f>IFERROR(_xlfn.XLOOKUP($A49,'Raw Data'!$G:$G,'Raw Data'!AC:AC),"")</f>
        <v>48587.400000003981</v>
      </c>
      <c r="Z49" s="38">
        <f>IFERROR(_xlfn.XLOOKUP($A49,'Raw Data'!$G:$G,'Raw Data'!AD:AD),"")</f>
        <v>304.43999999992144</v>
      </c>
      <c r="AA49" s="38">
        <f>IFERROR(_xlfn.XLOOKUP($A49,'Raw Data'!$G:$G,'Raw Data'!AE:AE)*(1+(_xlfn.XLOOKUP(Table13[[#This Row],[Month Year]],JMR!$A:$A,JMR!$J:$J))),"")</f>
        <v>48282.960000004059</v>
      </c>
      <c r="AB49" s="17">
        <f>_xlfn.XLOOKUP($D49,'Modelling New'!D:D,'Modelling New'!N:N)</f>
        <v>10.507</v>
      </c>
      <c r="AC49" s="24">
        <f>IFERROR(_xlfn.XLOOKUP($D49,'Modelling New'!$D:$D,'Modelling New'!P:P),"")</f>
        <v>6.9530422466129034</v>
      </c>
      <c r="AD49" s="38">
        <f>IFERROR(_xlfn.XLOOKUP($D49,'Modelling New'!$D:$D,'Modelling New'!T:T)*1000,"")</f>
        <v>50788.087346112523</v>
      </c>
      <c r="AE49" s="164">
        <f t="shared" si="3"/>
        <v>0.69519758920580954</v>
      </c>
      <c r="AF49" s="164">
        <f>IFERROR(_xlfn.XLOOKUP($D49,'Modelling New'!$D:$D,'Modelling New'!W:W),"")</f>
        <v>0.20140575864547652</v>
      </c>
      <c r="AG49" s="164">
        <f>IFERROR(_xlfn.XLOOKUP($D49,'Modelling New'!$D:$D,'Modelling New'!AD:AD),"")</f>
        <v>0.995</v>
      </c>
      <c r="AH49" s="164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64"/>
      <c r="AO49" s="164"/>
      <c r="AP49" s="164"/>
      <c r="AQ49" s="164"/>
      <c r="AR49" s="38">
        <f>IFERROR(_xlfn.XLOOKUP($D49,'Modelling New'!$D:$D,'Modelling New'!$N:$N),"")</f>
        <v>10.507</v>
      </c>
      <c r="AS49" s="38"/>
      <c r="AT49" s="38">
        <f>IFERROR(_xlfn.XLOOKUP(Table13[[#This Row],[Date]],'Raw Data'!$G:$G,'Raw Data'!$AJ:$AJ),"")</f>
        <v>0</v>
      </c>
      <c r="AU49" s="38">
        <f>IFERROR(_xlfn.XLOOKUP(Table13[[#This Row],[Month Year]],'Modelling New'!$D:$D,'Modelling New'!$AN:$AN),"")</f>
        <v>10</v>
      </c>
      <c r="AV49" s="38">
        <f>SUMIF('Curtailment records'!$C:$C,Table13[[#This Row],[Date]],'Curtailment records'!$R:$R)/1000</f>
        <v>0</v>
      </c>
    </row>
    <row r="50" spans="1:48">
      <c r="A50" s="66">
        <f t="shared" si="5"/>
        <v>45793</v>
      </c>
      <c r="B50" s="38">
        <f>YEAR(Table13[[#This Row],[Date]])+IF(MONTH(Table13[[#This Row],[Date]])&gt;=4,1,0)</f>
        <v>2026</v>
      </c>
      <c r="C50" s="17">
        <f>YEAR(Table13[[#This Row],[Date]])</f>
        <v>2025</v>
      </c>
      <c r="D50" s="37">
        <f>Table13[[#This Row],[Date]]-DAY(Table13[[#This Row],[Date]])+1</f>
        <v>45778</v>
      </c>
      <c r="E50" s="17">
        <f t="shared" si="6"/>
        <v>31</v>
      </c>
      <c r="F50" s="135" cm="1">
        <f t="array" ref="F50">IFERROR(_xlfn.XLOOKUP(Table13[[#This Row],[Date]],Raw_Data[[#All],[Date]],Raw_Data[[#All],[Operating Hours]]),"")</f>
        <v>12.433333333333334</v>
      </c>
      <c r="G50" s="24">
        <f>IFERROR(_xlfn.XLOOKUP($A50,'Raw Data'!$G:$G,'Raw Data'!S:S)/1000,"")</f>
        <v>6.18</v>
      </c>
      <c r="H50" s="24"/>
      <c r="I50" s="24">
        <f>IFERROR(_xlfn.XLOOKUP($A50,'Raw Data'!$G:$G,'Raw Data'!AF:AF)/1000,"")</f>
        <v>6.82</v>
      </c>
      <c r="J50" s="24"/>
      <c r="K50" s="137">
        <f>IFERROR(_xlfn.XLOOKUP($A50,'Raw Data'!$G:$G,'Raw Data'!W:W),"")</f>
        <v>27.790605008841517</v>
      </c>
      <c r="L50" s="136">
        <f>IFERROR(_xlfn.XLOOKUP($A50,'Raw Data'!$G:$G,'Raw Data'!X:X),"")</f>
        <v>43.428518476575576</v>
      </c>
      <c r="M50" s="136">
        <f>IFERROR(_xlfn.XLOOKUP($A50,'Raw Data'!$G:$G,'Raw Data'!Y:Y),"")</f>
        <v>1.0359332124232608</v>
      </c>
      <c r="N50" s="136">
        <f>IFERROR(_xlfn.XLOOKUP($A50,'Raw Data'!$G:$G,'Raw Data'!Z:Z),"")</f>
        <v>5.8034629821777344</v>
      </c>
      <c r="O50" s="176">
        <f>IFERROR(1-SUMIF('Plant BD'!$B:$B,$A50,'Plant BD'!$AM:$AM)/($AA50+SUMIF('Plant BD'!$B:$B,$A50,'Plant BD'!$AM:$AM)),"")</f>
        <v>0.9962918606304767</v>
      </c>
      <c r="P50" s="176"/>
      <c r="Q50" s="177"/>
      <c r="R50" s="179">
        <f>IFERROR(1-SUMIF('Grid BD'!$B:$B,$A50,'Grid BD'!$AE:$AE)/($AA50+SUMIF('Grid BD'!$B:$B,$A50,'Grid BD'!$AE:$AE)),"")</f>
        <v>1</v>
      </c>
      <c r="S50" s="17"/>
      <c r="T50" s="177">
        <f>IFERROR(1-SUMIF(Tracker_BD!H:H,$A50,Tracker_BD!AI:AI)/$F50,"")</f>
        <v>1</v>
      </c>
      <c r="U50" s="178">
        <f t="shared" si="1"/>
        <v>0.6980024767735965</v>
      </c>
      <c r="V50" s="17"/>
      <c r="W50" s="164">
        <f t="shared" si="2"/>
        <v>0.19834903714983035</v>
      </c>
      <c r="X50" s="17">
        <f>IFERROR(_xlfn.XLOOKUP($A50,'Raw Data'!$G:$G,'Raw Data'!AB:AB),"")</f>
        <v>47784</v>
      </c>
      <c r="Y50" s="17">
        <f>IFERROR(_xlfn.XLOOKUP($A50,'Raw Data'!$G:$G,'Raw Data'!AC:AC),"")</f>
        <v>50333.299999998417</v>
      </c>
      <c r="Z50" s="38">
        <f>IFERROR(_xlfn.XLOOKUP($A50,'Raw Data'!$G:$G,'Raw Data'!AD:AD),"")</f>
        <v>316.01999999999464</v>
      </c>
      <c r="AA50" s="38">
        <f>IFERROR(_xlfn.XLOOKUP($A50,'Raw Data'!$G:$G,'Raw Data'!AE:AE)*(1+(_xlfn.XLOOKUP(Table13[[#This Row],[Month Year]],JMR!$A:$A,JMR!$J:$J))),"")</f>
        <v>50017.27999999842</v>
      </c>
      <c r="AB50" s="17">
        <f>_xlfn.XLOOKUP($D50,'Modelling New'!D:D,'Modelling New'!N:N)</f>
        <v>10.507</v>
      </c>
      <c r="AC50" s="24">
        <f>IFERROR(_xlfn.XLOOKUP($D50,'Modelling New'!$D:$D,'Modelling New'!P:P),"")</f>
        <v>6.9530422466129034</v>
      </c>
      <c r="AD50" s="38">
        <f>IFERROR(_xlfn.XLOOKUP($D50,'Modelling New'!$D:$D,'Modelling New'!T:T)*1000,"")</f>
        <v>50788.087346112523</v>
      </c>
      <c r="AE50" s="164">
        <f t="shared" si="3"/>
        <v>0.69519758920580954</v>
      </c>
      <c r="AF50" s="164">
        <f>IFERROR(_xlfn.XLOOKUP($D50,'Modelling New'!$D:$D,'Modelling New'!W:W),"")</f>
        <v>0.20140575864547652</v>
      </c>
      <c r="AG50" s="164">
        <f>IFERROR(_xlfn.XLOOKUP($D50,'Modelling New'!$D:$D,'Modelling New'!AD:AD),"")</f>
        <v>0.995</v>
      </c>
      <c r="AH50" s="164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64"/>
      <c r="AO50" s="164"/>
      <c r="AP50" s="164"/>
      <c r="AQ50" s="164"/>
      <c r="AR50" s="38">
        <f>IFERROR(_xlfn.XLOOKUP($D50,'Modelling New'!$D:$D,'Modelling New'!$N:$N),"")</f>
        <v>10.507</v>
      </c>
      <c r="AS50" s="38"/>
      <c r="AT50" s="38">
        <f>IFERROR(_xlfn.XLOOKUP(Table13[[#This Row],[Date]],'Raw Data'!$G:$G,'Raw Data'!$AJ:$AJ),"")</f>
        <v>0</v>
      </c>
      <c r="AU50" s="38">
        <f>IFERROR(_xlfn.XLOOKUP(Table13[[#This Row],[Month Year]],'Modelling New'!$D:$D,'Modelling New'!$AN:$AN),"")</f>
        <v>10</v>
      </c>
      <c r="AV50" s="38">
        <f>SUMIF('Curtailment records'!$C:$C,Table13[[#This Row],[Date]],'Curtailment records'!$R:$R)/1000</f>
        <v>0</v>
      </c>
    </row>
    <row r="51" spans="1:48">
      <c r="A51" s="66">
        <f t="shared" si="5"/>
        <v>45794</v>
      </c>
      <c r="B51" s="38">
        <f>YEAR(Table13[[#This Row],[Date]])+IF(MONTH(Table13[[#This Row],[Date]])&gt;=4,1,0)</f>
        <v>2026</v>
      </c>
      <c r="C51" s="17">
        <f>YEAR(Table13[[#This Row],[Date]])</f>
        <v>2025</v>
      </c>
      <c r="D51" s="37">
        <f>Table13[[#This Row],[Date]]-DAY(Table13[[#This Row],[Date]])+1</f>
        <v>45778</v>
      </c>
      <c r="E51" s="17">
        <f t="shared" si="6"/>
        <v>31</v>
      </c>
      <c r="F51" s="135" cm="1">
        <f t="array" ref="F51">IFERROR(_xlfn.XLOOKUP(Table13[[#This Row],[Date]],Raw_Data[[#All],[Date]],Raw_Data[[#All],[Operating Hours]]),"")</f>
        <v>11.966666666666665</v>
      </c>
      <c r="G51" s="136">
        <f>IFERROR(_xlfn.XLOOKUP($A51,'Raw Data'!$G:$G,'Raw Data'!S:S)/1000,"")</f>
        <v>3.77</v>
      </c>
      <c r="H51" s="136"/>
      <c r="I51" s="136">
        <f>IFERROR(_xlfn.XLOOKUP($A51,'Raw Data'!$G:$G,'Raw Data'!AF:AF)/1000,"")</f>
        <v>3.83</v>
      </c>
      <c r="J51" s="136"/>
      <c r="K51" s="137">
        <f>IFERROR(_xlfn.XLOOKUP($A51,'Raw Data'!$G:$G,'Raw Data'!W:W),"")</f>
        <v>25.997133488449499</v>
      </c>
      <c r="L51" s="136">
        <f>IFERROR(_xlfn.XLOOKUP($A51,'Raw Data'!$G:$G,'Raw Data'!X:X),"")</f>
        <v>35.206115425544922</v>
      </c>
      <c r="M51" s="136">
        <f>IFERROR(_xlfn.XLOOKUP($A51,'Raw Data'!$G:$G,'Raw Data'!Y:Y),"")</f>
        <v>0.98105322651471816</v>
      </c>
      <c r="N51" s="136">
        <f>IFERROR(_xlfn.XLOOKUP($A51,'Raw Data'!$G:$G,'Raw Data'!Z:Z),"")</f>
        <v>7.1984829902648926</v>
      </c>
      <c r="O51" s="176">
        <f>IFERROR(1-SUMIF('Plant BD'!$B:$B,$A51,'Plant BD'!$AM:$AM)/($AA51+SUMIF('Plant BD'!$B:$B,$A51,'Plant BD'!$AM:$AM)),"")</f>
        <v>1</v>
      </c>
      <c r="P51" s="176"/>
      <c r="Q51" s="177"/>
      <c r="R51" s="176">
        <f>IFERROR(1-SUMIF('Grid BD'!$B:$B,$A51,'Grid BD'!$AE:$AE)/($AA51+SUMIF('Grid BD'!$B:$B,$A51,'Grid BD'!$AE:$AE)),"")</f>
        <v>1</v>
      </c>
      <c r="S51" s="17"/>
      <c r="T51" s="177">
        <f>IFERROR(1-SUMIF(Tracker_BD!H:H,$A51,Tracker_BD!AI:AI)/$F51,"")</f>
        <v>1</v>
      </c>
      <c r="U51" s="178">
        <f t="shared" si="1"/>
        <v>0.74661204354362476</v>
      </c>
      <c r="V51" s="17"/>
      <c r="W51" s="164">
        <f t="shared" si="2"/>
        <v>0.11914683861550344</v>
      </c>
      <c r="X51" s="17">
        <f>IFERROR(_xlfn.XLOOKUP($A51,'Raw Data'!$G:$G,'Raw Data'!AB:AB),"")</f>
        <v>30989</v>
      </c>
      <c r="Y51" s="17">
        <f>IFERROR(_xlfn.XLOOKUP($A51,'Raw Data'!$G:$G,'Raw Data'!AC:AC),"")</f>
        <v>30361.399999994319</v>
      </c>
      <c r="Z51" s="38">
        <f>IFERROR(_xlfn.XLOOKUP($A51,'Raw Data'!$G:$G,'Raw Data'!AD:AD),"")</f>
        <v>316.38000000004496</v>
      </c>
      <c r="AA51" s="38">
        <f>IFERROR(_xlfn.XLOOKUP($A51,'Raw Data'!$G:$G,'Raw Data'!AE:AE)*(1+(_xlfn.XLOOKUP(Table13[[#This Row],[Month Year]],JMR!$A:$A,JMR!$J:$J))),"")</f>
        <v>30045.019999994274</v>
      </c>
      <c r="AB51" s="17">
        <f>_xlfn.XLOOKUP($D51,'Modelling New'!D:D,'Modelling New'!N:N)</f>
        <v>10.507</v>
      </c>
      <c r="AC51" s="24">
        <f>IFERROR(_xlfn.XLOOKUP($D51,'Modelling New'!$D:$D,'Modelling New'!P:P),"")</f>
        <v>6.9530422466129034</v>
      </c>
      <c r="AD51" s="38">
        <f>IFERROR(_xlfn.XLOOKUP($D51,'Modelling New'!$D:$D,'Modelling New'!T:T)*1000,"")</f>
        <v>50788.087346112523</v>
      </c>
      <c r="AE51" s="164">
        <f t="shared" si="3"/>
        <v>0.69519758920580954</v>
      </c>
      <c r="AF51" s="164">
        <f>IFERROR(_xlfn.XLOOKUP($D51,'Modelling New'!$D:$D,'Modelling New'!W:W),"")</f>
        <v>0.20140575864547652</v>
      </c>
      <c r="AG51" s="164">
        <f>IFERROR(_xlfn.XLOOKUP($D51,'Modelling New'!$D:$D,'Modelling New'!AD:AD),"")</f>
        <v>0.995</v>
      </c>
      <c r="AH51" s="164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64"/>
      <c r="AO51" s="164"/>
      <c r="AP51" s="164"/>
      <c r="AQ51" s="164"/>
      <c r="AR51" s="38">
        <f>IFERROR(_xlfn.XLOOKUP($D51,'Modelling New'!$D:$D,'Modelling New'!$N:$N),"")</f>
        <v>10.507</v>
      </c>
      <c r="AS51" s="38"/>
      <c r="AT51" s="38">
        <f>IFERROR(_xlfn.XLOOKUP(Table13[[#This Row],[Date]],'Raw Data'!$G:$G,'Raw Data'!$AJ:$AJ),"")</f>
        <v>0</v>
      </c>
      <c r="AU51" s="38">
        <f>IFERROR(_xlfn.XLOOKUP(Table13[[#This Row],[Month Year]],'Modelling New'!$D:$D,'Modelling New'!$AN:$AN),"")</f>
        <v>10</v>
      </c>
      <c r="AV51" s="38">
        <f>SUMIF('Curtailment records'!$C:$C,Table13[[#This Row],[Date]],'Curtailment records'!$R:$R)/1000</f>
        <v>0</v>
      </c>
    </row>
    <row r="52" spans="1:48">
      <c r="A52" s="66">
        <f t="shared" si="5"/>
        <v>45795</v>
      </c>
      <c r="B52" s="38">
        <f>YEAR(Table13[[#This Row],[Date]])+IF(MONTH(Table13[[#This Row],[Date]])&gt;=4,1,0)</f>
        <v>2026</v>
      </c>
      <c r="C52" s="17">
        <f>YEAR(Table13[[#This Row],[Date]])</f>
        <v>2025</v>
      </c>
      <c r="D52" s="37">
        <f>Table13[[#This Row],[Date]]-DAY(Table13[[#This Row],[Date]])+1</f>
        <v>45778</v>
      </c>
      <c r="E52" s="17">
        <f t="shared" si="6"/>
        <v>31</v>
      </c>
      <c r="F52" s="135" cm="1">
        <f t="array" ref="F52">IFERROR(_xlfn.XLOOKUP(Table13[[#This Row],[Date]],Raw_Data[[#All],[Date]],Raw_Data[[#All],[Operating Hours]]),"")</f>
        <v>12.333333333333332</v>
      </c>
      <c r="G52" s="24">
        <f>IFERROR(_xlfn.XLOOKUP($A52,'Raw Data'!$G:$G,'Raw Data'!S:S)/1000,"")</f>
        <v>6.05</v>
      </c>
      <c r="H52" s="24"/>
      <c r="I52" s="24">
        <f>IFERROR(_xlfn.XLOOKUP($A52,'Raw Data'!$G:$G,'Raw Data'!AF:AF)/1000,"")</f>
        <v>6.4</v>
      </c>
      <c r="J52" s="24"/>
      <c r="K52" s="137">
        <f>IFERROR(_xlfn.XLOOKUP($A52,'Raw Data'!$G:$G,'Raw Data'!W:W),"")</f>
        <v>27.759018881279125</v>
      </c>
      <c r="L52" s="136">
        <f>IFERROR(_xlfn.XLOOKUP($A52,'Raw Data'!$G:$G,'Raw Data'!X:X),"")</f>
        <v>41.244252893445299</v>
      </c>
      <c r="M52" s="136">
        <f>IFERROR(_xlfn.XLOOKUP($A52,'Raw Data'!$G:$G,'Raw Data'!Y:Y),"")</f>
        <v>1.1752845698844405</v>
      </c>
      <c r="N52" s="136">
        <f>IFERROR(_xlfn.XLOOKUP($A52,'Raw Data'!$G:$G,'Raw Data'!Z:Z),"")</f>
        <v>4.1536445617675781</v>
      </c>
      <c r="O52" s="176">
        <f>IFERROR(1-SUMIF('Plant BD'!$B:$B,$A52,'Plant BD'!$AM:$AM)/($AA52+SUMIF('Plant BD'!$B:$B,$A52,'Plant BD'!$AM:$AM)),"")</f>
        <v>0.9832907385822951</v>
      </c>
      <c r="P52" s="176"/>
      <c r="Q52" s="177"/>
      <c r="R52" s="179">
        <f>IFERROR(1-SUMIF('Grid BD'!$B:$B,$A52,'Grid BD'!$AE:$AE)/($AA52+SUMIF('Grid BD'!$B:$B,$A52,'Grid BD'!$AE:$AE)),"")</f>
        <v>1</v>
      </c>
      <c r="S52" s="17"/>
      <c r="T52" s="177">
        <f>IFERROR(1-SUMIF(Tracker_BD!H:H,$A52,Tracker_BD!AI:AI)/$F52,"")</f>
        <v>1</v>
      </c>
      <c r="U52" s="178">
        <f t="shared" si="1"/>
        <v>0.71089273817449339</v>
      </c>
      <c r="V52" s="17"/>
      <c r="W52" s="164">
        <f t="shared" si="2"/>
        <v>0.18957139684653154</v>
      </c>
      <c r="X52" s="17">
        <f>IFERROR(_xlfn.XLOOKUP($A52,'Raw Data'!$G:$G,'Raw Data'!AB:AB),"")</f>
        <v>45892</v>
      </c>
      <c r="Y52" s="17">
        <f>IFERROR(_xlfn.XLOOKUP($A52,'Raw Data'!$G:$G,'Raw Data'!AC:AC),"")</f>
        <v>48123.999999996158</v>
      </c>
      <c r="Z52" s="38">
        <f>IFERROR(_xlfn.XLOOKUP($A52,'Raw Data'!$G:$G,'Raw Data'!AD:AD),"")</f>
        <v>320.15999999998712</v>
      </c>
      <c r="AA52" s="38">
        <f>IFERROR(_xlfn.XLOOKUP($A52,'Raw Data'!$G:$G,'Raw Data'!AE:AE)*(1+(_xlfn.XLOOKUP(Table13[[#This Row],[Month Year]],JMR!$A:$A,JMR!$J:$J))),"")</f>
        <v>47803.839999996169</v>
      </c>
      <c r="AB52" s="17">
        <f>_xlfn.XLOOKUP($D52,'Modelling New'!D:D,'Modelling New'!N:N)</f>
        <v>10.507</v>
      </c>
      <c r="AC52" s="24">
        <f>IFERROR(_xlfn.XLOOKUP($D52,'Modelling New'!$D:$D,'Modelling New'!P:P),"")</f>
        <v>6.9530422466129034</v>
      </c>
      <c r="AD52" s="38">
        <f>IFERROR(_xlfn.XLOOKUP($D52,'Modelling New'!$D:$D,'Modelling New'!T:T)*1000,"")</f>
        <v>50788.087346112523</v>
      </c>
      <c r="AE52" s="164">
        <f t="shared" si="3"/>
        <v>0.69519758920580954</v>
      </c>
      <c r="AF52" s="164">
        <f>IFERROR(_xlfn.XLOOKUP($D52,'Modelling New'!$D:$D,'Modelling New'!W:W),"")</f>
        <v>0.20140575864547652</v>
      </c>
      <c r="AG52" s="164">
        <f>IFERROR(_xlfn.XLOOKUP($D52,'Modelling New'!$D:$D,'Modelling New'!AD:AD),"")</f>
        <v>0.995</v>
      </c>
      <c r="AH52" s="164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64"/>
      <c r="AO52" s="164"/>
      <c r="AP52" s="164"/>
      <c r="AQ52" s="164"/>
      <c r="AR52" s="38">
        <f>IFERROR(_xlfn.XLOOKUP($D52,'Modelling New'!$D:$D,'Modelling New'!$N:$N),"")</f>
        <v>10.507</v>
      </c>
      <c r="AS52" s="38"/>
      <c r="AT52" s="38">
        <f>IFERROR(_xlfn.XLOOKUP(Table13[[#This Row],[Date]],'Raw Data'!$G:$G,'Raw Data'!$AJ:$AJ),"")</f>
        <v>0</v>
      </c>
      <c r="AU52" s="38">
        <f>IFERROR(_xlfn.XLOOKUP(Table13[[#This Row],[Month Year]],'Modelling New'!$D:$D,'Modelling New'!$AN:$AN),"")</f>
        <v>10</v>
      </c>
      <c r="AV52" s="38">
        <f>SUMIF('Curtailment records'!$C:$C,Table13[[#This Row],[Date]],'Curtailment records'!$R:$R)/1000</f>
        <v>0</v>
      </c>
    </row>
    <row r="53" spans="1:48">
      <c r="A53" s="66">
        <f t="shared" si="5"/>
        <v>45796</v>
      </c>
      <c r="B53" s="38">
        <f>YEAR(Table13[[#This Row],[Date]])+IF(MONTH(Table13[[#This Row],[Date]])&gt;=4,1,0)</f>
        <v>2026</v>
      </c>
      <c r="C53" s="17">
        <f>YEAR(Table13[[#This Row],[Date]])</f>
        <v>2025</v>
      </c>
      <c r="D53" s="37">
        <f>Table13[[#This Row],[Date]]-DAY(Table13[[#This Row],[Date]])+1</f>
        <v>45778</v>
      </c>
      <c r="E53" s="17">
        <f t="shared" si="6"/>
        <v>31</v>
      </c>
      <c r="F53" s="135" cm="1">
        <f t="array" ref="F53">IFERROR(_xlfn.XLOOKUP(Table13[[#This Row],[Date]],Raw_Data[[#All],[Date]],Raw_Data[[#All],[Operating Hours]]),"")</f>
        <v>11.733333333333333</v>
      </c>
      <c r="G53" s="136">
        <f>IFERROR(_xlfn.XLOOKUP($A53,'Raw Data'!$G:$G,'Raw Data'!S:S)/1000,"")</f>
        <v>2.8</v>
      </c>
      <c r="H53" s="136"/>
      <c r="I53" s="136">
        <f>IFERROR(_xlfn.XLOOKUP($A53,'Raw Data'!$G:$G,'Raw Data'!AF:AF)/1000,"")</f>
        <v>2.7</v>
      </c>
      <c r="J53" s="136"/>
      <c r="K53" s="137">
        <f>IFERROR(_xlfn.XLOOKUP($A53,'Raw Data'!$G:$G,'Raw Data'!W:W),"")</f>
        <v>24.540712475438969</v>
      </c>
      <c r="L53" s="136">
        <f>IFERROR(_xlfn.XLOOKUP($A53,'Raw Data'!$G:$G,'Raw Data'!X:X),"")</f>
        <v>30.841078804167406</v>
      </c>
      <c r="M53" s="136">
        <f>IFERROR(_xlfn.XLOOKUP($A53,'Raw Data'!$G:$G,'Raw Data'!Y:Y),"")</f>
        <v>0.73104974247578525</v>
      </c>
      <c r="N53" s="136">
        <f>IFERROR(_xlfn.XLOOKUP($A53,'Raw Data'!$G:$G,'Raw Data'!Z:Z),"")</f>
        <v>3.1101617813110352</v>
      </c>
      <c r="O53" s="176">
        <f>IFERROR(1-SUMIF('Plant BD'!$B:$B,$A53,'Plant BD'!$AM:$AM)/($AA53+SUMIF('Plant BD'!$B:$B,$A53,'Plant BD'!$AM:$AM)),"")</f>
        <v>1</v>
      </c>
      <c r="P53" s="176"/>
      <c r="Q53" s="177"/>
      <c r="R53" s="176">
        <f>IFERROR(1-SUMIF('Grid BD'!$B:$B,$A53,'Grid BD'!$AE:$AE)/($AA53+SUMIF('Grid BD'!$B:$B,$A53,'Grid BD'!$AE:$AE)),"")</f>
        <v>1</v>
      </c>
      <c r="S53" s="17"/>
      <c r="T53" s="177">
        <f>IFERROR(1-SUMIF(Tracker_BD!H:H,$A53,Tracker_BD!AI:AI)/$F53,"")</f>
        <v>1</v>
      </c>
      <c r="U53" s="178">
        <f t="shared" si="1"/>
        <v>0.7957559158093378</v>
      </c>
      <c r="V53" s="17"/>
      <c r="W53" s="164">
        <f t="shared" si="2"/>
        <v>8.9522540528550507E-2</v>
      </c>
      <c r="X53" s="17">
        <f>IFERROR(_xlfn.XLOOKUP($A53,'Raw Data'!$G:$G,'Raw Data'!AB:AB),"")</f>
        <v>24886</v>
      </c>
      <c r="Y53" s="17">
        <f>IFERROR(_xlfn.XLOOKUP($A53,'Raw Data'!$G:$G,'Raw Data'!AC:AC),"")</f>
        <v>22910.000000003492</v>
      </c>
      <c r="Z53" s="38">
        <f>IFERROR(_xlfn.XLOOKUP($A53,'Raw Data'!$G:$G,'Raw Data'!AD:AD),"")</f>
        <v>335.27999999996894</v>
      </c>
      <c r="AA53" s="38">
        <f>IFERROR(_xlfn.XLOOKUP($A53,'Raw Data'!$G:$G,'Raw Data'!AE:AE)*(1+(_xlfn.XLOOKUP(Table13[[#This Row],[Month Year]],JMR!$A:$A,JMR!$J:$J))),"")</f>
        <v>22574.720000003523</v>
      </c>
      <c r="AB53" s="17">
        <f>_xlfn.XLOOKUP($D53,'Modelling New'!D:D,'Modelling New'!N:N)</f>
        <v>10.507</v>
      </c>
      <c r="AC53" s="24">
        <f>IFERROR(_xlfn.XLOOKUP($D53,'Modelling New'!$D:$D,'Modelling New'!P:P),"")</f>
        <v>6.9530422466129034</v>
      </c>
      <c r="AD53" s="38">
        <f>IFERROR(_xlfn.XLOOKUP($D53,'Modelling New'!$D:$D,'Modelling New'!T:T)*1000,"")</f>
        <v>50788.087346112523</v>
      </c>
      <c r="AE53" s="164">
        <f t="shared" si="3"/>
        <v>0.69519758920580954</v>
      </c>
      <c r="AF53" s="164">
        <f>IFERROR(_xlfn.XLOOKUP($D53,'Modelling New'!$D:$D,'Modelling New'!W:W),"")</f>
        <v>0.20140575864547652</v>
      </c>
      <c r="AG53" s="164">
        <f>IFERROR(_xlfn.XLOOKUP($D53,'Modelling New'!$D:$D,'Modelling New'!AD:AD),"")</f>
        <v>0.995</v>
      </c>
      <c r="AH53" s="164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64"/>
      <c r="AO53" s="164"/>
      <c r="AP53" s="164"/>
      <c r="AQ53" s="164"/>
      <c r="AR53" s="38">
        <f>IFERROR(_xlfn.XLOOKUP($D53,'Modelling New'!$D:$D,'Modelling New'!$N:$N),"")</f>
        <v>10.507</v>
      </c>
      <c r="AS53" s="38"/>
      <c r="AT53" s="38">
        <f>IFERROR(_xlfn.XLOOKUP(Table13[[#This Row],[Date]],'Raw Data'!$G:$G,'Raw Data'!$AJ:$AJ),"")</f>
        <v>0</v>
      </c>
      <c r="AU53" s="38">
        <f>IFERROR(_xlfn.XLOOKUP(Table13[[#This Row],[Month Year]],'Modelling New'!$D:$D,'Modelling New'!$AN:$AN),"")</f>
        <v>10</v>
      </c>
      <c r="AV53" s="38">
        <f>SUMIF('Curtailment records'!$C:$C,Table13[[#This Row],[Date]],'Curtailment records'!$R:$R)/1000</f>
        <v>0</v>
      </c>
    </row>
    <row r="54" spans="1:48">
      <c r="A54" s="66">
        <f t="shared" si="5"/>
        <v>45797</v>
      </c>
      <c r="B54" s="38">
        <f>YEAR(Table13[[#This Row],[Date]])+IF(MONTH(Table13[[#This Row],[Date]])&gt;=4,1,0)</f>
        <v>2026</v>
      </c>
      <c r="C54" s="17">
        <f>YEAR(Table13[[#This Row],[Date]])</f>
        <v>2025</v>
      </c>
      <c r="D54" s="37">
        <f>Table13[[#This Row],[Date]]-DAY(Table13[[#This Row],[Date]])+1</f>
        <v>45778</v>
      </c>
      <c r="E54" s="17">
        <f t="shared" si="6"/>
        <v>31</v>
      </c>
      <c r="F54" s="135" cm="1">
        <f t="array" ref="F54">IFERROR(_xlfn.XLOOKUP(Table13[[#This Row],[Date]],Raw_Data[[#All],[Date]],Raw_Data[[#All],[Operating Hours]]),"")</f>
        <v>11.583333333333336</v>
      </c>
      <c r="G54" s="24">
        <f>IFERROR(_xlfn.XLOOKUP($A54,'Raw Data'!$G:$G,'Raw Data'!S:S)/1000,"")</f>
        <v>3.4</v>
      </c>
      <c r="H54" s="24"/>
      <c r="I54" s="24">
        <f>IFERROR(_xlfn.XLOOKUP($A54,'Raw Data'!$G:$G,'Raw Data'!AF:AF)/1000,"")</f>
        <v>3.32</v>
      </c>
      <c r="J54" s="24"/>
      <c r="K54" s="137">
        <f>IFERROR(_xlfn.XLOOKUP($A54,'Raw Data'!$G:$G,'Raw Data'!W:W),"")</f>
        <v>24.454070329666138</v>
      </c>
      <c r="L54" s="136">
        <f>IFERROR(_xlfn.XLOOKUP($A54,'Raw Data'!$G:$G,'Raw Data'!X:X),"")</f>
        <v>32.887440736266392</v>
      </c>
      <c r="M54" s="136">
        <f>IFERROR(_xlfn.XLOOKUP($A54,'Raw Data'!$G:$G,'Raw Data'!Y:Y),"")</f>
        <v>0.93559595034725362</v>
      </c>
      <c r="N54" s="136">
        <f>IFERROR(_xlfn.XLOOKUP($A54,'Raw Data'!$G:$G,'Raw Data'!Z:Z),"")</f>
        <v>5.0808782577514648</v>
      </c>
      <c r="O54" s="176">
        <f>IFERROR(1-SUMIF('Plant BD'!$B:$B,$A54,'Plant BD'!$AM:$AM)/($AA54+SUMIF('Plant BD'!$B:$B,$A54,'Plant BD'!$AM:$AM)),"")</f>
        <v>1</v>
      </c>
      <c r="P54" s="176"/>
      <c r="Q54" s="177"/>
      <c r="R54" s="179">
        <f>IFERROR(1-SUMIF('Grid BD'!$B:$B,$A54,'Grid BD'!$AE:$AE)/($AA54+SUMIF('Grid BD'!$B:$B,$A54,'Grid BD'!$AE:$AE)),"")</f>
        <v>1</v>
      </c>
      <c r="S54" s="17"/>
      <c r="T54" s="177">
        <f>IFERROR(1-SUMIF(Tracker_BD!H:H,$A54,Tracker_BD!AI:AI)/$F54,"")</f>
        <v>1</v>
      </c>
      <c r="U54" s="178">
        <f t="shared" si="1"/>
        <v>0.76721887072425099</v>
      </c>
      <c r="V54" s="17"/>
      <c r="W54" s="164">
        <f t="shared" si="2"/>
        <v>0.10613194378352139</v>
      </c>
      <c r="X54" s="17">
        <f>IFERROR(_xlfn.XLOOKUP($A54,'Raw Data'!$G:$G,'Raw Data'!AB:AB),"")</f>
        <v>28325</v>
      </c>
      <c r="Y54" s="17">
        <f>IFERROR(_xlfn.XLOOKUP($A54,'Raw Data'!$G:$G,'Raw Data'!AC:AC),"")</f>
        <v>27107.600000003004</v>
      </c>
      <c r="Z54" s="38">
        <f>IFERROR(_xlfn.XLOOKUP($A54,'Raw Data'!$G:$G,'Raw Data'!AD:AD),"")</f>
        <v>344.51999999998151</v>
      </c>
      <c r="AA54" s="38">
        <f>IFERROR(_xlfn.XLOOKUP($A54,'Raw Data'!$G:$G,'Raw Data'!AE:AE)*(1+(_xlfn.XLOOKUP(Table13[[#This Row],[Month Year]],JMR!$A:$A,JMR!$J:$J))),"")</f>
        <v>26763.080000003021</v>
      </c>
      <c r="AB54" s="17">
        <f>_xlfn.XLOOKUP($D54,'Modelling New'!D:D,'Modelling New'!N:N)</f>
        <v>10.507</v>
      </c>
      <c r="AC54" s="24">
        <f>IFERROR(_xlfn.XLOOKUP($D54,'Modelling New'!$D:$D,'Modelling New'!P:P),"")</f>
        <v>6.9530422466129034</v>
      </c>
      <c r="AD54" s="38">
        <f>IFERROR(_xlfn.XLOOKUP($D54,'Modelling New'!$D:$D,'Modelling New'!T:T)*1000,"")</f>
        <v>50788.087346112523</v>
      </c>
      <c r="AE54" s="164">
        <f t="shared" si="3"/>
        <v>0.69519758920580954</v>
      </c>
      <c r="AF54" s="164">
        <f>IFERROR(_xlfn.XLOOKUP($D54,'Modelling New'!$D:$D,'Modelling New'!W:W),"")</f>
        <v>0.20140575864547652</v>
      </c>
      <c r="AG54" s="164">
        <f>IFERROR(_xlfn.XLOOKUP($D54,'Modelling New'!$D:$D,'Modelling New'!AD:AD),"")</f>
        <v>0.995</v>
      </c>
      <c r="AH54" s="164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64"/>
      <c r="AO54" s="164"/>
      <c r="AP54" s="164"/>
      <c r="AQ54" s="164"/>
      <c r="AR54" s="38">
        <f>IFERROR(_xlfn.XLOOKUP($D54,'Modelling New'!$D:$D,'Modelling New'!$N:$N),"")</f>
        <v>10.507</v>
      </c>
      <c r="AS54" s="38"/>
      <c r="AT54" s="38">
        <f>IFERROR(_xlfn.XLOOKUP(Table13[[#This Row],[Date]],'Raw Data'!$G:$G,'Raw Data'!$AJ:$AJ),"")</f>
        <v>0</v>
      </c>
      <c r="AU54" s="38">
        <f>IFERROR(_xlfn.XLOOKUP(Table13[[#This Row],[Month Year]],'Modelling New'!$D:$D,'Modelling New'!$AN:$AN),"")</f>
        <v>10</v>
      </c>
      <c r="AV54" s="38">
        <f>SUMIF('Curtailment records'!$C:$C,Table13[[#This Row],[Date]],'Curtailment records'!$R:$R)/1000</f>
        <v>0</v>
      </c>
    </row>
    <row r="55" spans="1:48">
      <c r="A55" s="66">
        <f t="shared" si="5"/>
        <v>45798</v>
      </c>
      <c r="B55" s="38">
        <f>YEAR(Table13[[#This Row],[Date]])+IF(MONTH(Table13[[#This Row],[Date]])&gt;=4,1,0)</f>
        <v>2026</v>
      </c>
      <c r="C55" s="17">
        <f>YEAR(Table13[[#This Row],[Date]])</f>
        <v>2025</v>
      </c>
      <c r="D55" s="37">
        <f>Table13[[#This Row],[Date]]-DAY(Table13[[#This Row],[Date]])+1</f>
        <v>45778</v>
      </c>
      <c r="E55" s="17">
        <f t="shared" si="6"/>
        <v>31</v>
      </c>
      <c r="F55" s="135" cm="1">
        <f t="array" ref="F55">IFERROR(_xlfn.XLOOKUP(Table13[[#This Row],[Date]],Raw_Data[[#All],[Date]],Raw_Data[[#All],[Operating Hours]]),"")</f>
        <v>12.533333333333335</v>
      </c>
      <c r="G55" s="136">
        <f>IFERROR(_xlfn.XLOOKUP($A55,'Raw Data'!$G:$G,'Raw Data'!S:S)/1000,"")</f>
        <v>3.84</v>
      </c>
      <c r="H55" s="136"/>
      <c r="I55" s="136">
        <f>IFERROR(_xlfn.XLOOKUP($A55,'Raw Data'!$G:$G,'Raw Data'!AF:AF)/1000,"")</f>
        <v>3.87</v>
      </c>
      <c r="J55" s="136"/>
      <c r="K55" s="137">
        <f>IFERROR(_xlfn.XLOOKUP($A55,'Raw Data'!$G:$G,'Raw Data'!W:W),"")</f>
        <v>24.499702527070266</v>
      </c>
      <c r="L55" s="136">
        <f>IFERROR(_xlfn.XLOOKUP($A55,'Raw Data'!$G:$G,'Raw Data'!X:X),"")</f>
        <v>32.526554386295963</v>
      </c>
      <c r="M55" s="136">
        <f>IFERROR(_xlfn.XLOOKUP($A55,'Raw Data'!$G:$G,'Raw Data'!Y:Y),"")</f>
        <v>1.7049341969597704</v>
      </c>
      <c r="N55" s="136">
        <f>IFERROR(_xlfn.XLOOKUP($A55,'Raw Data'!$G:$G,'Raw Data'!Z:Z),"")</f>
        <v>8.8072700500488281</v>
      </c>
      <c r="O55" s="176">
        <f>IFERROR(1-SUMIF('Plant BD'!$B:$B,$A55,'Plant BD'!$AM:$AM)/($AA55+SUMIF('Plant BD'!$B:$B,$A55,'Plant BD'!$AM:$AM)),"")</f>
        <v>1</v>
      </c>
      <c r="P55" s="176"/>
      <c r="Q55" s="177"/>
      <c r="R55" s="176">
        <f>IFERROR(1-SUMIF('Grid BD'!$B:$B,$A55,'Grid BD'!$AE:$AE)/($AA55+SUMIF('Grid BD'!$B:$B,$A55,'Grid BD'!$AE:$AE)),"")</f>
        <v>1</v>
      </c>
      <c r="S55" s="17"/>
      <c r="T55" s="177">
        <f>IFERROR(1-SUMIF(Tracker_BD!H:H,$A55,Tracker_BD!AI:AI)/$F55,"")</f>
        <v>1</v>
      </c>
      <c r="U55" s="178">
        <f t="shared" si="1"/>
        <v>0.75827287775895225</v>
      </c>
      <c r="V55" s="17"/>
      <c r="W55" s="164">
        <f t="shared" si="2"/>
        <v>0.12227150153863105</v>
      </c>
      <c r="X55" s="17">
        <f>IFERROR(_xlfn.XLOOKUP($A55,'Raw Data'!$G:$G,'Raw Data'!AB:AB),"")</f>
        <v>31665</v>
      </c>
      <c r="Y55" s="17">
        <f>IFERROR(_xlfn.XLOOKUP($A55,'Raw Data'!$G:$G,'Raw Data'!AC:AC),"")</f>
        <v>31150.599999993574</v>
      </c>
      <c r="Z55" s="38">
        <f>IFERROR(_xlfn.XLOOKUP($A55,'Raw Data'!$G:$G,'Raw Data'!AD:AD),"")</f>
        <v>317.64000000006121</v>
      </c>
      <c r="AA55" s="38">
        <f>IFERROR(_xlfn.XLOOKUP($A55,'Raw Data'!$G:$G,'Raw Data'!AE:AE)*(1+(_xlfn.XLOOKUP(Table13[[#This Row],[Month Year]],JMR!$A:$A,JMR!$J:$J))),"")</f>
        <v>30832.959999993513</v>
      </c>
      <c r="AB55" s="17">
        <f>_xlfn.XLOOKUP($D55,'Modelling New'!D:D,'Modelling New'!N:N)</f>
        <v>10.507</v>
      </c>
      <c r="AC55" s="24">
        <f>IFERROR(_xlfn.XLOOKUP($D55,'Modelling New'!$D:$D,'Modelling New'!P:P),"")</f>
        <v>6.9530422466129034</v>
      </c>
      <c r="AD55" s="38">
        <f>IFERROR(_xlfn.XLOOKUP($D55,'Modelling New'!$D:$D,'Modelling New'!T:T)*1000,"")</f>
        <v>50788.087346112523</v>
      </c>
      <c r="AE55" s="164">
        <f t="shared" si="3"/>
        <v>0.69519758920580954</v>
      </c>
      <c r="AF55" s="164">
        <f>IFERROR(_xlfn.XLOOKUP($D55,'Modelling New'!$D:$D,'Modelling New'!W:W),"")</f>
        <v>0.20140575864547652</v>
      </c>
      <c r="AG55" s="164">
        <f>IFERROR(_xlfn.XLOOKUP($D55,'Modelling New'!$D:$D,'Modelling New'!AD:AD),"")</f>
        <v>0.995</v>
      </c>
      <c r="AH55" s="164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64"/>
      <c r="AO55" s="164"/>
      <c r="AP55" s="164"/>
      <c r="AQ55" s="164"/>
      <c r="AR55" s="38">
        <f>IFERROR(_xlfn.XLOOKUP($D55,'Modelling New'!$D:$D,'Modelling New'!$N:$N),"")</f>
        <v>10.507</v>
      </c>
      <c r="AS55" s="38"/>
      <c r="AT55" s="38">
        <f>IFERROR(_xlfn.XLOOKUP(Table13[[#This Row],[Date]],'Raw Data'!$G:$G,'Raw Data'!$AJ:$AJ),"")</f>
        <v>0</v>
      </c>
      <c r="AU55" s="38">
        <f>IFERROR(_xlfn.XLOOKUP(Table13[[#This Row],[Month Year]],'Modelling New'!$D:$D,'Modelling New'!$AN:$AN),"")</f>
        <v>10</v>
      </c>
      <c r="AV55" s="38">
        <f>SUMIF('Curtailment records'!$C:$C,Table13[[#This Row],[Date]],'Curtailment records'!$R:$R)/1000</f>
        <v>0</v>
      </c>
    </row>
    <row r="56" spans="1:48">
      <c r="A56" s="66">
        <f t="shared" si="5"/>
        <v>45799</v>
      </c>
      <c r="B56" s="38">
        <f>YEAR(Table13[[#This Row],[Date]])+IF(MONTH(Table13[[#This Row],[Date]])&gt;=4,1,0)</f>
        <v>2026</v>
      </c>
      <c r="C56" s="17">
        <f>YEAR(Table13[[#This Row],[Date]])</f>
        <v>2025</v>
      </c>
      <c r="D56" s="37">
        <f>Table13[[#This Row],[Date]]-DAY(Table13[[#This Row],[Date]])+1</f>
        <v>45778</v>
      </c>
      <c r="E56" s="17">
        <f t="shared" si="6"/>
        <v>31</v>
      </c>
      <c r="F56" s="135" cm="1">
        <f t="array" ref="F56">IFERROR(_xlfn.XLOOKUP(Table13[[#This Row],[Date]],Raw_Data[[#All],[Date]],Raw_Data[[#All],[Operating Hours]]),"")</f>
        <v>12.466666666666669</v>
      </c>
      <c r="G56" s="24">
        <f>IFERROR(_xlfn.XLOOKUP($A56,'Raw Data'!$G:$G,'Raw Data'!S:S)/1000,"")</f>
        <v>5.17</v>
      </c>
      <c r="H56" s="24"/>
      <c r="I56" s="24">
        <f>IFERROR(_xlfn.XLOOKUP($A56,'Raw Data'!$G:$G,'Raw Data'!AF:AF)/1000,"")</f>
        <v>5.38</v>
      </c>
      <c r="J56" s="24"/>
      <c r="K56" s="137">
        <f>IFERROR(_xlfn.XLOOKUP($A56,'Raw Data'!$G:$G,'Raw Data'!W:W),"")</f>
        <v>26.409495324413673</v>
      </c>
      <c r="L56" s="136">
        <f>IFERROR(_xlfn.XLOOKUP($A56,'Raw Data'!$G:$G,'Raw Data'!X:X),"")</f>
        <v>37.032904060883261</v>
      </c>
      <c r="M56" s="136">
        <f>IFERROR(_xlfn.XLOOKUP($A56,'Raw Data'!$G:$G,'Raw Data'!Y:Y),"")</f>
        <v>1.5430992601392106</v>
      </c>
      <c r="N56" s="136">
        <f>IFERROR(_xlfn.XLOOKUP($A56,'Raw Data'!$G:$G,'Raw Data'!Z:Z),"")</f>
        <v>6.5776700973510742</v>
      </c>
      <c r="O56" s="176">
        <f>IFERROR(1-SUMIF('Plant BD'!$B:$B,$A56,'Plant BD'!$AM:$AM)/($AA56+SUMIF('Plant BD'!$B:$B,$A56,'Plant BD'!$AM:$AM)),"")</f>
        <v>1</v>
      </c>
      <c r="P56" s="176"/>
      <c r="Q56" s="177"/>
      <c r="R56" s="179">
        <f>IFERROR(1-SUMIF('Grid BD'!$B:$B,$A56,'Grid BD'!$AE:$AE)/($AA56+SUMIF('Grid BD'!$B:$B,$A56,'Grid BD'!$AE:$AE)),"")</f>
        <v>1</v>
      </c>
      <c r="S56" s="17"/>
      <c r="T56" s="177">
        <f>IFERROR(1-SUMIF(Tracker_BD!H:H,$A56,Tracker_BD!AI:AI)/$F56,"")</f>
        <v>1</v>
      </c>
      <c r="U56" s="178">
        <f t="shared" si="1"/>
        <v>0.74236046565529445</v>
      </c>
      <c r="V56" s="17"/>
      <c r="W56" s="164">
        <f t="shared" si="2"/>
        <v>0.16641247105106186</v>
      </c>
      <c r="X56" s="17">
        <f>IFERROR(_xlfn.XLOOKUP($A56,'Raw Data'!$G:$G,'Raw Data'!AB:AB),"")</f>
        <v>40970</v>
      </c>
      <c r="Y56" s="17">
        <f>IFERROR(_xlfn.XLOOKUP($A56,'Raw Data'!$G:$G,'Raw Data'!AC:AC),"")</f>
        <v>42265.100000004168</v>
      </c>
      <c r="Z56" s="38">
        <f>IFERROR(_xlfn.XLOOKUP($A56,'Raw Data'!$G:$G,'Raw Data'!AD:AD),"")</f>
        <v>301.20000000000147</v>
      </c>
      <c r="AA56" s="38">
        <f>IFERROR(_xlfn.XLOOKUP($A56,'Raw Data'!$G:$G,'Raw Data'!AE:AE)*(1+(_xlfn.XLOOKUP(Table13[[#This Row],[Month Year]],JMR!$A:$A,JMR!$J:$J))),"")</f>
        <v>41963.900000004163</v>
      </c>
      <c r="AB56" s="17">
        <f>_xlfn.XLOOKUP($D56,'Modelling New'!D:D,'Modelling New'!N:N)</f>
        <v>10.507</v>
      </c>
      <c r="AC56" s="24">
        <f>IFERROR(_xlfn.XLOOKUP($D56,'Modelling New'!$D:$D,'Modelling New'!P:P),"")</f>
        <v>6.9530422466129034</v>
      </c>
      <c r="AD56" s="38">
        <f>IFERROR(_xlfn.XLOOKUP($D56,'Modelling New'!$D:$D,'Modelling New'!T:T)*1000,"")</f>
        <v>50788.087346112523</v>
      </c>
      <c r="AE56" s="164">
        <f t="shared" si="3"/>
        <v>0.69519758920580954</v>
      </c>
      <c r="AF56" s="164">
        <f>IFERROR(_xlfn.XLOOKUP($D56,'Modelling New'!$D:$D,'Modelling New'!W:W),"")</f>
        <v>0.20140575864547652</v>
      </c>
      <c r="AG56" s="164">
        <f>IFERROR(_xlfn.XLOOKUP($D56,'Modelling New'!$D:$D,'Modelling New'!AD:AD),"")</f>
        <v>0.995</v>
      </c>
      <c r="AH56" s="164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64"/>
      <c r="AO56" s="164"/>
      <c r="AP56" s="164"/>
      <c r="AQ56" s="164"/>
      <c r="AR56" s="38">
        <f>IFERROR(_xlfn.XLOOKUP($D56,'Modelling New'!$D:$D,'Modelling New'!$N:$N),"")</f>
        <v>10.507</v>
      </c>
      <c r="AS56" s="38"/>
      <c r="AT56" s="38">
        <f>IFERROR(_xlfn.XLOOKUP(Table13[[#This Row],[Date]],'Raw Data'!$G:$G,'Raw Data'!$AJ:$AJ),"")</f>
        <v>0</v>
      </c>
      <c r="AU56" s="38">
        <f>IFERROR(_xlfn.XLOOKUP(Table13[[#This Row],[Month Year]],'Modelling New'!$D:$D,'Modelling New'!$AN:$AN),"")</f>
        <v>10</v>
      </c>
      <c r="AV56" s="38">
        <f>SUMIF('Curtailment records'!$C:$C,Table13[[#This Row],[Date]],'Curtailment records'!$R:$R)/1000</f>
        <v>0</v>
      </c>
    </row>
    <row r="57" spans="1:48">
      <c r="A57" s="66">
        <f t="shared" si="5"/>
        <v>45800</v>
      </c>
      <c r="B57" s="38">
        <f>YEAR(Table13[[#This Row],[Date]])+IF(MONTH(Table13[[#This Row],[Date]])&gt;=4,1,0)</f>
        <v>2026</v>
      </c>
      <c r="C57" s="17">
        <f>YEAR(Table13[[#This Row],[Date]])</f>
        <v>2025</v>
      </c>
      <c r="D57" s="37">
        <f>Table13[[#This Row],[Date]]-DAY(Table13[[#This Row],[Date]])+1</f>
        <v>45778</v>
      </c>
      <c r="E57" s="17">
        <f t="shared" si="6"/>
        <v>31</v>
      </c>
      <c r="F57" s="135" cm="1">
        <f t="array" ref="F57">IFERROR(_xlfn.XLOOKUP(Table13[[#This Row],[Date]],Raw_Data[[#All],[Date]],Raw_Data[[#All],[Operating Hours]]),"")</f>
        <v>12.55</v>
      </c>
      <c r="G57" s="136">
        <f>IFERROR(_xlfn.XLOOKUP($A57,'Raw Data'!$G:$G,'Raw Data'!S:S)/1000,"")</f>
        <v>4.282</v>
      </c>
      <c r="H57" s="136"/>
      <c r="I57" s="136">
        <f>IFERROR(_xlfn.XLOOKUP($A57,'Raw Data'!$G:$G,'Raw Data'!AF:AF)/1000,"")</f>
        <v>5.25</v>
      </c>
      <c r="J57" s="136"/>
      <c r="K57" s="137">
        <f>IFERROR(_xlfn.XLOOKUP($A57,'Raw Data'!$G:$G,'Raw Data'!W:W),"")</f>
        <v>25.442632158438997</v>
      </c>
      <c r="L57" s="136">
        <f>IFERROR(_xlfn.XLOOKUP($A57,'Raw Data'!$G:$G,'Raw Data'!X:X),"")</f>
        <v>35.224338688540108</v>
      </c>
      <c r="M57" s="136">
        <f>IFERROR(_xlfn.XLOOKUP($A57,'Raw Data'!$G:$G,'Raw Data'!Y:Y),"")</f>
        <v>2.3077944040615086</v>
      </c>
      <c r="N57" s="136">
        <f>IFERROR(_xlfn.XLOOKUP($A57,'Raw Data'!$G:$G,'Raw Data'!Z:Z),"")</f>
        <v>8.0038242340087891</v>
      </c>
      <c r="O57" s="176">
        <f>IFERROR(1-SUMIF('Plant BD'!$B:$B,$A57,'Plant BD'!$AM:$AM)/($AA57+SUMIF('Plant BD'!$B:$B,$A57,'Plant BD'!$AM:$AM)),"")</f>
        <v>0.99613608366846296</v>
      </c>
      <c r="P57" s="176"/>
      <c r="Q57" s="177"/>
      <c r="R57" s="176">
        <f>IFERROR(1-SUMIF('Grid BD'!$B:$B,$A57,'Grid BD'!$AE:$AE)/($AA57+SUMIF('Grid BD'!$B:$B,$A57,'Grid BD'!$AE:$AE)),"")</f>
        <v>1</v>
      </c>
      <c r="S57" s="17"/>
      <c r="T57" s="177">
        <f>IFERROR(1-SUMIF(Tracker_BD!H:H,$A57,Tracker_BD!AI:AI)/$F57,"")</f>
        <v>1</v>
      </c>
      <c r="U57" s="178">
        <f t="shared" si="1"/>
        <v>0.71478587970839069</v>
      </c>
      <c r="V57" s="17"/>
      <c r="W57" s="164">
        <f t="shared" si="2"/>
        <v>0.15635941118621047</v>
      </c>
      <c r="X57" s="17">
        <f>IFERROR(_xlfn.XLOOKUP($A57,'Raw Data'!$G:$G,'Raw Data'!AB:AB),"")</f>
        <v>38825</v>
      </c>
      <c r="Y57" s="17">
        <f>IFERROR(_xlfn.XLOOKUP($A57,'Raw Data'!$G:$G,'Raw Data'!AC:AC),"")</f>
        <v>39726.500000004307</v>
      </c>
      <c r="Z57" s="38">
        <f>IFERROR(_xlfn.XLOOKUP($A57,'Raw Data'!$G:$G,'Raw Data'!AD:AD),"")</f>
        <v>297.65999999998627</v>
      </c>
      <c r="AA57" s="38">
        <f>IFERROR(_xlfn.XLOOKUP($A57,'Raw Data'!$G:$G,'Raw Data'!AE:AE)*(1+(_xlfn.XLOOKUP(Table13[[#This Row],[Month Year]],JMR!$A:$A,JMR!$J:$J))),"")</f>
        <v>39428.840000004318</v>
      </c>
      <c r="AB57" s="17">
        <f>_xlfn.XLOOKUP($D57,'Modelling New'!D:D,'Modelling New'!N:N)</f>
        <v>10.507</v>
      </c>
      <c r="AC57" s="24">
        <f>IFERROR(_xlfn.XLOOKUP($D57,'Modelling New'!$D:$D,'Modelling New'!P:P),"")</f>
        <v>6.9530422466129034</v>
      </c>
      <c r="AD57" s="38">
        <f>IFERROR(_xlfn.XLOOKUP($D57,'Modelling New'!$D:$D,'Modelling New'!T:T)*1000,"")</f>
        <v>50788.087346112523</v>
      </c>
      <c r="AE57" s="164">
        <f t="shared" si="3"/>
        <v>0.69519758920580954</v>
      </c>
      <c r="AF57" s="164">
        <f>IFERROR(_xlfn.XLOOKUP($D57,'Modelling New'!$D:$D,'Modelling New'!W:W),"")</f>
        <v>0.20140575864547652</v>
      </c>
      <c r="AG57" s="164">
        <f>IFERROR(_xlfn.XLOOKUP($D57,'Modelling New'!$D:$D,'Modelling New'!AD:AD),"")</f>
        <v>0.995</v>
      </c>
      <c r="AH57" s="164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64"/>
      <c r="AO57" s="164"/>
      <c r="AP57" s="164"/>
      <c r="AQ57" s="164"/>
      <c r="AR57" s="38">
        <f>IFERROR(_xlfn.XLOOKUP($D57,'Modelling New'!$D:$D,'Modelling New'!$N:$N),"")</f>
        <v>10.507</v>
      </c>
      <c r="AS57" s="38"/>
      <c r="AT57" s="38">
        <f>IFERROR(_xlfn.XLOOKUP(Table13[[#This Row],[Date]],'Raw Data'!$G:$G,'Raw Data'!$AJ:$AJ),"")</f>
        <v>0</v>
      </c>
      <c r="AU57" s="38">
        <f>IFERROR(_xlfn.XLOOKUP(Table13[[#This Row],[Month Year]],'Modelling New'!$D:$D,'Modelling New'!$AN:$AN),"")</f>
        <v>10</v>
      </c>
      <c r="AV57" s="38">
        <f>SUMIF('Curtailment records'!$C:$C,Table13[[#This Row],[Date]],'Curtailment records'!$R:$R)/1000</f>
        <v>0</v>
      </c>
    </row>
    <row r="58" spans="1:48">
      <c r="A58" s="66">
        <f t="shared" si="5"/>
        <v>45801</v>
      </c>
      <c r="B58" s="38">
        <f>YEAR(Table13[[#This Row],[Date]])+IF(MONTH(Table13[[#This Row],[Date]])&gt;=4,1,0)</f>
        <v>2026</v>
      </c>
      <c r="C58" s="17">
        <f>YEAR(Table13[[#This Row],[Date]])</f>
        <v>2025</v>
      </c>
      <c r="D58" s="37">
        <f>Table13[[#This Row],[Date]]-DAY(Table13[[#This Row],[Date]])+1</f>
        <v>45778</v>
      </c>
      <c r="E58" s="17">
        <f t="shared" si="6"/>
        <v>31</v>
      </c>
      <c r="F58" s="135" cm="1">
        <f t="array" ref="F58">IFERROR(_xlfn.XLOOKUP(Table13[[#This Row],[Date]],Raw_Data[[#All],[Date]],Raw_Data[[#All],[Operating Hours]]),"")</f>
        <v>12.266666666666666</v>
      </c>
      <c r="G58" s="24">
        <f>IFERROR(_xlfn.XLOOKUP($A58,'Raw Data'!$G:$G,'Raw Data'!S:S)/1000,"")</f>
        <v>3.05</v>
      </c>
      <c r="H58" s="24"/>
      <c r="I58" s="24">
        <f>IFERROR(_xlfn.XLOOKUP($A58,'Raw Data'!$G:$G,'Raw Data'!AF:AF)/1000,"")</f>
        <v>3.0049999999999999</v>
      </c>
      <c r="J58" s="24"/>
      <c r="K58" s="137">
        <f>IFERROR(_xlfn.XLOOKUP($A58,'Raw Data'!$G:$G,'Raw Data'!W:W),"")</f>
        <v>24.932755813184553</v>
      </c>
      <c r="L58" s="136">
        <f>IFERROR(_xlfn.XLOOKUP($A58,'Raw Data'!$G:$G,'Raw Data'!X:X),"")</f>
        <v>31.188187163105813</v>
      </c>
      <c r="M58" s="136">
        <f>IFERROR(_xlfn.XLOOKUP($A58,'Raw Data'!$G:$G,'Raw Data'!Y:Y),"")</f>
        <v>2.7854980614486187</v>
      </c>
      <c r="N58" s="136">
        <f>IFERROR(_xlfn.XLOOKUP($A58,'Raw Data'!$G:$G,'Raw Data'!Z:Z),"")</f>
        <v>9.2160501480102539</v>
      </c>
      <c r="O58" s="176">
        <f>IFERROR(1-SUMIF('Plant BD'!$B:$B,$A58,'Plant BD'!$AM:$AM)/($AA58+SUMIF('Plant BD'!$B:$B,$A58,'Plant BD'!$AM:$AM)),"")</f>
        <v>0.84746749623897077</v>
      </c>
      <c r="P58" s="176"/>
      <c r="Q58" s="177"/>
      <c r="R58" s="179">
        <f>IFERROR(1-SUMIF('Grid BD'!$B:$B,$A58,'Grid BD'!$AE:$AE)/($AA58+SUMIF('Grid BD'!$B:$B,$A58,'Grid BD'!$AE:$AE)),"")</f>
        <v>0.99991174118184389</v>
      </c>
      <c r="S58" s="17"/>
      <c r="T58" s="177">
        <f>IFERROR(1-SUMIF(Tracker_BD!H:H,$A58,Tracker_BD!AI:AI)/$F58,"")</f>
        <v>1</v>
      </c>
      <c r="U58" s="178">
        <f t="shared" si="1"/>
        <v>0.70767052216359694</v>
      </c>
      <c r="V58" s="17"/>
      <c r="W58" s="164">
        <f t="shared" si="2"/>
        <v>8.8606246629233706E-2</v>
      </c>
      <c r="X58" s="17">
        <f>IFERROR(_xlfn.XLOOKUP($A58,'Raw Data'!$G:$G,'Raw Data'!AB:AB),"")</f>
        <v>24067</v>
      </c>
      <c r="Y58" s="17">
        <f>IFERROR(_xlfn.XLOOKUP($A58,'Raw Data'!$G:$G,'Raw Data'!AC:AC),"")</f>
        <v>22653.200000000652</v>
      </c>
      <c r="Z58" s="38">
        <f>IFERROR(_xlfn.XLOOKUP($A58,'Raw Data'!$G:$G,'Raw Data'!AD:AD),"")</f>
        <v>309.54000000004811</v>
      </c>
      <c r="AA58" s="38">
        <f>IFERROR(_xlfn.XLOOKUP($A58,'Raw Data'!$G:$G,'Raw Data'!AE:AE)*(1+(_xlfn.XLOOKUP(Table13[[#This Row],[Month Year]],JMR!$A:$A,JMR!$J:$J))),"")</f>
        <v>22343.660000000604</v>
      </c>
      <c r="AB58" s="17">
        <f>_xlfn.XLOOKUP($D58,'Modelling New'!D:D,'Modelling New'!N:N)</f>
        <v>10.507</v>
      </c>
      <c r="AC58" s="24">
        <f>IFERROR(_xlfn.XLOOKUP($D58,'Modelling New'!$D:$D,'Modelling New'!P:P),"")</f>
        <v>6.9530422466129034</v>
      </c>
      <c r="AD58" s="38">
        <f>IFERROR(_xlfn.XLOOKUP($D58,'Modelling New'!$D:$D,'Modelling New'!T:T)*1000,"")</f>
        <v>50788.087346112523</v>
      </c>
      <c r="AE58" s="164">
        <f t="shared" si="3"/>
        <v>0.69519758920580954</v>
      </c>
      <c r="AF58" s="164">
        <f>IFERROR(_xlfn.XLOOKUP($D58,'Modelling New'!$D:$D,'Modelling New'!W:W),"")</f>
        <v>0.20140575864547652</v>
      </c>
      <c r="AG58" s="164">
        <f>IFERROR(_xlfn.XLOOKUP($D58,'Modelling New'!$D:$D,'Modelling New'!AD:AD),"")</f>
        <v>0.995</v>
      </c>
      <c r="AH58" s="164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64"/>
      <c r="AO58" s="164"/>
      <c r="AP58" s="164"/>
      <c r="AQ58" s="164"/>
      <c r="AR58" s="38">
        <f>IFERROR(_xlfn.XLOOKUP($D58,'Modelling New'!$D:$D,'Modelling New'!$N:$N),"")</f>
        <v>10.507</v>
      </c>
      <c r="AS58" s="38"/>
      <c r="AT58" s="38">
        <f>IFERROR(_xlfn.XLOOKUP(Table13[[#This Row],[Date]],'Raw Data'!$G:$G,'Raw Data'!$AJ:$AJ),"")</f>
        <v>0</v>
      </c>
      <c r="AU58" s="38">
        <f>IFERROR(_xlfn.XLOOKUP(Table13[[#This Row],[Month Year]],'Modelling New'!$D:$D,'Modelling New'!$AN:$AN),"")</f>
        <v>10</v>
      </c>
      <c r="AV58" s="38">
        <f>SUMIF('Curtailment records'!$C:$C,Table13[[#This Row],[Date]],'Curtailment records'!$R:$R)/1000</f>
        <v>0</v>
      </c>
    </row>
    <row r="59" spans="1:48">
      <c r="A59" s="66">
        <f t="shared" si="5"/>
        <v>45802</v>
      </c>
      <c r="B59" s="38">
        <f>YEAR(Table13[[#This Row],[Date]])+IF(MONTH(Table13[[#This Row],[Date]])&gt;=4,1,0)</f>
        <v>2026</v>
      </c>
      <c r="C59" s="17">
        <f>YEAR(Table13[[#This Row],[Date]])</f>
        <v>2025</v>
      </c>
      <c r="D59" s="37">
        <f>Table13[[#This Row],[Date]]-DAY(Table13[[#This Row],[Date]])+1</f>
        <v>45778</v>
      </c>
      <c r="E59" s="17">
        <f t="shared" si="6"/>
        <v>31</v>
      </c>
      <c r="F59" s="135" cm="1">
        <f t="array" ref="F59">IFERROR(_xlfn.XLOOKUP(Table13[[#This Row],[Date]],Raw_Data[[#All],[Date]],Raw_Data[[#All],[Operating Hours]]),"")</f>
        <v>12.333333333333332</v>
      </c>
      <c r="G59" s="136">
        <f>IFERROR(_xlfn.XLOOKUP($A59,'Raw Data'!$G:$G,'Raw Data'!S:S)/1000,"")</f>
        <v>3.08</v>
      </c>
      <c r="H59" s="136"/>
      <c r="I59" s="136">
        <f>IFERROR(_xlfn.XLOOKUP($A59,'Raw Data'!$G:$G,'Raw Data'!AF:AF)/1000,"")</f>
        <v>3.18</v>
      </c>
      <c r="J59" s="136"/>
      <c r="K59" s="137">
        <f>IFERROR(_xlfn.XLOOKUP($A59,'Raw Data'!$G:$G,'Raw Data'!W:W),"")</f>
        <v>23.994255112250325</v>
      </c>
      <c r="L59" s="136">
        <f>IFERROR(_xlfn.XLOOKUP($A59,'Raw Data'!$G:$G,'Raw Data'!X:X),"")</f>
        <v>30.119325666131601</v>
      </c>
      <c r="M59" s="136">
        <f>IFERROR(_xlfn.XLOOKUP($A59,'Raw Data'!$G:$G,'Raw Data'!Y:Y),"")</f>
        <v>2.6118079213960934</v>
      </c>
      <c r="N59" s="136">
        <f>IFERROR(_xlfn.XLOOKUP($A59,'Raw Data'!$G:$G,'Raw Data'!Z:Z),"")</f>
        <v>8.8609304428100586</v>
      </c>
      <c r="O59" s="176">
        <f>IFERROR(1-SUMIF('Plant BD'!$B:$B,$A59,'Plant BD'!$AM:$AM)/($AA59+SUMIF('Plant BD'!$B:$B,$A59,'Plant BD'!$AM:$AM)),"")</f>
        <v>0.98942378277879128</v>
      </c>
      <c r="P59" s="176"/>
      <c r="Q59" s="177"/>
      <c r="R59" s="176">
        <f>IFERROR(1-SUMIF('Grid BD'!$B:$B,$A59,'Grid BD'!$AE:$AE)/($AA59+SUMIF('Grid BD'!$B:$B,$A59,'Grid BD'!$AE:$AE)),"")</f>
        <v>0.99996004793033333</v>
      </c>
      <c r="S59" s="17"/>
      <c r="T59" s="177">
        <f>IFERROR(1-SUMIF(Tracker_BD!H:H,$A59,Tracker_BD!AI:AI)/$F59,"")</f>
        <v>1</v>
      </c>
      <c r="U59" s="178">
        <f t="shared" si="1"/>
        <v>0.82075920635098676</v>
      </c>
      <c r="V59" s="17"/>
      <c r="W59" s="164">
        <f t="shared" si="2"/>
        <v>0.10875059484150573</v>
      </c>
      <c r="X59" s="17">
        <f>IFERROR(_xlfn.XLOOKUP($A59,'Raw Data'!$G:$G,'Raw Data'!AB:AB),"")</f>
        <v>28300</v>
      </c>
      <c r="Y59" s="17">
        <f>IFERROR(_xlfn.XLOOKUP($A59,'Raw Data'!$G:$G,'Raw Data'!AC:AC),"")</f>
        <v>27757.199999992736</v>
      </c>
      <c r="Z59" s="38">
        <f>IFERROR(_xlfn.XLOOKUP($A59,'Raw Data'!$G:$G,'Raw Data'!AD:AD),"")</f>
        <v>333.77999999991914</v>
      </c>
      <c r="AA59" s="38">
        <f>IFERROR(_xlfn.XLOOKUP($A59,'Raw Data'!$G:$G,'Raw Data'!AE:AE)*(1+(_xlfn.XLOOKUP(Table13[[#This Row],[Month Year]],JMR!$A:$A,JMR!$J:$J))),"")</f>
        <v>27423.419999992817</v>
      </c>
      <c r="AB59" s="17">
        <f>_xlfn.XLOOKUP($D59,'Modelling New'!D:D,'Modelling New'!N:N)</f>
        <v>10.507</v>
      </c>
      <c r="AC59" s="24">
        <f>IFERROR(_xlfn.XLOOKUP($D59,'Modelling New'!$D:$D,'Modelling New'!P:P),"")</f>
        <v>6.9530422466129034</v>
      </c>
      <c r="AD59" s="38">
        <f>IFERROR(_xlfn.XLOOKUP($D59,'Modelling New'!$D:$D,'Modelling New'!T:T)*1000,"")</f>
        <v>50788.087346112523</v>
      </c>
      <c r="AE59" s="164">
        <f t="shared" si="3"/>
        <v>0.69519758920580954</v>
      </c>
      <c r="AF59" s="164">
        <f>IFERROR(_xlfn.XLOOKUP($D59,'Modelling New'!$D:$D,'Modelling New'!W:W),"")</f>
        <v>0.20140575864547652</v>
      </c>
      <c r="AG59" s="164">
        <f>IFERROR(_xlfn.XLOOKUP($D59,'Modelling New'!$D:$D,'Modelling New'!AD:AD),"")</f>
        <v>0.995</v>
      </c>
      <c r="AH59" s="164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64"/>
      <c r="AO59" s="164"/>
      <c r="AP59" s="164"/>
      <c r="AQ59" s="164"/>
      <c r="AR59" s="38">
        <f>IFERROR(_xlfn.XLOOKUP($D59,'Modelling New'!$D:$D,'Modelling New'!$N:$N),"")</f>
        <v>10.507</v>
      </c>
      <c r="AS59" s="38"/>
      <c r="AT59" s="38">
        <f>IFERROR(_xlfn.XLOOKUP(Table13[[#This Row],[Date]],'Raw Data'!$G:$G,'Raw Data'!$AJ:$AJ),"")</f>
        <v>0</v>
      </c>
      <c r="AU59" s="38">
        <f>IFERROR(_xlfn.XLOOKUP(Table13[[#This Row],[Month Year]],'Modelling New'!$D:$D,'Modelling New'!$AN:$AN),"")</f>
        <v>10</v>
      </c>
      <c r="AV59" s="38">
        <f>SUMIF('Curtailment records'!$C:$C,Table13[[#This Row],[Date]],'Curtailment records'!$R:$R)/1000</f>
        <v>0</v>
      </c>
    </row>
    <row r="60" spans="1:48">
      <c r="A60" s="66">
        <f t="shared" si="5"/>
        <v>45803</v>
      </c>
      <c r="B60" s="38">
        <f>YEAR(Table13[[#This Row],[Date]])+IF(MONTH(Table13[[#This Row],[Date]])&gt;=4,1,0)</f>
        <v>2026</v>
      </c>
      <c r="C60" s="17">
        <f>YEAR(Table13[[#This Row],[Date]])</f>
        <v>2025</v>
      </c>
      <c r="D60" s="37">
        <f>Table13[[#This Row],[Date]]-DAY(Table13[[#This Row],[Date]])+1</f>
        <v>45778</v>
      </c>
      <c r="E60" s="17">
        <f t="shared" si="6"/>
        <v>31</v>
      </c>
      <c r="F60" s="135" cm="1">
        <f t="array" ref="F60">IFERROR(_xlfn.XLOOKUP(Table13[[#This Row],[Date]],Raw_Data[[#All],[Date]],Raw_Data[[#All],[Operating Hours]]),"")</f>
        <v>12.350000000000001</v>
      </c>
      <c r="G60" s="24">
        <f>IFERROR(_xlfn.XLOOKUP($A60,'Raw Data'!$G:$G,'Raw Data'!S:S)/1000,"")</f>
        <v>3.52</v>
      </c>
      <c r="H60" s="24"/>
      <c r="I60" s="24">
        <f>IFERROR(_xlfn.XLOOKUP($A60,'Raw Data'!$G:$G,'Raw Data'!AF:AF)/1000,"")</f>
        <v>3.48</v>
      </c>
      <c r="J60" s="24"/>
      <c r="K60" s="137">
        <f>IFERROR(_xlfn.XLOOKUP($A60,'Raw Data'!$G:$G,'Raw Data'!W:W),"")</f>
        <v>25.965016799258947</v>
      </c>
      <c r="L60" s="136">
        <f>IFERROR(_xlfn.XLOOKUP($A60,'Raw Data'!$G:$G,'Raw Data'!X:X),"")</f>
        <v>35.671256246955565</v>
      </c>
      <c r="M60" s="136">
        <f>IFERROR(_xlfn.XLOOKUP($A60,'Raw Data'!$G:$G,'Raw Data'!Y:Y),"")</f>
        <v>0.92166124091302759</v>
      </c>
      <c r="N60" s="136">
        <f>IFERROR(_xlfn.XLOOKUP($A60,'Raw Data'!$G:$G,'Raw Data'!Z:Z),"")</f>
        <v>10.155361890792847</v>
      </c>
      <c r="O60" s="176">
        <f>IFERROR(1-SUMIF('Plant BD'!$B:$B,$A60,'Plant BD'!$AM:$AM)/($AA60+SUMIF('Plant BD'!$B:$B,$A60,'Plant BD'!$AM:$AM)),"")</f>
        <v>0.99721283235730618</v>
      </c>
      <c r="P60" s="176"/>
      <c r="Q60" s="177"/>
      <c r="R60" s="179">
        <f>IFERROR(1-SUMIF('Grid BD'!$B:$B,$A60,'Grid BD'!$AE:$AE)/($AA60+SUMIF('Grid BD'!$B:$B,$A60,'Grid BD'!$AE:$AE)),"")</f>
        <v>1</v>
      </c>
      <c r="S60" s="17"/>
      <c r="T60" s="177">
        <f>IFERROR(1-SUMIF(Tracker_BD!H:H,$A60,Tracker_BD!AI:AI)/$F60,"")</f>
        <v>1</v>
      </c>
      <c r="U60" s="178">
        <f t="shared" si="1"/>
        <v>0.79488605844611726</v>
      </c>
      <c r="V60" s="17"/>
      <c r="W60" s="164">
        <f t="shared" si="2"/>
        <v>0.115258478474687</v>
      </c>
      <c r="X60" s="17">
        <f>IFERROR(_xlfn.XLOOKUP($A60,'Raw Data'!$G:$G,'Raw Data'!AB:AB),"")</f>
        <v>30197</v>
      </c>
      <c r="Y60" s="17">
        <f>IFERROR(_xlfn.XLOOKUP($A60,'Raw Data'!$G:$G,'Raw Data'!AC:AC),"")</f>
        <v>29399.000000004889</v>
      </c>
      <c r="Z60" s="38">
        <f>IFERROR(_xlfn.XLOOKUP($A60,'Raw Data'!$G:$G,'Raw Data'!AD:AD),"")</f>
        <v>334.50000000001978</v>
      </c>
      <c r="AA60" s="38">
        <f>IFERROR(_xlfn.XLOOKUP($A60,'Raw Data'!$G:$G,'Raw Data'!AE:AE)*(1+(_xlfn.XLOOKUP(Table13[[#This Row],[Month Year]],JMR!$A:$A,JMR!$J:$J))),"")</f>
        <v>29064.500000004871</v>
      </c>
      <c r="AB60" s="17">
        <f>_xlfn.XLOOKUP($D60,'Modelling New'!D:D,'Modelling New'!N:N)</f>
        <v>10.507</v>
      </c>
      <c r="AC60" s="24">
        <f>IFERROR(_xlfn.XLOOKUP($D60,'Modelling New'!$D:$D,'Modelling New'!P:P),"")</f>
        <v>6.9530422466129034</v>
      </c>
      <c r="AD60" s="38">
        <f>IFERROR(_xlfn.XLOOKUP($D60,'Modelling New'!$D:$D,'Modelling New'!T:T)*1000,"")</f>
        <v>50788.087346112523</v>
      </c>
      <c r="AE60" s="164">
        <f t="shared" si="3"/>
        <v>0.69519758920580954</v>
      </c>
      <c r="AF60" s="164">
        <f>IFERROR(_xlfn.XLOOKUP($D60,'Modelling New'!$D:$D,'Modelling New'!W:W),"")</f>
        <v>0.20140575864547652</v>
      </c>
      <c r="AG60" s="164">
        <f>IFERROR(_xlfn.XLOOKUP($D60,'Modelling New'!$D:$D,'Modelling New'!AD:AD),"")</f>
        <v>0.995</v>
      </c>
      <c r="AH60" s="164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64"/>
      <c r="AO60" s="164"/>
      <c r="AP60" s="164"/>
      <c r="AQ60" s="164"/>
      <c r="AR60" s="38">
        <f>IFERROR(_xlfn.XLOOKUP($D60,'Modelling New'!$D:$D,'Modelling New'!$N:$N),"")</f>
        <v>10.507</v>
      </c>
      <c r="AS60" s="38"/>
      <c r="AT60" s="38">
        <f>IFERROR(_xlfn.XLOOKUP(Table13[[#This Row],[Date]],'Raw Data'!$G:$G,'Raw Data'!$AJ:$AJ),"")</f>
        <v>0</v>
      </c>
      <c r="AU60" s="38">
        <f>IFERROR(_xlfn.XLOOKUP(Table13[[#This Row],[Month Year]],'Modelling New'!$D:$D,'Modelling New'!$AN:$AN),"")</f>
        <v>10</v>
      </c>
      <c r="AV60" s="38">
        <f>SUMIF('Curtailment records'!$C:$C,Table13[[#This Row],[Date]],'Curtailment records'!$R:$R)/1000</f>
        <v>0</v>
      </c>
    </row>
    <row r="61" spans="1:48">
      <c r="A61" s="66">
        <f t="shared" si="5"/>
        <v>45804</v>
      </c>
      <c r="B61" s="38">
        <f>YEAR(Table13[[#This Row],[Date]])+IF(MONTH(Table13[[#This Row],[Date]])&gt;=4,1,0)</f>
        <v>2026</v>
      </c>
      <c r="C61" s="17">
        <f>YEAR(Table13[[#This Row],[Date]])</f>
        <v>2025</v>
      </c>
      <c r="D61" s="37">
        <f>Table13[[#This Row],[Date]]-DAY(Table13[[#This Row],[Date]])+1</f>
        <v>45778</v>
      </c>
      <c r="E61" s="17">
        <f t="shared" si="6"/>
        <v>31</v>
      </c>
      <c r="F61" s="135" cm="1">
        <f t="array" ref="F61">IFERROR(_xlfn.XLOOKUP(Table13[[#This Row],[Date]],Raw_Data[[#All],[Date]],Raw_Data[[#All],[Operating Hours]]),"")</f>
        <v>12.416666666666668</v>
      </c>
      <c r="G61" s="136">
        <f>IFERROR(_xlfn.XLOOKUP($A61,'Raw Data'!$G:$G,'Raw Data'!S:S)/1000,"")</f>
        <v>3.82</v>
      </c>
      <c r="H61" s="136"/>
      <c r="I61" s="136">
        <f>IFERROR(_xlfn.XLOOKUP($A61,'Raw Data'!$G:$G,'Raw Data'!AF:AF)/1000,"")</f>
        <v>3.8250000000000002</v>
      </c>
      <c r="J61" s="136"/>
      <c r="K61" s="137">
        <f>IFERROR(_xlfn.XLOOKUP($A61,'Raw Data'!$G:$G,'Raw Data'!W:W),"")</f>
        <v>24.499702527070266</v>
      </c>
      <c r="L61" s="136">
        <f>IFERROR(_xlfn.XLOOKUP($A61,'Raw Data'!$G:$G,'Raw Data'!X:X),"")</f>
        <v>32.526554386295963</v>
      </c>
      <c r="M61" s="136">
        <f>IFERROR(_xlfn.XLOOKUP($A61,'Raw Data'!$G:$G,'Raw Data'!Y:Y),"")</f>
        <v>1.7049341969597704</v>
      </c>
      <c r="N61" s="136">
        <f>IFERROR(_xlfn.XLOOKUP($A61,'Raw Data'!$G:$G,'Raw Data'!Z:Z),"")</f>
        <v>8.8072700500488281</v>
      </c>
      <c r="O61" s="176">
        <f>IFERROR(1-SUMIF('Plant BD'!$B:$B,$A61,'Plant BD'!$AM:$AM)/($AA61+SUMIF('Plant BD'!$B:$B,$A61,'Plant BD'!$AM:$AM)),"")</f>
        <v>1</v>
      </c>
      <c r="P61" s="176"/>
      <c r="Q61" s="177"/>
      <c r="R61" s="176">
        <f>IFERROR(1-SUMIF('Grid BD'!$B:$B,$A61,'Grid BD'!$AE:$AE)/($AA61+SUMIF('Grid BD'!$B:$B,$A61,'Grid BD'!$AE:$AE)),"")</f>
        <v>1</v>
      </c>
      <c r="S61" s="17"/>
      <c r="T61" s="177">
        <f>IFERROR(1-SUMIF(Tracker_BD!H:H,$A61,Tracker_BD!AI:AI)/$F61,"")</f>
        <v>1</v>
      </c>
      <c r="U61" s="178">
        <f t="shared" ref="U61:U124" si="7">IFERROR(AA61/(I61*1000)/AB61,"")</f>
        <v>0.78082224673112166</v>
      </c>
      <c r="V61" s="17"/>
      <c r="W61" s="164">
        <f t="shared" ref="W61:W124" si="8">IFERROR(AA61/(24*1000*AR61),"")</f>
        <v>0.1244435455727725</v>
      </c>
      <c r="X61" s="17">
        <f>IFERROR(_xlfn.XLOOKUP($A61,'Raw Data'!$G:$G,'Raw Data'!AB:AB),"")</f>
        <v>32079</v>
      </c>
      <c r="Y61" s="17">
        <f>IFERROR(_xlfn.XLOOKUP($A61,'Raw Data'!$G:$G,'Raw Data'!AC:AC),"")</f>
        <v>31673.299999994924</v>
      </c>
      <c r="Z61" s="38">
        <f>IFERROR(_xlfn.XLOOKUP($A61,'Raw Data'!$G:$G,'Raw Data'!AD:AD),"")</f>
        <v>292.62000000002786</v>
      </c>
      <c r="AA61" s="38">
        <f>IFERROR(_xlfn.XLOOKUP($A61,'Raw Data'!$G:$G,'Raw Data'!AE:AE)*(1+(_xlfn.XLOOKUP(Table13[[#This Row],[Month Year]],JMR!$A:$A,JMR!$J:$J))),"")</f>
        <v>31380.679999994896</v>
      </c>
      <c r="AB61" s="17">
        <f>_xlfn.XLOOKUP($D61,'Modelling New'!D:D,'Modelling New'!N:N)</f>
        <v>10.507</v>
      </c>
      <c r="AC61" s="24">
        <f>IFERROR(_xlfn.XLOOKUP($D61,'Modelling New'!$D:$D,'Modelling New'!P:P),"")</f>
        <v>6.9530422466129034</v>
      </c>
      <c r="AD61" s="38">
        <f>IFERROR(_xlfn.XLOOKUP($D61,'Modelling New'!$D:$D,'Modelling New'!T:T)*1000,"")</f>
        <v>50788.087346112523</v>
      </c>
      <c r="AE61" s="164">
        <f t="shared" ref="AE61:AE124" si="9">IFERROR(AD61/AC61/AB61/1000,"")</f>
        <v>0.69519758920580954</v>
      </c>
      <c r="AF61" s="164">
        <f>IFERROR(_xlfn.XLOOKUP($D61,'Modelling New'!$D:$D,'Modelling New'!W:W),"")</f>
        <v>0.20140575864547652</v>
      </c>
      <c r="AG61" s="164">
        <f>IFERROR(_xlfn.XLOOKUP($D61,'Modelling New'!$D:$D,'Modelling New'!AD:AD),"")</f>
        <v>0.995</v>
      </c>
      <c r="AH61" s="164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64"/>
      <c r="AO61" s="164"/>
      <c r="AP61" s="164"/>
      <c r="AQ61" s="164"/>
      <c r="AR61" s="38">
        <f>IFERROR(_xlfn.XLOOKUP($D61,'Modelling New'!$D:$D,'Modelling New'!$N:$N),"")</f>
        <v>10.507</v>
      </c>
      <c r="AS61" s="38"/>
      <c r="AT61" s="38">
        <f>IFERROR(_xlfn.XLOOKUP(Table13[[#This Row],[Date]],'Raw Data'!$G:$G,'Raw Data'!$AJ:$AJ),"")</f>
        <v>0</v>
      </c>
      <c r="AU61" s="38">
        <f>IFERROR(_xlfn.XLOOKUP(Table13[[#This Row],[Month Year]],'Modelling New'!$D:$D,'Modelling New'!$AN:$AN),"")</f>
        <v>10</v>
      </c>
      <c r="AV61" s="38">
        <f>SUMIF('Curtailment records'!$C:$C,Table13[[#This Row],[Date]],'Curtailment records'!$R:$R)/1000</f>
        <v>0</v>
      </c>
    </row>
    <row r="62" spans="1:48">
      <c r="A62" s="66">
        <f t="shared" si="5"/>
        <v>45805</v>
      </c>
      <c r="B62" s="38">
        <f>YEAR(Table13[[#This Row],[Date]])+IF(MONTH(Table13[[#This Row],[Date]])&gt;=4,1,0)</f>
        <v>2026</v>
      </c>
      <c r="C62" s="17">
        <f>YEAR(Table13[[#This Row],[Date]])</f>
        <v>2025</v>
      </c>
      <c r="D62" s="37">
        <f>Table13[[#This Row],[Date]]-DAY(Table13[[#This Row],[Date]])+1</f>
        <v>45778</v>
      </c>
      <c r="E62" s="17">
        <f t="shared" si="6"/>
        <v>31</v>
      </c>
      <c r="F62" s="135" cm="1">
        <f t="array" ref="F62">IFERROR(_xlfn.XLOOKUP(Table13[[#This Row],[Date]],Raw_Data[[#All],[Date]],Raw_Data[[#All],[Operating Hours]]),"")</f>
        <v>12.016666666666666</v>
      </c>
      <c r="G62" s="24">
        <f>IFERROR(_xlfn.XLOOKUP($A62,'Raw Data'!$G:$G,'Raw Data'!S:S)/1000,"")</f>
        <v>3.45</v>
      </c>
      <c r="H62" s="24"/>
      <c r="I62" s="24">
        <f>IFERROR(_xlfn.XLOOKUP($A62,'Raw Data'!$G:$G,'Raw Data'!AF:AF)/1000,"")</f>
        <v>3.35</v>
      </c>
      <c r="J62" s="24"/>
      <c r="K62" s="137">
        <f>IFERROR(_xlfn.XLOOKUP($A62,'Raw Data'!$G:$G,'Raw Data'!W:W),"")</f>
        <v>25.06354296306494</v>
      </c>
      <c r="L62" s="136">
        <f>IFERROR(_xlfn.XLOOKUP($A62,'Raw Data'!$G:$G,'Raw Data'!X:X),"")</f>
        <v>31.196019349666184</v>
      </c>
      <c r="M62" s="136">
        <f>IFERROR(_xlfn.XLOOKUP($A62,'Raw Data'!$G:$G,'Raw Data'!Y:Y),"")</f>
        <v>1.77585254217449</v>
      </c>
      <c r="N62" s="136">
        <f>IFERROR(_xlfn.XLOOKUP($A62,'Raw Data'!$G:$G,'Raw Data'!Z:Z),"")</f>
        <v>9.2261447906494141</v>
      </c>
      <c r="O62" s="176">
        <f>IFERROR(1-SUMIF('Plant BD'!$B:$B,$A62,'Plant BD'!$AM:$AM)/($AA62+SUMIF('Plant BD'!$B:$B,$A62,'Plant BD'!$AM:$AM)),"")</f>
        <v>0.99165879096699305</v>
      </c>
      <c r="P62" s="176"/>
      <c r="Q62" s="177"/>
      <c r="R62" s="179">
        <f>IFERROR(1-SUMIF('Grid BD'!$B:$B,$A62,'Grid BD'!$AE:$AE)/($AA62+SUMIF('Grid BD'!$B:$B,$A62,'Grid BD'!$AE:$AE)),"")</f>
        <v>1</v>
      </c>
      <c r="S62" s="17"/>
      <c r="T62" s="177">
        <f>IFERROR(1-SUMIF(Tracker_BD!H:H,$A62,Tracker_BD!AI:AI)/$F62,"")</f>
        <v>1</v>
      </c>
      <c r="U62" s="178">
        <f t="shared" si="7"/>
        <v>0.77486139304441726</v>
      </c>
      <c r="V62" s="17"/>
      <c r="W62" s="164">
        <f t="shared" si="8"/>
        <v>0.1081577361124499</v>
      </c>
      <c r="X62" s="17">
        <f>IFERROR(_xlfn.XLOOKUP($A62,'Raw Data'!$G:$G,'Raw Data'!AB:AB),"")</f>
        <v>28914</v>
      </c>
      <c r="Y62" s="17">
        <f>IFERROR(_xlfn.XLOOKUP($A62,'Raw Data'!$G:$G,'Raw Data'!AC:AC),"")</f>
        <v>27668.900000004214</v>
      </c>
      <c r="Z62" s="38">
        <f>IFERROR(_xlfn.XLOOKUP($A62,'Raw Data'!$G:$G,'Raw Data'!AD:AD),"")</f>
        <v>394.97999999994704</v>
      </c>
      <c r="AA62" s="38">
        <f>IFERROR(_xlfn.XLOOKUP($A62,'Raw Data'!$G:$G,'Raw Data'!AE:AE)*(1+(_xlfn.XLOOKUP(Table13[[#This Row],[Month Year]],JMR!$A:$A,JMR!$J:$J))),"")</f>
        <v>27273.920000004266</v>
      </c>
      <c r="AB62" s="17">
        <f>_xlfn.XLOOKUP($D62,'Modelling New'!D:D,'Modelling New'!N:N)</f>
        <v>10.507</v>
      </c>
      <c r="AC62" s="24">
        <f>IFERROR(_xlfn.XLOOKUP($D62,'Modelling New'!$D:$D,'Modelling New'!P:P),"")</f>
        <v>6.9530422466129034</v>
      </c>
      <c r="AD62" s="38">
        <f>IFERROR(_xlfn.XLOOKUP($D62,'Modelling New'!$D:$D,'Modelling New'!T:T)*1000,"")</f>
        <v>50788.087346112523</v>
      </c>
      <c r="AE62" s="164">
        <f t="shared" si="9"/>
        <v>0.69519758920580954</v>
      </c>
      <c r="AF62" s="164">
        <f>IFERROR(_xlfn.XLOOKUP($D62,'Modelling New'!$D:$D,'Modelling New'!W:W),"")</f>
        <v>0.20140575864547652</v>
      </c>
      <c r="AG62" s="164">
        <f>IFERROR(_xlfn.XLOOKUP($D62,'Modelling New'!$D:$D,'Modelling New'!AD:AD),"")</f>
        <v>0.995</v>
      </c>
      <c r="AH62" s="164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64"/>
      <c r="AO62" s="164"/>
      <c r="AP62" s="164"/>
      <c r="AQ62" s="164"/>
      <c r="AR62" s="38">
        <f>IFERROR(_xlfn.XLOOKUP($D62,'Modelling New'!$D:$D,'Modelling New'!$N:$N),"")</f>
        <v>10.507</v>
      </c>
      <c r="AS62" s="38"/>
      <c r="AT62" s="38">
        <f>IFERROR(_xlfn.XLOOKUP(Table13[[#This Row],[Date]],'Raw Data'!$G:$G,'Raw Data'!$AJ:$AJ),"")</f>
        <v>0</v>
      </c>
      <c r="AU62" s="38">
        <f>IFERROR(_xlfn.XLOOKUP(Table13[[#This Row],[Month Year]],'Modelling New'!$D:$D,'Modelling New'!$AN:$AN),"")</f>
        <v>10</v>
      </c>
      <c r="AV62" s="38">
        <f>SUMIF('Curtailment records'!$C:$C,Table13[[#This Row],[Date]],'Curtailment records'!$R:$R)/1000</f>
        <v>0</v>
      </c>
    </row>
    <row r="63" spans="1:48">
      <c r="A63" s="66">
        <f t="shared" si="5"/>
        <v>45806</v>
      </c>
      <c r="B63" s="38">
        <f>YEAR(Table13[[#This Row],[Date]])+IF(MONTH(Table13[[#This Row],[Date]])&gt;=4,1,0)</f>
        <v>2026</v>
      </c>
      <c r="C63" s="17">
        <f>YEAR(Table13[[#This Row],[Date]])</f>
        <v>2025</v>
      </c>
      <c r="D63" s="37">
        <f>Table13[[#This Row],[Date]]-DAY(Table13[[#This Row],[Date]])+1</f>
        <v>45778</v>
      </c>
      <c r="E63" s="17">
        <f t="shared" si="6"/>
        <v>31</v>
      </c>
      <c r="F63" s="135" cm="1">
        <f t="array" ref="F63">IFERROR(_xlfn.XLOOKUP(Table13[[#This Row],[Date]],Raw_Data[[#All],[Date]],Raw_Data[[#All],[Operating Hours]]),"")</f>
        <v>12.566666666666666</v>
      </c>
      <c r="G63" s="136">
        <f>IFERROR(_xlfn.XLOOKUP($A63,'Raw Data'!$G:$G,'Raw Data'!S:S)/1000,"")</f>
        <v>3.82</v>
      </c>
      <c r="H63" s="136"/>
      <c r="I63" s="136">
        <f>IFERROR(_xlfn.XLOOKUP($A63,'Raw Data'!$G:$G,'Raw Data'!AF:AF)/1000,"")</f>
        <v>3.73</v>
      </c>
      <c r="J63" s="136"/>
      <c r="K63" s="137">
        <f>IFERROR(_xlfn.XLOOKUP($A63,'Raw Data'!$G:$G,'Raw Data'!W:W),"")</f>
        <v>24.85041588031693</v>
      </c>
      <c r="L63" s="136">
        <f>IFERROR(_xlfn.XLOOKUP($A63,'Raw Data'!$G:$G,'Raw Data'!X:X),"")</f>
        <v>32.004870362944949</v>
      </c>
      <c r="M63" s="136">
        <f>IFERROR(_xlfn.XLOOKUP($A63,'Raw Data'!$G:$G,'Raw Data'!Y:Y),"")</f>
        <v>1.7221130791089392</v>
      </c>
      <c r="N63" s="136">
        <f>IFERROR(_xlfn.XLOOKUP($A63,'Raw Data'!$G:$G,'Raw Data'!Z:Z),"")</f>
        <v>6.3480243682861328</v>
      </c>
      <c r="O63" s="176">
        <f>IFERROR(1-SUMIF('Plant BD'!$B:$B,$A63,'Plant BD'!$AM:$AM)/($AA63+SUMIF('Plant BD'!$B:$B,$A63,'Plant BD'!$AM:$AM)),"")</f>
        <v>1</v>
      </c>
      <c r="P63" s="176"/>
      <c r="Q63" s="177"/>
      <c r="R63" s="176">
        <f>IFERROR(1-SUMIF('Grid BD'!$B:$B,$A63,'Grid BD'!$AE:$AE)/($AA63+SUMIF('Grid BD'!$B:$B,$A63,'Grid BD'!$AE:$AE)),"")</f>
        <v>1</v>
      </c>
      <c r="S63" s="17"/>
      <c r="T63" s="177">
        <f>IFERROR(1-SUMIF(Tracker_BD!H:H,$A63,Tracker_BD!AI:AI)/$F63,"")</f>
        <v>1</v>
      </c>
      <c r="U63" s="178">
        <f t="shared" si="7"/>
        <v>0.79717058281831865</v>
      </c>
      <c r="V63" s="17"/>
      <c r="W63" s="164">
        <f t="shared" si="8"/>
        <v>0.12389359474634702</v>
      </c>
      <c r="X63" s="17">
        <f>IFERROR(_xlfn.XLOOKUP($A63,'Raw Data'!$G:$G,'Raw Data'!AB:AB),"")</f>
        <v>31937</v>
      </c>
      <c r="Y63" s="17">
        <f>IFERROR(_xlfn.XLOOKUP($A63,'Raw Data'!$G:$G,'Raw Data'!AC:AC),"")</f>
        <v>31459.799999996903</v>
      </c>
      <c r="Z63" s="38">
        <f>IFERROR(_xlfn.XLOOKUP($A63,'Raw Data'!$G:$G,'Raw Data'!AD:AD),"")</f>
        <v>217.80000000006794</v>
      </c>
      <c r="AA63" s="38">
        <f>IFERROR(_xlfn.XLOOKUP($A63,'Raw Data'!$G:$G,'Raw Data'!AE:AE)*(1+(_xlfn.XLOOKUP(Table13[[#This Row],[Month Year]],JMR!$A:$A,JMR!$J:$J))),"")</f>
        <v>31241.999999996835</v>
      </c>
      <c r="AB63" s="17">
        <f>_xlfn.XLOOKUP($D63,'Modelling New'!D:D,'Modelling New'!N:N)</f>
        <v>10.507</v>
      </c>
      <c r="AC63" s="24">
        <f>IFERROR(_xlfn.XLOOKUP($D63,'Modelling New'!$D:$D,'Modelling New'!P:P),"")</f>
        <v>6.9530422466129034</v>
      </c>
      <c r="AD63" s="38">
        <f>IFERROR(_xlfn.XLOOKUP($D63,'Modelling New'!$D:$D,'Modelling New'!T:T)*1000,"")</f>
        <v>50788.087346112523</v>
      </c>
      <c r="AE63" s="164">
        <f t="shared" si="9"/>
        <v>0.69519758920580954</v>
      </c>
      <c r="AF63" s="164">
        <f>IFERROR(_xlfn.XLOOKUP($D63,'Modelling New'!$D:$D,'Modelling New'!W:W),"")</f>
        <v>0.20140575864547652</v>
      </c>
      <c r="AG63" s="164">
        <f>IFERROR(_xlfn.XLOOKUP($D63,'Modelling New'!$D:$D,'Modelling New'!AD:AD),"")</f>
        <v>0.995</v>
      </c>
      <c r="AH63" s="164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64"/>
      <c r="AO63" s="164"/>
      <c r="AP63" s="164"/>
      <c r="AQ63" s="164"/>
      <c r="AR63" s="38">
        <f>IFERROR(_xlfn.XLOOKUP($D63,'Modelling New'!$D:$D,'Modelling New'!$N:$N),"")</f>
        <v>10.507</v>
      </c>
      <c r="AS63" s="38"/>
      <c r="AT63" s="38">
        <f>IFERROR(_xlfn.XLOOKUP(Table13[[#This Row],[Date]],'Raw Data'!$G:$G,'Raw Data'!$AJ:$AJ),"")</f>
        <v>0</v>
      </c>
      <c r="AU63" s="38">
        <f>IFERROR(_xlfn.XLOOKUP(Table13[[#This Row],[Month Year]],'Modelling New'!$D:$D,'Modelling New'!$AN:$AN),"")</f>
        <v>10</v>
      </c>
      <c r="AV63" s="38">
        <f>SUMIF('Curtailment records'!$C:$C,Table13[[#This Row],[Date]],'Curtailment records'!$R:$R)/1000</f>
        <v>0</v>
      </c>
    </row>
    <row r="64" spans="1:48">
      <c r="A64" s="66">
        <f t="shared" si="5"/>
        <v>45807</v>
      </c>
      <c r="B64" s="38">
        <f>YEAR(Table13[[#This Row],[Date]])+IF(MONTH(Table13[[#This Row],[Date]])&gt;=4,1,0)</f>
        <v>2026</v>
      </c>
      <c r="C64" s="17">
        <f>YEAR(Table13[[#This Row],[Date]])</f>
        <v>2025</v>
      </c>
      <c r="D64" s="37">
        <f>Table13[[#This Row],[Date]]-DAY(Table13[[#This Row],[Date]])+1</f>
        <v>45778</v>
      </c>
      <c r="E64" s="17">
        <f t="shared" si="6"/>
        <v>31</v>
      </c>
      <c r="F64" s="135" cm="1">
        <f t="array" ref="F64">IFERROR(_xlfn.XLOOKUP(Table13[[#This Row],[Date]],Raw_Data[[#All],[Date]],Raw_Data[[#All],[Operating Hours]]),"")</f>
        <v>12.433333333333334</v>
      </c>
      <c r="G64" s="24">
        <f>IFERROR(_xlfn.XLOOKUP($A64,'Raw Data'!$G:$G,'Raw Data'!S:S)/1000,"")</f>
        <v>3.04</v>
      </c>
      <c r="H64" s="24"/>
      <c r="I64" s="24">
        <f>IFERROR(_xlfn.XLOOKUP($A64,'Raw Data'!$G:$G,'Raw Data'!AF:AF)/1000,"")</f>
        <v>2.84</v>
      </c>
      <c r="J64" s="24"/>
      <c r="K64" s="137">
        <f>IFERROR(_xlfn.XLOOKUP($A64,'Raw Data'!$G:$G,'Raw Data'!W:W),"")</f>
        <v>24.906242915927965</v>
      </c>
      <c r="L64" s="136">
        <f>IFERROR(_xlfn.XLOOKUP($A64,'Raw Data'!$G:$G,'Raw Data'!X:X),"")</f>
        <v>31.001991958106125</v>
      </c>
      <c r="M64" s="136">
        <f>IFERROR(_xlfn.XLOOKUP($A64,'Raw Data'!$G:$G,'Raw Data'!Y:Y),"")</f>
        <v>1.1342576095721866</v>
      </c>
      <c r="N64" s="136">
        <f>IFERROR(_xlfn.XLOOKUP($A64,'Raw Data'!$G:$G,'Raw Data'!Z:Z),"")</f>
        <v>6.0709404945373535</v>
      </c>
      <c r="O64" s="176">
        <f>IFERROR(1-SUMIF('Plant BD'!$B:$B,$A64,'Plant BD'!$AM:$AM)/($AA64+SUMIF('Plant BD'!$B:$B,$A64,'Plant BD'!$AM:$AM)),"")</f>
        <v>1</v>
      </c>
      <c r="P64" s="176"/>
      <c r="Q64" s="177"/>
      <c r="R64" s="179">
        <f>IFERROR(1-SUMIF('Grid BD'!$B:$B,$A64,'Grid BD'!$AE:$AE)/($AA64+SUMIF('Grid BD'!$B:$B,$A64,'Grid BD'!$AE:$AE)),"")</f>
        <v>1</v>
      </c>
      <c r="S64" s="17"/>
      <c r="T64" s="177">
        <f>IFERROR(1-SUMIF(Tracker_BD!H:H,$A64,Tracker_BD!AI:AI)/$F64,"")</f>
        <v>1</v>
      </c>
      <c r="U64" s="178">
        <f t="shared" si="7"/>
        <v>0.79813926865670382</v>
      </c>
      <c r="V64" s="17"/>
      <c r="W64" s="164">
        <f t="shared" si="8"/>
        <v>9.4446480124376619E-2</v>
      </c>
      <c r="X64" s="17">
        <f>IFERROR(_xlfn.XLOOKUP($A64,'Raw Data'!$G:$G,'Raw Data'!AB:AB),"")</f>
        <v>25812</v>
      </c>
      <c r="Y64" s="17">
        <f>IFERROR(_xlfn.XLOOKUP($A64,'Raw Data'!$G:$G,'Raw Data'!AC:AC),"")</f>
        <v>24174.100000003818</v>
      </c>
      <c r="Z64" s="38">
        <f>IFERROR(_xlfn.XLOOKUP($A64,'Raw Data'!$G:$G,'Raw Data'!AD:AD),"")</f>
        <v>357.72000000001469</v>
      </c>
      <c r="AA64" s="38">
        <f>IFERROR(_xlfn.XLOOKUP($A64,'Raw Data'!$G:$G,'Raw Data'!AE:AE)*(1+(_xlfn.XLOOKUP(Table13[[#This Row],[Month Year]],JMR!$A:$A,JMR!$J:$J))),"")</f>
        <v>23816.380000003803</v>
      </c>
      <c r="AB64" s="17">
        <f>_xlfn.XLOOKUP($D64,'Modelling New'!D:D,'Modelling New'!N:N)</f>
        <v>10.507</v>
      </c>
      <c r="AC64" s="24">
        <f>IFERROR(_xlfn.XLOOKUP($D64,'Modelling New'!$D:$D,'Modelling New'!P:P),"")</f>
        <v>6.9530422466129034</v>
      </c>
      <c r="AD64" s="38">
        <f>IFERROR(_xlfn.XLOOKUP($D64,'Modelling New'!$D:$D,'Modelling New'!T:T)*1000,"")</f>
        <v>50788.087346112523</v>
      </c>
      <c r="AE64" s="164">
        <f t="shared" si="9"/>
        <v>0.69519758920580954</v>
      </c>
      <c r="AF64" s="164">
        <f>IFERROR(_xlfn.XLOOKUP($D64,'Modelling New'!$D:$D,'Modelling New'!W:W),"")</f>
        <v>0.20140575864547652</v>
      </c>
      <c r="AG64" s="164">
        <f>IFERROR(_xlfn.XLOOKUP($D64,'Modelling New'!$D:$D,'Modelling New'!AD:AD),"")</f>
        <v>0.995</v>
      </c>
      <c r="AH64" s="164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64"/>
      <c r="AO64" s="164"/>
      <c r="AP64" s="164"/>
      <c r="AQ64" s="164"/>
      <c r="AR64" s="38">
        <f>IFERROR(_xlfn.XLOOKUP($D64,'Modelling New'!$D:$D,'Modelling New'!$N:$N),"")</f>
        <v>10.507</v>
      </c>
      <c r="AS64" s="38"/>
      <c r="AT64" s="38">
        <f>IFERROR(_xlfn.XLOOKUP(Table13[[#This Row],[Date]],'Raw Data'!$G:$G,'Raw Data'!$AJ:$AJ),"")</f>
        <v>0</v>
      </c>
      <c r="AU64" s="38">
        <f>IFERROR(_xlfn.XLOOKUP(Table13[[#This Row],[Month Year]],'Modelling New'!$D:$D,'Modelling New'!$AN:$AN),"")</f>
        <v>10</v>
      </c>
      <c r="AV64" s="38">
        <f>SUMIF('Curtailment records'!$C:$C,Table13[[#This Row],[Date]],'Curtailment records'!$R:$R)/1000</f>
        <v>0</v>
      </c>
    </row>
    <row r="65" spans="1:48">
      <c r="A65" s="66">
        <f t="shared" si="5"/>
        <v>45808</v>
      </c>
      <c r="B65" s="38">
        <f>YEAR(Table13[[#This Row],[Date]])+IF(MONTH(Table13[[#This Row],[Date]])&gt;=4,1,0)</f>
        <v>2026</v>
      </c>
      <c r="C65" s="17">
        <f>YEAR(Table13[[#This Row],[Date]])</f>
        <v>2025</v>
      </c>
      <c r="D65" s="37">
        <f>Table13[[#This Row],[Date]]-DAY(Table13[[#This Row],[Date]])+1</f>
        <v>45778</v>
      </c>
      <c r="E65" s="17">
        <f t="shared" si="6"/>
        <v>31</v>
      </c>
      <c r="F65" s="135" cm="1">
        <f t="array" ref="F65">IFERROR(_xlfn.XLOOKUP(Table13[[#This Row],[Date]],Raw_Data[[#All],[Date]],Raw_Data[[#All],[Operating Hours]]),"")</f>
        <v>12.566666666666666</v>
      </c>
      <c r="G65" s="136">
        <f>IFERROR(_xlfn.XLOOKUP($A65,'Raw Data'!$G:$G,'Raw Data'!S:S)/1000,"")</f>
        <v>5.15</v>
      </c>
      <c r="H65" s="136"/>
      <c r="I65" s="136">
        <f>IFERROR(_xlfn.XLOOKUP($A65,'Raw Data'!$G:$G,'Raw Data'!AF:AF)/1000,"")</f>
        <v>5.1849999999999996</v>
      </c>
      <c r="J65" s="136"/>
      <c r="K65" s="137">
        <f>IFERROR(_xlfn.XLOOKUP($A65,'Raw Data'!$G:$G,'Raw Data'!W:W),"")</f>
        <v>26.577622488160795</v>
      </c>
      <c r="L65" s="136">
        <f>IFERROR(_xlfn.XLOOKUP($A65,'Raw Data'!$G:$G,'Raw Data'!X:X),"")</f>
        <v>37.228112712127484</v>
      </c>
      <c r="M65" s="136">
        <f>IFERROR(_xlfn.XLOOKUP($A65,'Raw Data'!$G:$G,'Raw Data'!Y:Y),"")</f>
        <v>0.83760739446475807</v>
      </c>
      <c r="N65" s="136">
        <f>IFERROR(_xlfn.XLOOKUP($A65,'Raw Data'!$G:$G,'Raw Data'!Z:Z),"")</f>
        <v>4.392054557800293</v>
      </c>
      <c r="O65" s="176">
        <f>IFERROR(1-SUMIF('Plant BD'!$B:$B,$A65,'Plant BD'!$AM:$AM)/($AA65+SUMIF('Plant BD'!$B:$B,$A65,'Plant BD'!$AM:$AM)),"")</f>
        <v>1</v>
      </c>
      <c r="P65" s="176"/>
      <c r="Q65" s="177"/>
      <c r="R65" s="176">
        <f>IFERROR(1-SUMIF('Grid BD'!$B:$B,$A65,'Grid BD'!$AE:$AE)/($AA65+SUMIF('Grid BD'!$B:$B,$A65,'Grid BD'!$AE:$AE)),"")</f>
        <v>1</v>
      </c>
      <c r="S65" s="17"/>
      <c r="T65" s="177">
        <f>IFERROR(1-SUMIF(Tracker_BD!H:H,$A65,Tracker_BD!AI:AI)/$F65,"")</f>
        <v>1</v>
      </c>
      <c r="U65" s="178">
        <f t="shared" si="7"/>
        <v>0.74664243216091186</v>
      </c>
      <c r="V65" s="17"/>
      <c r="W65" s="164">
        <f t="shared" si="8"/>
        <v>0.16130587544809699</v>
      </c>
      <c r="X65" s="17">
        <f>IFERROR(_xlfn.XLOOKUP($A65,'Raw Data'!$G:$G,'Raw Data'!AB:AB),"")</f>
        <v>39896</v>
      </c>
      <c r="Y65" s="17">
        <f>IFERROR(_xlfn.XLOOKUP($A65,'Raw Data'!$G:$G,'Raw Data'!AC:AC),"")</f>
        <v>40932.199999995646</v>
      </c>
      <c r="Z65" s="38">
        <f>IFERROR(_xlfn.XLOOKUP($A65,'Raw Data'!$G:$G,'Raw Data'!AD:AD),"")</f>
        <v>256.01999999992131</v>
      </c>
      <c r="AA65" s="38">
        <f>IFERROR(_xlfn.XLOOKUP($A65,'Raw Data'!$G:$G,'Raw Data'!AE:AE)*(1+(_xlfn.XLOOKUP(Table13[[#This Row],[Month Year]],JMR!$A:$A,JMR!$J:$J))),"")</f>
        <v>40676.179999995722</v>
      </c>
      <c r="AB65" s="17">
        <f>_xlfn.XLOOKUP($D65,'Modelling New'!D:D,'Modelling New'!N:N)</f>
        <v>10.507</v>
      </c>
      <c r="AC65" s="24">
        <f>IFERROR(_xlfn.XLOOKUP($D65,'Modelling New'!$D:$D,'Modelling New'!P:P),"")</f>
        <v>6.9530422466129034</v>
      </c>
      <c r="AD65" s="38">
        <f>IFERROR(_xlfn.XLOOKUP($D65,'Modelling New'!$D:$D,'Modelling New'!T:T)*1000,"")</f>
        <v>50788.087346112523</v>
      </c>
      <c r="AE65" s="164">
        <f t="shared" si="9"/>
        <v>0.69519758920580954</v>
      </c>
      <c r="AF65" s="164">
        <f>IFERROR(_xlfn.XLOOKUP($D65,'Modelling New'!$D:$D,'Modelling New'!W:W),"")</f>
        <v>0.20140575864547652</v>
      </c>
      <c r="AG65" s="164">
        <f>IFERROR(_xlfn.XLOOKUP($D65,'Modelling New'!$D:$D,'Modelling New'!AD:AD),"")</f>
        <v>0.995</v>
      </c>
      <c r="AH65" s="164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64"/>
      <c r="AO65" s="164"/>
      <c r="AP65" s="164"/>
      <c r="AQ65" s="164"/>
      <c r="AR65" s="38">
        <f>IFERROR(_xlfn.XLOOKUP($D65,'Modelling New'!$D:$D,'Modelling New'!$N:$N),"")</f>
        <v>10.507</v>
      </c>
      <c r="AS65" s="38"/>
      <c r="AT65" s="38">
        <f>IFERROR(_xlfn.XLOOKUP(Table13[[#This Row],[Date]],'Raw Data'!$G:$G,'Raw Data'!$AJ:$AJ),"")</f>
        <v>0</v>
      </c>
      <c r="AU65" s="38">
        <f>IFERROR(_xlfn.XLOOKUP(Table13[[#This Row],[Month Year]],'Modelling New'!$D:$D,'Modelling New'!$AN:$AN),"")</f>
        <v>10</v>
      </c>
      <c r="AV65" s="38">
        <f>SUMIF('Curtailment records'!$C:$C,Table13[[#This Row],[Date]],'Curtailment records'!$R:$R)/1000</f>
        <v>0</v>
      </c>
    </row>
    <row r="66" spans="1:48">
      <c r="A66" s="66">
        <f t="shared" si="5"/>
        <v>45809</v>
      </c>
      <c r="B66" s="38">
        <f>YEAR(Table13[[#This Row],[Date]])+IF(MONTH(Table13[[#This Row],[Date]])&gt;=4,1,0)</f>
        <v>2026</v>
      </c>
      <c r="C66" s="17">
        <f>YEAR(Table13[[#This Row],[Date]])</f>
        <v>2025</v>
      </c>
      <c r="D66" s="37">
        <f>Table13[[#This Row],[Date]]-DAY(Table13[[#This Row],[Date]])+1</f>
        <v>45809</v>
      </c>
      <c r="E66" s="17">
        <f t="shared" si="6"/>
        <v>30</v>
      </c>
      <c r="F66" s="135" cm="1">
        <f t="array" ref="F66">IFERROR(_xlfn.XLOOKUP(Table13[[#This Row],[Date]],Raw_Data[[#All],[Date]],Raw_Data[[#All],[Operating Hours]]),"")</f>
        <v>12.583333333333334</v>
      </c>
      <c r="G66" s="24">
        <f>IFERROR(_xlfn.XLOOKUP($A66,'Raw Data'!$G:$G,'Raw Data'!S:S)/1000,"")</f>
        <v>6.55</v>
      </c>
      <c r="H66" s="24"/>
      <c r="I66" s="24">
        <f>IFERROR(_xlfn.XLOOKUP($A66,'Raw Data'!$G:$G,'Raw Data'!AF:AF)/1000,"")</f>
        <v>6.93</v>
      </c>
      <c r="J66" s="24"/>
      <c r="K66" s="137">
        <f>IFERROR(_xlfn.XLOOKUP($A66,'Raw Data'!$G:$G,'Raw Data'!W:W),"")</f>
        <v>27.376739383374574</v>
      </c>
      <c r="L66" s="136">
        <f>IFERROR(_xlfn.XLOOKUP($A66,'Raw Data'!$G:$G,'Raw Data'!X:X),"")</f>
        <v>41.126740834069629</v>
      </c>
      <c r="M66" s="136">
        <f>IFERROR(_xlfn.XLOOKUP($A66,'Raw Data'!$G:$G,'Raw Data'!Y:Y),"")</f>
        <v>1.626559259241851</v>
      </c>
      <c r="N66" s="136">
        <f>IFERROR(_xlfn.XLOOKUP($A66,'Raw Data'!$G:$G,'Raw Data'!Z:Z),"")</f>
        <v>6.4820642471313477</v>
      </c>
      <c r="O66" s="176">
        <f>IFERROR(1-SUMIF('Plant BD'!$B:$B,$A66,'Plant BD'!$AM:$AM)/($AA66+SUMIF('Plant BD'!$B:$B,$A66,'Plant BD'!$AM:$AM)),"")</f>
        <v>1</v>
      </c>
      <c r="P66" s="176"/>
      <c r="Q66" s="177"/>
      <c r="R66" s="179">
        <f>IFERROR(1-SUMIF('Grid BD'!$B:$B,$A66,'Grid BD'!$AE:$AE)/($AA66+SUMIF('Grid BD'!$B:$B,$A66,'Grid BD'!$AE:$AE)),"")</f>
        <v>1</v>
      </c>
      <c r="S66" s="17"/>
      <c r="T66" s="177">
        <f>IFERROR(1-SUMIF(Tracker_BD!H:H,$A66,Tracker_BD!AI:AI)/$F66,"")</f>
        <v>1</v>
      </c>
      <c r="U66" s="178">
        <f t="shared" si="7"/>
        <v>0.72153890122865461</v>
      </c>
      <c r="V66" s="17"/>
      <c r="W66" s="164">
        <f t="shared" si="8"/>
        <v>0.208344357729774</v>
      </c>
      <c r="X66" s="17">
        <f>IFERROR(_xlfn.XLOOKUP($A66,'Raw Data'!$G:$G,'Raw Data'!AB:AB),"")</f>
        <v>49864</v>
      </c>
      <c r="Y66" s="17">
        <f>IFERROR(_xlfn.XLOOKUP($A66,'Raw Data'!$G:$G,'Raw Data'!AC:AC),"")</f>
        <v>52863.7000000017</v>
      </c>
      <c r="Z66" s="38">
        <f>IFERROR(_xlfn.XLOOKUP($A66,'Raw Data'!$G:$G,'Raw Data'!AD:AD),"")</f>
        <v>325.92000000004617</v>
      </c>
      <c r="AA66" s="38">
        <f>IFERROR(_xlfn.XLOOKUP($A66,'Raw Data'!$G:$G,'Raw Data'!AE:AE)*(1+(_xlfn.XLOOKUP(Table13[[#This Row],[Month Year]],JMR!$A:$A,JMR!$J:$J))),"")</f>
        <v>52537.78000000165</v>
      </c>
      <c r="AB66" s="17">
        <f>_xlfn.XLOOKUP($D66,'Modelling New'!D:D,'Modelling New'!N:N)</f>
        <v>10.507</v>
      </c>
      <c r="AC66" s="24">
        <f>IFERROR(_xlfn.XLOOKUP($D66,'Modelling New'!$D:$D,'Modelling New'!P:P),"")</f>
        <v>5.2372339522000004</v>
      </c>
      <c r="AD66" s="38">
        <f>IFERROR(_xlfn.XLOOKUP($D66,'Modelling New'!$D:$D,'Modelling New'!T:T)*1000,"")</f>
        <v>37399.828631840392</v>
      </c>
      <c r="AE66" s="164">
        <f t="shared" si="9"/>
        <v>0.67965560892027499</v>
      </c>
      <c r="AF66" s="164">
        <f>IFERROR(_xlfn.XLOOKUP($D66,'Modelling New'!$D:$D,'Modelling New'!W:W),"")</f>
        <v>0.14831314295168455</v>
      </c>
      <c r="AG66" s="164">
        <f>IFERROR(_xlfn.XLOOKUP($D66,'Modelling New'!$D:$D,'Modelling New'!AD:AD),"")</f>
        <v>0.995</v>
      </c>
      <c r="AH66" s="164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64"/>
      <c r="AO66" s="164"/>
      <c r="AP66" s="164"/>
      <c r="AQ66" s="164"/>
      <c r="AR66" s="38">
        <f>IFERROR(_xlfn.XLOOKUP($D66,'Modelling New'!$D:$D,'Modelling New'!$N:$N),"")</f>
        <v>10.507</v>
      </c>
      <c r="AS66" s="38"/>
      <c r="AT66" s="38">
        <f>IFERROR(_xlfn.XLOOKUP(Table13[[#This Row],[Date]],'Raw Data'!$G:$G,'Raw Data'!$AJ:$AJ),"")</f>
        <v>0</v>
      </c>
      <c r="AU66" s="38">
        <f>IFERROR(_xlfn.XLOOKUP(Table13[[#This Row],[Month Year]],'Modelling New'!$D:$D,'Modelling New'!$AN:$AN),"")</f>
        <v>10</v>
      </c>
      <c r="AV66" s="38">
        <f>SUMIF('Curtailment records'!$C:$C,Table13[[#This Row],[Date]],'Curtailment records'!$R:$R)/1000</f>
        <v>0</v>
      </c>
    </row>
    <row r="67" spans="1:48">
      <c r="A67" s="66">
        <f t="shared" si="5"/>
        <v>45810</v>
      </c>
      <c r="B67" s="38">
        <f>YEAR(Table13[[#This Row],[Date]])+IF(MONTH(Table13[[#This Row],[Date]])&gt;=4,1,0)</f>
        <v>2026</v>
      </c>
      <c r="C67" s="17">
        <f>YEAR(Table13[[#This Row],[Date]])</f>
        <v>2025</v>
      </c>
      <c r="D67" s="37">
        <f>Table13[[#This Row],[Date]]-DAY(Table13[[#This Row],[Date]])+1</f>
        <v>45809</v>
      </c>
      <c r="E67" s="17">
        <f t="shared" si="6"/>
        <v>30</v>
      </c>
      <c r="F67" s="135" cm="1">
        <f t="array" ref="F67">IFERROR(_xlfn.XLOOKUP(Table13[[#This Row],[Date]],Raw_Data[[#All],[Date]],Raw_Data[[#All],[Operating Hours]]),"")</f>
        <v>12.566666666666666</v>
      </c>
      <c r="G67" s="136">
        <f>IFERROR(_xlfn.XLOOKUP($A67,'Raw Data'!$G:$G,'Raw Data'!S:S)/1000,"")</f>
        <v>5.57</v>
      </c>
      <c r="H67" s="136"/>
      <c r="I67" s="136">
        <f>IFERROR(_xlfn.XLOOKUP($A67,'Raw Data'!$G:$G,'Raw Data'!AF:AF)/1000,"")</f>
        <v>6.0350000000000001</v>
      </c>
      <c r="J67" s="136"/>
      <c r="K67" s="137">
        <f>IFERROR(_xlfn.XLOOKUP($A67,'Raw Data'!$G:$G,'Raw Data'!W:W),"")</f>
        <v>27.288291673592823</v>
      </c>
      <c r="L67" s="136">
        <f>IFERROR(_xlfn.XLOOKUP($A67,'Raw Data'!$G:$G,'Raw Data'!X:X),"")</f>
        <v>39.084065129206763</v>
      </c>
      <c r="M67" s="136">
        <f>IFERROR(_xlfn.XLOOKUP($A67,'Raw Data'!$G:$G,'Raw Data'!Y:Y),"")</f>
        <v>1.9192828386126088</v>
      </c>
      <c r="N67" s="136">
        <f>IFERROR(_xlfn.XLOOKUP($A67,'Raw Data'!$G:$G,'Raw Data'!Z:Z),"")</f>
        <v>5.62987478574117</v>
      </c>
      <c r="O67" s="176">
        <f>IFERROR(1-SUMIF('Plant BD'!$B:$B,$A67,'Plant BD'!$AM:$AM)/($AA67+SUMIF('Plant BD'!$B:$B,$A67,'Plant BD'!$AM:$AM)),"")</f>
        <v>1</v>
      </c>
      <c r="P67" s="176"/>
      <c r="Q67" s="177"/>
      <c r="R67" s="176">
        <f>IFERROR(1-SUMIF('Grid BD'!$B:$B,$A67,'Grid BD'!$AE:$AE)/($AA67+SUMIF('Grid BD'!$B:$B,$A67,'Grid BD'!$AE:$AE)),"")</f>
        <v>1</v>
      </c>
      <c r="S67" s="17"/>
      <c r="T67" s="177">
        <f>IFERROR(1-SUMIF(Tracker_BD!H:H,$A67,Tracker_BD!AI:AI)/$F67,"")</f>
        <v>1</v>
      </c>
      <c r="U67" s="178">
        <f t="shared" si="7"/>
        <v>0.72574680752939125</v>
      </c>
      <c r="V67" s="17"/>
      <c r="W67" s="164">
        <f t="shared" si="8"/>
        <v>0.18249508264332817</v>
      </c>
      <c r="X67" s="17">
        <f>IFERROR(_xlfn.XLOOKUP($A67,'Raw Data'!$G:$G,'Raw Data'!AB:AB),"")</f>
        <v>44467</v>
      </c>
      <c r="Y67" s="17">
        <f>IFERROR(_xlfn.XLOOKUP($A67,'Raw Data'!$G:$G,'Raw Data'!AC:AC),"")</f>
        <v>46304.900000002817</v>
      </c>
      <c r="Z67" s="38">
        <f>IFERROR(_xlfn.XLOOKUP($A67,'Raw Data'!$G:$G,'Raw Data'!AD:AD),"")</f>
        <v>285.48000000004237</v>
      </c>
      <c r="AA67" s="38">
        <f>IFERROR(_xlfn.XLOOKUP($A67,'Raw Data'!$G:$G,'Raw Data'!AE:AE)*(1+(_xlfn.XLOOKUP(Table13[[#This Row],[Month Year]],JMR!$A:$A,JMR!$J:$J))),"")</f>
        <v>46019.420000002778</v>
      </c>
      <c r="AB67" s="17">
        <f>_xlfn.XLOOKUP($D67,'Modelling New'!D:D,'Modelling New'!N:N)</f>
        <v>10.507</v>
      </c>
      <c r="AC67" s="24">
        <f>IFERROR(_xlfn.XLOOKUP($D67,'Modelling New'!$D:$D,'Modelling New'!P:P),"")</f>
        <v>5.2372339522000004</v>
      </c>
      <c r="AD67" s="38">
        <f>IFERROR(_xlfn.XLOOKUP($D67,'Modelling New'!$D:$D,'Modelling New'!T:T)*1000,"")</f>
        <v>37399.828631840392</v>
      </c>
      <c r="AE67" s="164">
        <f t="shared" si="9"/>
        <v>0.67965560892027499</v>
      </c>
      <c r="AF67" s="164">
        <f>IFERROR(_xlfn.XLOOKUP($D67,'Modelling New'!$D:$D,'Modelling New'!W:W),"")</f>
        <v>0.14831314295168455</v>
      </c>
      <c r="AG67" s="164">
        <f>IFERROR(_xlfn.XLOOKUP($D67,'Modelling New'!$D:$D,'Modelling New'!AD:AD),"")</f>
        <v>0.995</v>
      </c>
      <c r="AH67" s="164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64"/>
      <c r="AO67" s="164"/>
      <c r="AP67" s="164"/>
      <c r="AQ67" s="164"/>
      <c r="AR67" s="38">
        <f>IFERROR(_xlfn.XLOOKUP($D67,'Modelling New'!$D:$D,'Modelling New'!$N:$N),"")</f>
        <v>10.507</v>
      </c>
      <c r="AS67" s="38"/>
      <c r="AT67" s="38">
        <f>IFERROR(_xlfn.XLOOKUP(Table13[[#This Row],[Date]],'Raw Data'!$G:$G,'Raw Data'!$AJ:$AJ),"")</f>
        <v>0</v>
      </c>
      <c r="AU67" s="38">
        <f>IFERROR(_xlfn.XLOOKUP(Table13[[#This Row],[Month Year]],'Modelling New'!$D:$D,'Modelling New'!$AN:$AN),"")</f>
        <v>10</v>
      </c>
      <c r="AV67" s="38">
        <f>SUMIF('Curtailment records'!$C:$C,Table13[[#This Row],[Date]],'Curtailment records'!$R:$R)/1000</f>
        <v>0</v>
      </c>
    </row>
    <row r="68" spans="1:48">
      <c r="A68" s="66">
        <f t="shared" si="5"/>
        <v>45811</v>
      </c>
      <c r="B68" s="38">
        <f>YEAR(Table13[[#This Row],[Date]])+IF(MONTH(Table13[[#This Row],[Date]])&gt;=4,1,0)</f>
        <v>2026</v>
      </c>
      <c r="C68" s="17">
        <f>YEAR(Table13[[#This Row],[Date]])</f>
        <v>2025</v>
      </c>
      <c r="D68" s="37">
        <f>Table13[[#This Row],[Date]]-DAY(Table13[[#This Row],[Date]])+1</f>
        <v>45809</v>
      </c>
      <c r="E68" s="17">
        <f t="shared" si="6"/>
        <v>30</v>
      </c>
      <c r="F68" s="135" cm="1">
        <f t="array" ref="F68">IFERROR(_xlfn.XLOOKUP(Table13[[#This Row],[Date]],Raw_Data[[#All],[Date]],Raw_Data[[#All],[Operating Hours]]),"")</f>
        <v>12.55</v>
      </c>
      <c r="G68" s="24">
        <f>IFERROR(_xlfn.XLOOKUP($A68,'Raw Data'!$G:$G,'Raw Data'!S:S)/1000,"")</f>
        <v>4.8899999999999997</v>
      </c>
      <c r="H68" s="24"/>
      <c r="I68" s="24">
        <f>IFERROR(_xlfn.XLOOKUP($A68,'Raw Data'!$G:$G,'Raw Data'!AF:AF)/1000,"")</f>
        <v>5.14</v>
      </c>
      <c r="J68" s="24"/>
      <c r="K68" s="137">
        <f>IFERROR(_xlfn.XLOOKUP($A68,'Raw Data'!$G:$G,'Raw Data'!W:W),"")</f>
        <v>25.604953624209294</v>
      </c>
      <c r="L68" s="136">
        <f>IFERROR(_xlfn.XLOOKUP($A68,'Raw Data'!$G:$G,'Raw Data'!X:X),"")</f>
        <v>36.147619717949581</v>
      </c>
      <c r="M68" s="136">
        <f>IFERROR(_xlfn.XLOOKUP($A68,'Raw Data'!$G:$G,'Raw Data'!Y:Y),"")</f>
        <v>1.4757743923670417</v>
      </c>
      <c r="N68" s="136">
        <f>IFERROR(_xlfn.XLOOKUP($A68,'Raw Data'!$G:$G,'Raw Data'!Z:Z),"")</f>
        <v>6.5288867950439453</v>
      </c>
      <c r="O68" s="176">
        <f>IFERROR(1-SUMIF('Plant BD'!$B:$B,$A68,'Plant BD'!$AM:$AM)/($AA68+SUMIF('Plant BD'!$B:$B,$A68,'Plant BD'!$AM:$AM)),"")</f>
        <v>0.99528722224145838</v>
      </c>
      <c r="P68" s="176"/>
      <c r="Q68" s="177"/>
      <c r="R68" s="179">
        <f>IFERROR(1-SUMIF('Grid BD'!$B:$B,$A68,'Grid BD'!$AE:$AE)/($AA68+SUMIF('Grid BD'!$B:$B,$A68,'Grid BD'!$AE:$AE)),"")</f>
        <v>1</v>
      </c>
      <c r="S68" s="17"/>
      <c r="T68" s="177">
        <f>IFERROR(1-SUMIF(Tracker_BD!H:H,$A68,Tracker_BD!AI:AI)/$F68,"")</f>
        <v>1</v>
      </c>
      <c r="U68" s="178">
        <f t="shared" si="7"/>
        <v>0.73087535861758157</v>
      </c>
      <c r="V68" s="17"/>
      <c r="W68" s="164">
        <f t="shared" si="8"/>
        <v>0.15652913930393206</v>
      </c>
      <c r="X68" s="17">
        <f>IFERROR(_xlfn.XLOOKUP($A68,'Raw Data'!$G:$G,'Raw Data'!AB:AB),"")</f>
        <v>39054</v>
      </c>
      <c r="Y68" s="17">
        <f>IFERROR(_xlfn.XLOOKUP($A68,'Raw Data'!$G:$G,'Raw Data'!AC:AC),"")</f>
        <v>39789.6999999939</v>
      </c>
      <c r="Z68" s="38">
        <f>IFERROR(_xlfn.XLOOKUP($A68,'Raw Data'!$G:$G,'Raw Data'!AD:AD),"")</f>
        <v>318.05999999996004</v>
      </c>
      <c r="AA68" s="38">
        <f>IFERROR(_xlfn.XLOOKUP($A68,'Raw Data'!$G:$G,'Raw Data'!AE:AE)*(1+(_xlfn.XLOOKUP(Table13[[#This Row],[Month Year]],JMR!$A:$A,JMR!$J:$J))),"")</f>
        <v>39471.639999993939</v>
      </c>
      <c r="AB68" s="17">
        <f>_xlfn.XLOOKUP($D68,'Modelling New'!D:D,'Modelling New'!N:N)</f>
        <v>10.507</v>
      </c>
      <c r="AC68" s="24">
        <f>IFERROR(_xlfn.XLOOKUP($D68,'Modelling New'!$D:$D,'Modelling New'!P:P),"")</f>
        <v>5.2372339522000004</v>
      </c>
      <c r="AD68" s="38">
        <f>IFERROR(_xlfn.XLOOKUP($D68,'Modelling New'!$D:$D,'Modelling New'!T:T)*1000,"")</f>
        <v>37399.828631840392</v>
      </c>
      <c r="AE68" s="164">
        <f t="shared" si="9"/>
        <v>0.67965560892027499</v>
      </c>
      <c r="AF68" s="164">
        <f>IFERROR(_xlfn.XLOOKUP($D68,'Modelling New'!$D:$D,'Modelling New'!W:W),"")</f>
        <v>0.14831314295168455</v>
      </c>
      <c r="AG68" s="164">
        <f>IFERROR(_xlfn.XLOOKUP($D68,'Modelling New'!$D:$D,'Modelling New'!AD:AD),"")</f>
        <v>0.995</v>
      </c>
      <c r="AH68" s="164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64"/>
      <c r="AO68" s="164"/>
      <c r="AP68" s="164"/>
      <c r="AQ68" s="164"/>
      <c r="AR68" s="38">
        <f>IFERROR(_xlfn.XLOOKUP($D68,'Modelling New'!$D:$D,'Modelling New'!$N:$N),"")</f>
        <v>10.507</v>
      </c>
      <c r="AS68" s="38"/>
      <c r="AT68" s="38">
        <f>IFERROR(_xlfn.XLOOKUP(Table13[[#This Row],[Date]],'Raw Data'!$G:$G,'Raw Data'!$AJ:$AJ),"")</f>
        <v>0</v>
      </c>
      <c r="AU68" s="38">
        <f>IFERROR(_xlfn.XLOOKUP(Table13[[#This Row],[Month Year]],'Modelling New'!$D:$D,'Modelling New'!$AN:$AN),"")</f>
        <v>10</v>
      </c>
      <c r="AV68" s="38">
        <f>SUMIF('Curtailment records'!$C:$C,Table13[[#This Row],[Date]],'Curtailment records'!$R:$R)/1000</f>
        <v>0</v>
      </c>
    </row>
    <row r="69" spans="1:48">
      <c r="A69" s="66">
        <f t="shared" si="5"/>
        <v>45812</v>
      </c>
      <c r="B69" s="38">
        <f>YEAR(Table13[[#This Row],[Date]])+IF(MONTH(Table13[[#This Row],[Date]])&gt;=4,1,0)</f>
        <v>2026</v>
      </c>
      <c r="C69" s="17">
        <f>YEAR(Table13[[#This Row],[Date]])</f>
        <v>2025</v>
      </c>
      <c r="D69" s="37">
        <f>Table13[[#This Row],[Date]]-DAY(Table13[[#This Row],[Date]])+1</f>
        <v>45809</v>
      </c>
      <c r="E69" s="17">
        <f t="shared" si="6"/>
        <v>30</v>
      </c>
      <c r="F69" s="135" cm="1">
        <f t="array" ref="F69">IFERROR(_xlfn.XLOOKUP(Table13[[#This Row],[Date]],Raw_Data[[#All],[Date]],Raw_Data[[#All],[Operating Hours]]),"")</f>
        <v>12.616666666666667</v>
      </c>
      <c r="G69" s="136">
        <f>IFERROR(_xlfn.XLOOKUP($A69,'Raw Data'!$G:$G,'Raw Data'!S:S)/1000,"")</f>
        <v>6.58</v>
      </c>
      <c r="H69" s="136"/>
      <c r="I69" s="136">
        <f>IFERROR(_xlfn.XLOOKUP($A69,'Raw Data'!$G:$G,'Raw Data'!AF:AF)/1000,"")</f>
        <v>7.0049999999999999</v>
      </c>
      <c r="J69" s="136"/>
      <c r="K69" s="137">
        <f>IFERROR(_xlfn.XLOOKUP($A69,'Raw Data'!$G:$G,'Raw Data'!W:W),"")</f>
        <v>27.191465679762501</v>
      </c>
      <c r="L69" s="136">
        <f>IFERROR(_xlfn.XLOOKUP($A69,'Raw Data'!$G:$G,'Raw Data'!X:X),"")</f>
        <v>41.375525401575899</v>
      </c>
      <c r="M69" s="136">
        <f>IFERROR(_xlfn.XLOOKUP($A69,'Raw Data'!$G:$G,'Raw Data'!Y:Y),"")</f>
        <v>0.88923907877587394</v>
      </c>
      <c r="N69" s="136">
        <f>IFERROR(_xlfn.XLOOKUP($A69,'Raw Data'!$G:$G,'Raw Data'!Z:Z),"")</f>
        <v>4.8114042282104492</v>
      </c>
      <c r="O69" s="176">
        <f>IFERROR(1-SUMIF('Plant BD'!$B:$B,$A69,'Plant BD'!$AM:$AM)/($AA69+SUMIF('Plant BD'!$B:$B,$A69,'Plant BD'!$AM:$AM)),"")</f>
        <v>1</v>
      </c>
      <c r="P69" s="176"/>
      <c r="Q69" s="177"/>
      <c r="R69" s="176">
        <f>IFERROR(1-SUMIF('Grid BD'!$B:$B,$A69,'Grid BD'!$AE:$AE)/($AA69+SUMIF('Grid BD'!$B:$B,$A69,'Grid BD'!$AE:$AE)),"")</f>
        <v>1</v>
      </c>
      <c r="S69" s="17"/>
      <c r="T69" s="177">
        <f>IFERROR(1-SUMIF(Tracker_BD!H:H,$A69,Tracker_BD!AI:AI)/$F69,"")</f>
        <v>1</v>
      </c>
      <c r="U69" s="178">
        <f t="shared" si="7"/>
        <v>0.72332214267006156</v>
      </c>
      <c r="V69" s="17"/>
      <c r="W69" s="164">
        <f t="shared" si="8"/>
        <v>0.21111965039182423</v>
      </c>
      <c r="X69" s="17">
        <f>IFERROR(_xlfn.XLOOKUP($A69,'Raw Data'!$G:$G,'Raw Data'!AB:AB),"")</f>
        <v>50556</v>
      </c>
      <c r="Y69" s="17">
        <f>IFERROR(_xlfn.XLOOKUP($A69,'Raw Data'!$G:$G,'Raw Data'!AC:AC),"")</f>
        <v>53552.200000005541</v>
      </c>
      <c r="Z69" s="38">
        <f>IFERROR(_xlfn.XLOOKUP($A69,'Raw Data'!$G:$G,'Raw Data'!AD:AD),"")</f>
        <v>314.58000000000652</v>
      </c>
      <c r="AA69" s="38">
        <f>IFERROR(_xlfn.XLOOKUP($A69,'Raw Data'!$G:$G,'Raw Data'!AE:AE)*(1+(_xlfn.XLOOKUP(Table13[[#This Row],[Month Year]],JMR!$A:$A,JMR!$J:$J))),"")</f>
        <v>53237.620000005532</v>
      </c>
      <c r="AB69" s="17">
        <f>_xlfn.XLOOKUP($D69,'Modelling New'!D:D,'Modelling New'!N:N)</f>
        <v>10.507</v>
      </c>
      <c r="AC69" s="24">
        <f>IFERROR(_xlfn.XLOOKUP($D69,'Modelling New'!$D:$D,'Modelling New'!P:P),"")</f>
        <v>5.2372339522000004</v>
      </c>
      <c r="AD69" s="38">
        <f>IFERROR(_xlfn.XLOOKUP($D69,'Modelling New'!$D:$D,'Modelling New'!T:T)*1000,"")</f>
        <v>37399.828631840392</v>
      </c>
      <c r="AE69" s="164">
        <f t="shared" si="9"/>
        <v>0.67965560892027499</v>
      </c>
      <c r="AF69" s="164">
        <f>IFERROR(_xlfn.XLOOKUP($D69,'Modelling New'!$D:$D,'Modelling New'!W:W),"")</f>
        <v>0.14831314295168455</v>
      </c>
      <c r="AG69" s="164">
        <f>IFERROR(_xlfn.XLOOKUP($D69,'Modelling New'!$D:$D,'Modelling New'!AD:AD),"")</f>
        <v>0.995</v>
      </c>
      <c r="AH69" s="164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64"/>
      <c r="AO69" s="164"/>
      <c r="AP69" s="164"/>
      <c r="AQ69" s="164"/>
      <c r="AR69" s="38">
        <f>IFERROR(_xlfn.XLOOKUP($D69,'Modelling New'!$D:$D,'Modelling New'!$N:$N),"")</f>
        <v>10.507</v>
      </c>
      <c r="AS69" s="38"/>
      <c r="AT69" s="38">
        <f>IFERROR(_xlfn.XLOOKUP(Table13[[#This Row],[Date]],'Raw Data'!$G:$G,'Raw Data'!$AJ:$AJ),"")</f>
        <v>0</v>
      </c>
      <c r="AU69" s="38">
        <f>IFERROR(_xlfn.XLOOKUP(Table13[[#This Row],[Month Year]],'Modelling New'!$D:$D,'Modelling New'!$AN:$AN),"")</f>
        <v>10</v>
      </c>
      <c r="AV69" s="38">
        <f>SUMIF('Curtailment records'!$C:$C,Table13[[#This Row],[Date]],'Curtailment records'!$R:$R)/1000</f>
        <v>0</v>
      </c>
    </row>
    <row r="70" spans="1:48">
      <c r="A70" s="66">
        <f t="shared" ref="A70:A133" si="10">A69+1</f>
        <v>45813</v>
      </c>
      <c r="B70" s="38">
        <f>YEAR(Table13[[#This Row],[Date]])+IF(MONTH(Table13[[#This Row],[Date]])&gt;=4,1,0)</f>
        <v>2026</v>
      </c>
      <c r="C70" s="17">
        <f>YEAR(Table13[[#This Row],[Date]])</f>
        <v>2025</v>
      </c>
      <c r="D70" s="37">
        <f>Table13[[#This Row],[Date]]-DAY(Table13[[#This Row],[Date]])+1</f>
        <v>45809</v>
      </c>
      <c r="E70" s="17">
        <f t="shared" ref="E70:E133" si="11">DAY(EOMONTH(A70,0))</f>
        <v>30</v>
      </c>
      <c r="F70" s="135" cm="1">
        <f t="array" ref="F70">IFERROR(_xlfn.XLOOKUP(Table13[[#This Row],[Date]],Raw_Data[[#All],[Date]],Raw_Data[[#All],[Operating Hours]]),"")</f>
        <v>12.583333333333334</v>
      </c>
      <c r="G70" s="24">
        <f>IFERROR(_xlfn.XLOOKUP($A70,'Raw Data'!$G:$G,'Raw Data'!S:S)/1000,"")</f>
        <v>6.7</v>
      </c>
      <c r="H70" s="24"/>
      <c r="I70" s="24">
        <f>IFERROR(_xlfn.XLOOKUP($A70,'Raw Data'!$G:$G,'Raw Data'!AF:AF)/1000,"")</f>
        <v>7.3849999999999998</v>
      </c>
      <c r="J70" s="24"/>
      <c r="K70" s="137">
        <f>IFERROR(_xlfn.XLOOKUP($A70,'Raw Data'!$G:$G,'Raw Data'!W:W),"")</f>
        <v>27.799682468333572</v>
      </c>
      <c r="L70" s="136">
        <f>IFERROR(_xlfn.XLOOKUP($A70,'Raw Data'!$G:$G,'Raw Data'!X:X),"")</f>
        <v>43.133621942429315</v>
      </c>
      <c r="M70" s="136">
        <f>IFERROR(_xlfn.XLOOKUP($A70,'Raw Data'!$G:$G,'Raw Data'!Y:Y),"")</f>
        <v>0.76420390976484487</v>
      </c>
      <c r="N70" s="136">
        <f>IFERROR(_xlfn.XLOOKUP($A70,'Raw Data'!$G:$G,'Raw Data'!Z:Z),"")</f>
        <v>1.0214121341705322</v>
      </c>
      <c r="O70" s="176">
        <f>IFERROR(1-SUMIF('Plant BD'!$B:$B,$A70,'Plant BD'!$AM:$AM)/($AA70+SUMIF('Plant BD'!$B:$B,$A70,'Plant BD'!$AM:$AM)),"")</f>
        <v>1</v>
      </c>
      <c r="P70" s="176"/>
      <c r="Q70" s="177"/>
      <c r="R70" s="179">
        <f>IFERROR(1-SUMIF('Grid BD'!$B:$B,$A70,'Grid BD'!$AE:$AE)/($AA70+SUMIF('Grid BD'!$B:$B,$A70,'Grid BD'!$AE:$AE)),"")</f>
        <v>0.99997767024521633</v>
      </c>
      <c r="S70" s="17"/>
      <c r="T70" s="177">
        <f>IFERROR(1-SUMIF(Tracker_BD!H:H,$A70,Tracker_BD!AI:AI)/$F70,"")</f>
        <v>1</v>
      </c>
      <c r="U70" s="178">
        <f t="shared" si="7"/>
        <v>0.7006379794262152</v>
      </c>
      <c r="V70" s="17"/>
      <c r="W70" s="164">
        <f t="shared" si="8"/>
        <v>0.21559214491927498</v>
      </c>
      <c r="X70" s="17">
        <f>IFERROR(_xlfn.XLOOKUP($A70,'Raw Data'!$G:$G,'Raw Data'!AB:AB),"")</f>
        <v>51353</v>
      </c>
      <c r="Y70" s="17">
        <f>IFERROR(_xlfn.XLOOKUP($A70,'Raw Data'!$G:$G,'Raw Data'!AC:AC),"")</f>
        <v>54650.200000003679</v>
      </c>
      <c r="Z70" s="38">
        <f>IFERROR(_xlfn.XLOOKUP($A70,'Raw Data'!$G:$G,'Raw Data'!AD:AD),"")</f>
        <v>284.75999999994173</v>
      </c>
      <c r="AA70" s="38">
        <f>IFERROR(_xlfn.XLOOKUP($A70,'Raw Data'!$G:$G,'Raw Data'!AE:AE)*(1+(_xlfn.XLOOKUP(Table13[[#This Row],[Month Year]],JMR!$A:$A,JMR!$J:$J))),"")</f>
        <v>54365.440000003735</v>
      </c>
      <c r="AB70" s="17">
        <f>_xlfn.XLOOKUP($D70,'Modelling New'!D:D,'Modelling New'!N:N)</f>
        <v>10.507</v>
      </c>
      <c r="AC70" s="24">
        <f>IFERROR(_xlfn.XLOOKUP($D70,'Modelling New'!$D:$D,'Modelling New'!P:P),"")</f>
        <v>5.2372339522000004</v>
      </c>
      <c r="AD70" s="38">
        <f>IFERROR(_xlfn.XLOOKUP($D70,'Modelling New'!$D:$D,'Modelling New'!T:T)*1000,"")</f>
        <v>37399.828631840392</v>
      </c>
      <c r="AE70" s="164">
        <f t="shared" si="9"/>
        <v>0.67965560892027499</v>
      </c>
      <c r="AF70" s="164">
        <f>IFERROR(_xlfn.XLOOKUP($D70,'Modelling New'!$D:$D,'Modelling New'!W:W),"")</f>
        <v>0.14831314295168455</v>
      </c>
      <c r="AG70" s="164">
        <f>IFERROR(_xlfn.XLOOKUP($D70,'Modelling New'!$D:$D,'Modelling New'!AD:AD),"")</f>
        <v>0.995</v>
      </c>
      <c r="AH70" s="164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64"/>
      <c r="AO70" s="164"/>
      <c r="AP70" s="164"/>
      <c r="AQ70" s="164"/>
      <c r="AR70" s="38">
        <f>IFERROR(_xlfn.XLOOKUP($D70,'Modelling New'!$D:$D,'Modelling New'!$N:$N),"")</f>
        <v>10.507</v>
      </c>
      <c r="AS70" s="38"/>
      <c r="AT70" s="38">
        <f>IFERROR(_xlfn.XLOOKUP(Table13[[#This Row],[Date]],'Raw Data'!$G:$G,'Raw Data'!$AJ:$AJ),"")</f>
        <v>0</v>
      </c>
      <c r="AU70" s="38">
        <f>IFERROR(_xlfn.XLOOKUP(Table13[[#This Row],[Month Year]],'Modelling New'!$D:$D,'Modelling New'!$AN:$AN),"")</f>
        <v>10</v>
      </c>
      <c r="AV70" s="38">
        <f>SUMIF('Curtailment records'!$C:$C,Table13[[#This Row],[Date]],'Curtailment records'!$R:$R)/1000</f>
        <v>0</v>
      </c>
    </row>
    <row r="71" spans="1:48">
      <c r="A71" s="66">
        <f t="shared" si="10"/>
        <v>45814</v>
      </c>
      <c r="B71" s="38">
        <f>YEAR(Table13[[#This Row],[Date]])+IF(MONTH(Table13[[#This Row],[Date]])&gt;=4,1,0)</f>
        <v>2026</v>
      </c>
      <c r="C71" s="17">
        <f>YEAR(Table13[[#This Row],[Date]])</f>
        <v>2025</v>
      </c>
      <c r="D71" s="37">
        <f>Table13[[#This Row],[Date]]-DAY(Table13[[#This Row],[Date]])+1</f>
        <v>45809</v>
      </c>
      <c r="E71" s="17">
        <f t="shared" si="11"/>
        <v>30</v>
      </c>
      <c r="F71" s="135" cm="1">
        <f t="array" ref="F71">IFERROR(_xlfn.XLOOKUP(Table13[[#This Row],[Date]],Raw_Data[[#All],[Date]],Raw_Data[[#All],[Operating Hours]]),"")</f>
        <v>12.616666666666667</v>
      </c>
      <c r="G71" s="136">
        <f>IFERROR(_xlfn.XLOOKUP($A71,'Raw Data'!$G:$G,'Raw Data'!S:S)/1000,"")</f>
        <v>6.98</v>
      </c>
      <c r="H71" s="136"/>
      <c r="I71" s="136">
        <f>IFERROR(_xlfn.XLOOKUP($A71,'Raw Data'!$G:$G,'Raw Data'!AF:AF)/1000,"")</f>
        <v>7.81</v>
      </c>
      <c r="J71" s="136"/>
      <c r="K71" s="137">
        <f>IFERROR(_xlfn.XLOOKUP($A71,'Raw Data'!$G:$G,'Raw Data'!W:W),"")</f>
        <v>28.43274767584656</v>
      </c>
      <c r="L71" s="136">
        <f>IFERROR(_xlfn.XLOOKUP($A71,'Raw Data'!$G:$G,'Raw Data'!X:X),"")</f>
        <v>45.731228504659633</v>
      </c>
      <c r="M71" s="136">
        <f>IFERROR(_xlfn.XLOOKUP($A71,'Raw Data'!$G:$G,'Raw Data'!Y:Y),"")</f>
        <v>0.75487719155365751</v>
      </c>
      <c r="N71" s="136">
        <f>IFERROR(_xlfn.XLOOKUP($A71,'Raw Data'!$G:$G,'Raw Data'!Z:Z),"")</f>
        <v>0.95622599124908447</v>
      </c>
      <c r="O71" s="176">
        <f>IFERROR(1-SUMIF('Plant BD'!$B:$B,$A71,'Plant BD'!$AM:$AM)/($AA71+SUMIF('Plant BD'!$B:$B,$A71,'Plant BD'!$AM:$AM)),"")</f>
        <v>0.99500991031421049</v>
      </c>
      <c r="P71" s="176"/>
      <c r="Q71" s="177"/>
      <c r="R71" s="176">
        <f>IFERROR(1-SUMIF('Grid BD'!$B:$B,$A71,'Grid BD'!$AE:$AE)/($AA71+SUMIF('Grid BD'!$B:$B,$A71,'Grid BD'!$AE:$AE)),"")</f>
        <v>1</v>
      </c>
      <c r="S71" s="17"/>
      <c r="T71" s="177">
        <f>IFERROR(1-SUMIF(Tracker_BD!H:H,$A71,Tracker_BD!AI:AI)/$F71,"")</f>
        <v>1</v>
      </c>
      <c r="U71" s="178">
        <f t="shared" si="7"/>
        <v>0.68920749985954266</v>
      </c>
      <c r="V71" s="17"/>
      <c r="W71" s="164">
        <f t="shared" si="8"/>
        <v>0.22427960724595952</v>
      </c>
      <c r="X71" s="17">
        <f>IFERROR(_xlfn.XLOOKUP($A71,'Raw Data'!$G:$G,'Raw Data'!AB:AB),"")</f>
        <v>53290</v>
      </c>
      <c r="Y71" s="17">
        <f>IFERROR(_xlfn.XLOOKUP($A71,'Raw Data'!$G:$G,'Raw Data'!AC:AC),"")</f>
        <v>56822.899999999208</v>
      </c>
      <c r="Z71" s="38">
        <f>IFERROR(_xlfn.XLOOKUP($A71,'Raw Data'!$G:$G,'Raw Data'!AD:AD),"")</f>
        <v>266.76000000009026</v>
      </c>
      <c r="AA71" s="38">
        <f>IFERROR(_xlfn.XLOOKUP($A71,'Raw Data'!$G:$G,'Raw Data'!AE:AE)*(1+(_xlfn.XLOOKUP(Table13[[#This Row],[Month Year]],JMR!$A:$A,JMR!$J:$J))),"")</f>
        <v>56556.139999999119</v>
      </c>
      <c r="AB71" s="17">
        <f>_xlfn.XLOOKUP($D71,'Modelling New'!D:D,'Modelling New'!N:N)</f>
        <v>10.507</v>
      </c>
      <c r="AC71" s="24">
        <f>IFERROR(_xlfn.XLOOKUP($D71,'Modelling New'!$D:$D,'Modelling New'!P:P),"")</f>
        <v>5.2372339522000004</v>
      </c>
      <c r="AD71" s="38">
        <f>IFERROR(_xlfn.XLOOKUP($D71,'Modelling New'!$D:$D,'Modelling New'!T:T)*1000,"")</f>
        <v>37399.828631840392</v>
      </c>
      <c r="AE71" s="164">
        <f t="shared" si="9"/>
        <v>0.67965560892027499</v>
      </c>
      <c r="AF71" s="164">
        <f>IFERROR(_xlfn.XLOOKUP($D71,'Modelling New'!$D:$D,'Modelling New'!W:W),"")</f>
        <v>0.14831314295168455</v>
      </c>
      <c r="AG71" s="164">
        <f>IFERROR(_xlfn.XLOOKUP($D71,'Modelling New'!$D:$D,'Modelling New'!AD:AD),"")</f>
        <v>0.995</v>
      </c>
      <c r="AH71" s="164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64"/>
      <c r="AO71" s="164"/>
      <c r="AP71" s="164"/>
      <c r="AQ71" s="164"/>
      <c r="AR71" s="38">
        <f>IFERROR(_xlfn.XLOOKUP($D71,'Modelling New'!$D:$D,'Modelling New'!$N:$N),"")</f>
        <v>10.507</v>
      </c>
      <c r="AS71" s="38"/>
      <c r="AT71" s="38">
        <f>IFERROR(_xlfn.XLOOKUP(Table13[[#This Row],[Date]],'Raw Data'!$G:$G,'Raw Data'!$AJ:$AJ),"")</f>
        <v>0</v>
      </c>
      <c r="AU71" s="38">
        <f>IFERROR(_xlfn.XLOOKUP(Table13[[#This Row],[Month Year]],'Modelling New'!$D:$D,'Modelling New'!$AN:$AN),"")</f>
        <v>10</v>
      </c>
      <c r="AV71" s="38">
        <f>SUMIF('Curtailment records'!$C:$C,Table13[[#This Row],[Date]],'Curtailment records'!$R:$R)/1000</f>
        <v>0</v>
      </c>
    </row>
    <row r="72" spans="1:48">
      <c r="A72" s="66">
        <f t="shared" si="10"/>
        <v>45815</v>
      </c>
      <c r="B72" s="38">
        <f>YEAR(Table13[[#This Row],[Date]])+IF(MONTH(Table13[[#This Row],[Date]])&gt;=4,1,0)</f>
        <v>2026</v>
      </c>
      <c r="C72" s="17">
        <f>YEAR(Table13[[#This Row],[Date]])</f>
        <v>2025</v>
      </c>
      <c r="D72" s="37">
        <f>Table13[[#This Row],[Date]]-DAY(Table13[[#This Row],[Date]])+1</f>
        <v>45809</v>
      </c>
      <c r="E72" s="17">
        <f t="shared" si="11"/>
        <v>30</v>
      </c>
      <c r="F72" s="135" cm="1">
        <f t="array" ref="F72">IFERROR(_xlfn.XLOOKUP(Table13[[#This Row],[Date]],Raw_Data[[#All],[Date]],Raw_Data[[#All],[Operating Hours]]),"")</f>
        <v>12.666666666666668</v>
      </c>
      <c r="G72" s="24">
        <f>IFERROR(_xlfn.XLOOKUP($A72,'Raw Data'!$G:$G,'Raw Data'!S:S)/1000,"")</f>
        <v>7.33</v>
      </c>
      <c r="H72" s="24"/>
      <c r="I72" s="24">
        <f>IFERROR(_xlfn.XLOOKUP($A72,'Raw Data'!$G:$G,'Raw Data'!AF:AF)/1000,"")</f>
        <v>8.0399999999999991</v>
      </c>
      <c r="J72" s="24"/>
      <c r="K72" s="137">
        <f>IFERROR(_xlfn.XLOOKUP($A72,'Raw Data'!$G:$G,'Raw Data'!W:W),"")</f>
        <v>27.854892075689214</v>
      </c>
      <c r="L72" s="136">
        <f>IFERROR(_xlfn.XLOOKUP($A72,'Raw Data'!$G:$G,'Raw Data'!X:X),"")</f>
        <v>45.289373176976255</v>
      </c>
      <c r="M72" s="136">
        <f>IFERROR(_xlfn.XLOOKUP($A72,'Raw Data'!$G:$G,'Raw Data'!Y:Y),"")</f>
        <v>0.74587048550969681</v>
      </c>
      <c r="N72" s="136">
        <f>IFERROR(_xlfn.XLOOKUP($A72,'Raw Data'!$G:$G,'Raw Data'!Z:Z),"")</f>
        <v>0.88982200622558594</v>
      </c>
      <c r="O72" s="176">
        <f>IFERROR(1-SUMIF('Plant BD'!$B:$B,$A72,'Plant BD'!$AM:$AM)/($AA72+SUMIF('Plant BD'!$B:$B,$A72,'Plant BD'!$AM:$AM)),"")</f>
        <v>0.98868639176794737</v>
      </c>
      <c r="P72" s="176"/>
      <c r="Q72" s="177"/>
      <c r="R72" s="179">
        <f>IFERROR(1-SUMIF('Grid BD'!$B:$B,$A72,'Grid BD'!$AE:$AE)/($AA72+SUMIF('Grid BD'!$B:$B,$A72,'Grid BD'!$AE:$AE)),"")</f>
        <v>1</v>
      </c>
      <c r="S72" s="17"/>
      <c r="T72" s="177">
        <f>IFERROR(1-SUMIF(Tracker_BD!H:H,$A72,Tracker_BD!AI:AI)/$F72,"")</f>
        <v>1</v>
      </c>
      <c r="U72" s="178">
        <f t="shared" si="7"/>
        <v>0.68747298058100359</v>
      </c>
      <c r="V72" s="17"/>
      <c r="W72" s="164">
        <f t="shared" si="8"/>
        <v>0.23030344849463616</v>
      </c>
      <c r="X72" s="17">
        <f>IFERROR(_xlfn.XLOOKUP($A72,'Raw Data'!$G:$G,'Raw Data'!AB:AB),"")</f>
        <v>54815</v>
      </c>
      <c r="Y72" s="17">
        <f>IFERROR(_xlfn.XLOOKUP($A72,'Raw Data'!$G:$G,'Raw Data'!AC:AC),"")</f>
        <v>58384.399999995367</v>
      </c>
      <c r="Z72" s="38">
        <f>IFERROR(_xlfn.XLOOKUP($A72,'Raw Data'!$G:$G,'Raw Data'!AD:AD),"")</f>
        <v>309.23999999995289</v>
      </c>
      <c r="AA72" s="38">
        <f>IFERROR(_xlfn.XLOOKUP($A72,'Raw Data'!$G:$G,'Raw Data'!AE:AE)*(1+(_xlfn.XLOOKUP(Table13[[#This Row],[Month Year]],JMR!$A:$A,JMR!$J:$J))),"")</f>
        <v>58075.159999995412</v>
      </c>
      <c r="AB72" s="17">
        <f>_xlfn.XLOOKUP($D72,'Modelling New'!D:D,'Modelling New'!N:N)</f>
        <v>10.507</v>
      </c>
      <c r="AC72" s="24">
        <f>IFERROR(_xlfn.XLOOKUP($D72,'Modelling New'!$D:$D,'Modelling New'!P:P),"")</f>
        <v>5.2372339522000004</v>
      </c>
      <c r="AD72" s="38">
        <f>IFERROR(_xlfn.XLOOKUP($D72,'Modelling New'!$D:$D,'Modelling New'!T:T)*1000,"")</f>
        <v>37399.828631840392</v>
      </c>
      <c r="AE72" s="164">
        <f t="shared" si="9"/>
        <v>0.67965560892027499</v>
      </c>
      <c r="AF72" s="164">
        <f>IFERROR(_xlfn.XLOOKUP($D72,'Modelling New'!$D:$D,'Modelling New'!W:W),"")</f>
        <v>0.14831314295168455</v>
      </c>
      <c r="AG72" s="164">
        <f>IFERROR(_xlfn.XLOOKUP($D72,'Modelling New'!$D:$D,'Modelling New'!AD:AD),"")</f>
        <v>0.995</v>
      </c>
      <c r="AH72" s="164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64"/>
      <c r="AO72" s="164"/>
      <c r="AP72" s="164"/>
      <c r="AQ72" s="164"/>
      <c r="AR72" s="38">
        <f>IFERROR(_xlfn.XLOOKUP($D72,'Modelling New'!$D:$D,'Modelling New'!$N:$N),"")</f>
        <v>10.507</v>
      </c>
      <c r="AS72" s="38"/>
      <c r="AT72" s="38">
        <f>IFERROR(_xlfn.XLOOKUP(Table13[[#This Row],[Date]],'Raw Data'!$G:$G,'Raw Data'!$AJ:$AJ),"")</f>
        <v>0</v>
      </c>
      <c r="AU72" s="38">
        <f>IFERROR(_xlfn.XLOOKUP(Table13[[#This Row],[Month Year]],'Modelling New'!$D:$D,'Modelling New'!$AN:$AN),"")</f>
        <v>10</v>
      </c>
      <c r="AV72" s="38">
        <f>SUMIF('Curtailment records'!$C:$C,Table13[[#This Row],[Date]],'Curtailment records'!$R:$R)/1000</f>
        <v>0</v>
      </c>
    </row>
    <row r="73" spans="1:48">
      <c r="A73" s="66">
        <f t="shared" si="10"/>
        <v>45816</v>
      </c>
      <c r="B73" s="38">
        <f>YEAR(Table13[[#This Row],[Date]])+IF(MONTH(Table13[[#This Row],[Date]])&gt;=4,1,0)</f>
        <v>2026</v>
      </c>
      <c r="C73" s="17">
        <f>YEAR(Table13[[#This Row],[Date]])</f>
        <v>2025</v>
      </c>
      <c r="D73" s="37">
        <f>Table13[[#This Row],[Date]]-DAY(Table13[[#This Row],[Date]])+1</f>
        <v>45809</v>
      </c>
      <c r="E73" s="17">
        <f t="shared" si="11"/>
        <v>30</v>
      </c>
      <c r="F73" s="135" cm="1">
        <f t="array" ref="F73">IFERROR(_xlfn.XLOOKUP(Table13[[#This Row],[Date]],Raw_Data[[#All],[Date]],Raw_Data[[#All],[Operating Hours]]),"")</f>
        <v>12.600000000000001</v>
      </c>
      <c r="G73" s="136">
        <f>IFERROR(_xlfn.XLOOKUP($A73,'Raw Data'!$G:$G,'Raw Data'!S:S)/1000,"")</f>
        <v>6.98</v>
      </c>
      <c r="H73" s="136"/>
      <c r="I73" s="136">
        <f>IFERROR(_xlfn.XLOOKUP($A73,'Raw Data'!$G:$G,'Raw Data'!AF:AF)/1000,"")</f>
        <v>7.5350000000000001</v>
      </c>
      <c r="J73" s="136"/>
      <c r="K73" s="137">
        <f>IFERROR(_xlfn.XLOOKUP($A73,'Raw Data'!$G:$G,'Raw Data'!W:W),"")</f>
        <v>28.672822765572363</v>
      </c>
      <c r="L73" s="136">
        <f>IFERROR(_xlfn.XLOOKUP($A73,'Raw Data'!$G:$G,'Raw Data'!X:X),"")</f>
        <v>45.230646002229562</v>
      </c>
      <c r="M73" s="136">
        <f>IFERROR(_xlfn.XLOOKUP($A73,'Raw Data'!$G:$G,'Raw Data'!Y:Y),"")</f>
        <v>0.72954732928641886</v>
      </c>
      <c r="N73" s="136">
        <f>IFERROR(_xlfn.XLOOKUP($A73,'Raw Data'!$G:$G,'Raw Data'!Z:Z),"")</f>
        <v>0.89024680852890015</v>
      </c>
      <c r="O73" s="176">
        <f>IFERROR(1-SUMIF('Plant BD'!$B:$B,$A73,'Plant BD'!$AM:$AM)/($AA73+SUMIF('Plant BD'!$B:$B,$A73,'Plant BD'!$AM:$AM)),"")</f>
        <v>1</v>
      </c>
      <c r="P73" s="176"/>
      <c r="Q73" s="177"/>
      <c r="R73" s="176">
        <f>IFERROR(1-SUMIF('Grid BD'!$B:$B,$A73,'Grid BD'!$AE:$AE)/($AA73+SUMIF('Grid BD'!$B:$B,$A73,'Grid BD'!$AE:$AE)),"")</f>
        <v>1</v>
      </c>
      <c r="S73" s="17"/>
      <c r="T73" s="177">
        <f>IFERROR(1-SUMIF(Tracker_BD!H:H,$A73,Tracker_BD!AI:AI)/$F73,"")</f>
        <v>1</v>
      </c>
      <c r="U73" s="178">
        <f t="shared" si="7"/>
        <v>0.69659933476271718</v>
      </c>
      <c r="V73" s="17"/>
      <c r="W73" s="164">
        <f t="shared" si="8"/>
        <v>0.21870316614321145</v>
      </c>
      <c r="X73" s="17">
        <f>IFERROR(_xlfn.XLOOKUP($A73,'Raw Data'!$G:$G,'Raw Data'!AB:AB),"")</f>
        <v>52286</v>
      </c>
      <c r="Y73" s="17">
        <f>IFERROR(_xlfn.XLOOKUP($A73,'Raw Data'!$G:$G,'Raw Data'!AC:AC),"")</f>
        <v>55431.400000001304</v>
      </c>
      <c r="Z73" s="38">
        <f>IFERROR(_xlfn.XLOOKUP($A73,'Raw Data'!$G:$G,'Raw Data'!AD:AD),"")</f>
        <v>281.45999999996008</v>
      </c>
      <c r="AA73" s="38">
        <f>IFERROR(_xlfn.XLOOKUP($A73,'Raw Data'!$G:$G,'Raw Data'!AE:AE)*(1+(_xlfn.XLOOKUP(Table13[[#This Row],[Month Year]],JMR!$A:$A,JMR!$J:$J))),"")</f>
        <v>55149.940000001341</v>
      </c>
      <c r="AB73" s="17">
        <f>_xlfn.XLOOKUP($D73,'Modelling New'!D:D,'Modelling New'!N:N)</f>
        <v>10.507</v>
      </c>
      <c r="AC73" s="24">
        <f>IFERROR(_xlfn.XLOOKUP($D73,'Modelling New'!$D:$D,'Modelling New'!P:P),"")</f>
        <v>5.2372339522000004</v>
      </c>
      <c r="AD73" s="38">
        <f>IFERROR(_xlfn.XLOOKUP($D73,'Modelling New'!$D:$D,'Modelling New'!T:T)*1000,"")</f>
        <v>37399.828631840392</v>
      </c>
      <c r="AE73" s="164">
        <f t="shared" si="9"/>
        <v>0.67965560892027499</v>
      </c>
      <c r="AF73" s="164">
        <f>IFERROR(_xlfn.XLOOKUP($D73,'Modelling New'!$D:$D,'Modelling New'!W:W),"")</f>
        <v>0.14831314295168455</v>
      </c>
      <c r="AG73" s="164">
        <f>IFERROR(_xlfn.XLOOKUP($D73,'Modelling New'!$D:$D,'Modelling New'!AD:AD),"")</f>
        <v>0.995</v>
      </c>
      <c r="AH73" s="164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64"/>
      <c r="AO73" s="164"/>
      <c r="AP73" s="164"/>
      <c r="AQ73" s="164"/>
      <c r="AR73" s="38">
        <f>IFERROR(_xlfn.XLOOKUP($D73,'Modelling New'!$D:$D,'Modelling New'!$N:$N),"")</f>
        <v>10.507</v>
      </c>
      <c r="AS73" s="38"/>
      <c r="AT73" s="38">
        <f>IFERROR(_xlfn.XLOOKUP(Table13[[#This Row],[Date]],'Raw Data'!$G:$G,'Raw Data'!$AJ:$AJ),"")</f>
        <v>0</v>
      </c>
      <c r="AU73" s="38">
        <f>IFERROR(_xlfn.XLOOKUP(Table13[[#This Row],[Month Year]],'Modelling New'!$D:$D,'Modelling New'!$AN:$AN),"")</f>
        <v>10</v>
      </c>
      <c r="AV73" s="38">
        <f>SUMIF('Curtailment records'!$C:$C,Table13[[#This Row],[Date]],'Curtailment records'!$R:$R)/1000</f>
        <v>0</v>
      </c>
    </row>
    <row r="74" spans="1:48">
      <c r="A74" s="66">
        <f t="shared" si="10"/>
        <v>45817</v>
      </c>
      <c r="B74" s="38">
        <f>YEAR(Table13[[#This Row],[Date]])+IF(MONTH(Table13[[#This Row],[Date]])&gt;=4,1,0)</f>
        <v>2026</v>
      </c>
      <c r="C74" s="17">
        <f>YEAR(Table13[[#This Row],[Date]])</f>
        <v>2025</v>
      </c>
      <c r="D74" s="37">
        <f>Table13[[#This Row],[Date]]-DAY(Table13[[#This Row],[Date]])+1</f>
        <v>45809</v>
      </c>
      <c r="E74" s="17">
        <f t="shared" si="11"/>
        <v>30</v>
      </c>
      <c r="F74" s="135" cm="1">
        <f t="array" ref="F74">IFERROR(_xlfn.XLOOKUP(Table13[[#This Row],[Date]],Raw_Data[[#All],[Date]],Raw_Data[[#All],[Operating Hours]]),"")</f>
        <v>11.183333333333334</v>
      </c>
      <c r="G74" s="24">
        <f>IFERROR(_xlfn.XLOOKUP($A74,'Raw Data'!$G:$G,'Raw Data'!S:S)/1000,"")</f>
        <v>4.54</v>
      </c>
      <c r="H74" s="24"/>
      <c r="I74" s="24">
        <f>IFERROR(_xlfn.XLOOKUP($A74,'Raw Data'!$G:$G,'Raw Data'!AF:AF)/1000,"")</f>
        <v>4.5449999999999999</v>
      </c>
      <c r="J74" s="24"/>
      <c r="K74" s="137">
        <f>IFERROR(_xlfn.XLOOKUP($A74,'Raw Data'!$G:$G,'Raw Data'!W:W),"")</f>
        <v>26.908883863971347</v>
      </c>
      <c r="L74" s="136">
        <f>IFERROR(_xlfn.XLOOKUP($A74,'Raw Data'!$G:$G,'Raw Data'!X:X),"")</f>
        <v>38.086289451235814</v>
      </c>
      <c r="M74" s="136">
        <f>IFERROR(_xlfn.XLOOKUP($A74,'Raw Data'!$G:$G,'Raw Data'!Y:Y),"")</f>
        <v>0.70515631786769339</v>
      </c>
      <c r="N74" s="136">
        <f>IFERROR(_xlfn.XLOOKUP($A74,'Raw Data'!$G:$G,'Raw Data'!Z:Z),"")</f>
        <v>0.81437075138092041</v>
      </c>
      <c r="O74" s="176">
        <f>IFERROR(1-SUMIF('Plant BD'!$B:$B,$A74,'Plant BD'!$AM:$AM)/($AA74+SUMIF('Plant BD'!$B:$B,$A74,'Plant BD'!$AM:$AM)),"")</f>
        <v>0.99620237995087724</v>
      </c>
      <c r="P74" s="176"/>
      <c r="Q74" s="177"/>
      <c r="R74" s="179">
        <f>IFERROR(1-SUMIF('Grid BD'!$B:$B,$A74,'Grid BD'!$AE:$AE)/($AA74+SUMIF('Grid BD'!$B:$B,$A74,'Grid BD'!$AE:$AE)),"")</f>
        <v>1</v>
      </c>
      <c r="S74" s="17"/>
      <c r="T74" s="177">
        <f>IFERROR(1-SUMIF(Tracker_BD!H:H,$A74,Tracker_BD!AI:AI)/$F74,"")</f>
        <v>1</v>
      </c>
      <c r="U74" s="178">
        <f t="shared" si="7"/>
        <v>0.72501720525163382</v>
      </c>
      <c r="V74" s="17"/>
      <c r="W74" s="164">
        <f t="shared" si="8"/>
        <v>0.13730013324452814</v>
      </c>
      <c r="X74" s="17">
        <f>IFERROR(_xlfn.XLOOKUP($A74,'Raw Data'!$G:$G,'Raw Data'!AB:AB),"")</f>
        <v>34972</v>
      </c>
      <c r="Y74" s="17">
        <f>IFERROR(_xlfn.XLOOKUP($A74,'Raw Data'!$G:$G,'Raw Data'!AC:AC),"")</f>
        <v>34941.00000000617</v>
      </c>
      <c r="Z74" s="38">
        <f>IFERROR(_xlfn.XLOOKUP($A74,'Raw Data'!$G:$G,'Raw Data'!AD:AD),"")</f>
        <v>318.29999999999359</v>
      </c>
      <c r="AA74" s="38">
        <f>IFERROR(_xlfn.XLOOKUP($A74,'Raw Data'!$G:$G,'Raw Data'!AE:AE)*(1+(_xlfn.XLOOKUP(Table13[[#This Row],[Month Year]],JMR!$A:$A,JMR!$J:$J))),"")</f>
        <v>34622.700000006174</v>
      </c>
      <c r="AB74" s="17">
        <f>_xlfn.XLOOKUP($D74,'Modelling New'!D:D,'Modelling New'!N:N)</f>
        <v>10.507</v>
      </c>
      <c r="AC74" s="24">
        <f>IFERROR(_xlfn.XLOOKUP($D74,'Modelling New'!$D:$D,'Modelling New'!P:P),"")</f>
        <v>5.2372339522000004</v>
      </c>
      <c r="AD74" s="38">
        <f>IFERROR(_xlfn.XLOOKUP($D74,'Modelling New'!$D:$D,'Modelling New'!T:T)*1000,"")</f>
        <v>37399.828631840392</v>
      </c>
      <c r="AE74" s="164">
        <f t="shared" si="9"/>
        <v>0.67965560892027499</v>
      </c>
      <c r="AF74" s="164">
        <f>IFERROR(_xlfn.XLOOKUP($D74,'Modelling New'!$D:$D,'Modelling New'!W:W),"")</f>
        <v>0.14831314295168455</v>
      </c>
      <c r="AG74" s="164">
        <f>IFERROR(_xlfn.XLOOKUP($D74,'Modelling New'!$D:$D,'Modelling New'!AD:AD),"")</f>
        <v>0.995</v>
      </c>
      <c r="AH74" s="164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64"/>
      <c r="AO74" s="164"/>
      <c r="AP74" s="164"/>
      <c r="AQ74" s="164"/>
      <c r="AR74" s="38">
        <f>IFERROR(_xlfn.XLOOKUP($D74,'Modelling New'!$D:$D,'Modelling New'!$N:$N),"")</f>
        <v>10.507</v>
      </c>
      <c r="AS74" s="38"/>
      <c r="AT74" s="38">
        <f>IFERROR(_xlfn.XLOOKUP(Table13[[#This Row],[Date]],'Raw Data'!$G:$G,'Raw Data'!$AJ:$AJ),"")</f>
        <v>0</v>
      </c>
      <c r="AU74" s="38">
        <f>IFERROR(_xlfn.XLOOKUP(Table13[[#This Row],[Month Year]],'Modelling New'!$D:$D,'Modelling New'!$AN:$AN),"")</f>
        <v>10</v>
      </c>
      <c r="AV74" s="38">
        <f>SUMIF('Curtailment records'!$C:$C,Table13[[#This Row],[Date]],'Curtailment records'!$R:$R)/1000</f>
        <v>0</v>
      </c>
    </row>
    <row r="75" spans="1:48">
      <c r="A75" s="66">
        <f t="shared" si="10"/>
        <v>45818</v>
      </c>
      <c r="B75" s="38">
        <f>YEAR(Table13[[#This Row],[Date]])+IF(MONTH(Table13[[#This Row],[Date]])&gt;=4,1,0)</f>
        <v>2026</v>
      </c>
      <c r="C75" s="17">
        <f>YEAR(Table13[[#This Row],[Date]])</f>
        <v>2025</v>
      </c>
      <c r="D75" s="37">
        <f>Table13[[#This Row],[Date]]-DAY(Table13[[#This Row],[Date]])+1</f>
        <v>45809</v>
      </c>
      <c r="E75" s="17">
        <f t="shared" si="11"/>
        <v>30</v>
      </c>
      <c r="F75" s="135" cm="1">
        <f t="array" ref="F75">IFERROR(_xlfn.XLOOKUP(Table13[[#This Row],[Date]],Raw_Data[[#All],[Date]],Raw_Data[[#All],[Operating Hours]]),"")</f>
        <v>12.683333333333334</v>
      </c>
      <c r="G75" s="136">
        <f>IFERROR(_xlfn.XLOOKUP($A75,'Raw Data'!$G:$G,'Raw Data'!S:S)/1000,"")</f>
        <v>5.3</v>
      </c>
      <c r="H75" s="136"/>
      <c r="I75" s="136">
        <f>IFERROR(_xlfn.XLOOKUP($A75,'Raw Data'!$G:$G,'Raw Data'!AF:AF)/1000,"")</f>
        <v>5.63</v>
      </c>
      <c r="J75" s="136"/>
      <c r="K75" s="137">
        <f>IFERROR(_xlfn.XLOOKUP($A75,'Raw Data'!$G:$G,'Raw Data'!W:W),"")</f>
        <v>26.409495324413673</v>
      </c>
      <c r="L75" s="136">
        <f>IFERROR(_xlfn.XLOOKUP($A75,'Raw Data'!$G:$G,'Raw Data'!X:X),"")</f>
        <v>37.032904060883261</v>
      </c>
      <c r="M75" s="136">
        <f>IFERROR(_xlfn.XLOOKUP($A75,'Raw Data'!$G:$G,'Raw Data'!Y:Y),"")</f>
        <v>1.5430992601392106</v>
      </c>
      <c r="N75" s="136">
        <f>IFERROR(_xlfn.XLOOKUP($A75,'Raw Data'!$G:$G,'Raw Data'!Z:Z),"")</f>
        <v>6.5776700973510742</v>
      </c>
      <c r="O75" s="176">
        <f>IFERROR(1-SUMIF('Plant BD'!$B:$B,$A75,'Plant BD'!$AM:$AM)/($AA75+SUMIF('Plant BD'!$B:$B,$A75,'Plant BD'!$AM:$AM)),"")</f>
        <v>1</v>
      </c>
      <c r="P75" s="176"/>
      <c r="Q75" s="177"/>
      <c r="R75" s="176">
        <f>IFERROR(1-SUMIF('Grid BD'!$B:$B,$A75,'Grid BD'!$AE:$AE)/($AA75+SUMIF('Grid BD'!$B:$B,$A75,'Grid BD'!$AE:$AE)),"")</f>
        <v>0.99986346100101875</v>
      </c>
      <c r="S75" s="17"/>
      <c r="T75" s="177">
        <f>IFERROR(1-SUMIF(Tracker_BD!H:H,$A75,Tracker_BD!AI:AI)/$F75,"")</f>
        <v>1</v>
      </c>
      <c r="U75" s="178">
        <f t="shared" si="7"/>
        <v>0.72286715394502832</v>
      </c>
      <c r="V75" s="17"/>
      <c r="W75" s="164">
        <f t="shared" si="8"/>
        <v>0.16957258652960455</v>
      </c>
      <c r="X75" s="17">
        <f>IFERROR(_xlfn.XLOOKUP($A75,'Raw Data'!$G:$G,'Raw Data'!AB:AB),"")</f>
        <v>41354</v>
      </c>
      <c r="Y75" s="17">
        <f>IFERROR(_xlfn.XLOOKUP($A75,'Raw Data'!$G:$G,'Raw Data'!AC:AC),"")</f>
        <v>43074.699999997392</v>
      </c>
      <c r="Z75" s="38">
        <f>IFERROR(_xlfn.XLOOKUP($A75,'Raw Data'!$G:$G,'Raw Data'!AD:AD),"")</f>
        <v>313.92000000007414</v>
      </c>
      <c r="AA75" s="38">
        <f>IFERROR(_xlfn.XLOOKUP($A75,'Raw Data'!$G:$G,'Raw Data'!AE:AE)*(1+(_xlfn.XLOOKUP(Table13[[#This Row],[Month Year]],JMR!$A:$A,JMR!$J:$J))),"")</f>
        <v>42760.779999997321</v>
      </c>
      <c r="AB75" s="17">
        <f>_xlfn.XLOOKUP($D75,'Modelling New'!D:D,'Modelling New'!N:N)</f>
        <v>10.507</v>
      </c>
      <c r="AC75" s="24">
        <f>IFERROR(_xlfn.XLOOKUP($D75,'Modelling New'!$D:$D,'Modelling New'!P:P),"")</f>
        <v>5.2372339522000004</v>
      </c>
      <c r="AD75" s="38">
        <f>IFERROR(_xlfn.XLOOKUP($D75,'Modelling New'!$D:$D,'Modelling New'!T:T)*1000,"")</f>
        <v>37399.828631840392</v>
      </c>
      <c r="AE75" s="164">
        <f t="shared" si="9"/>
        <v>0.67965560892027499</v>
      </c>
      <c r="AF75" s="164">
        <f>IFERROR(_xlfn.XLOOKUP($D75,'Modelling New'!$D:$D,'Modelling New'!W:W),"")</f>
        <v>0.14831314295168455</v>
      </c>
      <c r="AG75" s="164">
        <f>IFERROR(_xlfn.XLOOKUP($D75,'Modelling New'!$D:$D,'Modelling New'!AD:AD),"")</f>
        <v>0.995</v>
      </c>
      <c r="AH75" s="164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64"/>
      <c r="AO75" s="164"/>
      <c r="AP75" s="164"/>
      <c r="AQ75" s="164"/>
      <c r="AR75" s="38">
        <f>IFERROR(_xlfn.XLOOKUP($D75,'Modelling New'!$D:$D,'Modelling New'!$N:$N),"")</f>
        <v>10.507</v>
      </c>
      <c r="AS75" s="38"/>
      <c r="AT75" s="38">
        <f>IFERROR(_xlfn.XLOOKUP(Table13[[#This Row],[Date]],'Raw Data'!$G:$G,'Raw Data'!$AJ:$AJ),"")</f>
        <v>0</v>
      </c>
      <c r="AU75" s="38">
        <f>IFERROR(_xlfn.XLOOKUP(Table13[[#This Row],[Month Year]],'Modelling New'!$D:$D,'Modelling New'!$AN:$AN),"")</f>
        <v>10</v>
      </c>
      <c r="AV75" s="38">
        <f>SUMIF('Curtailment records'!$C:$C,Table13[[#This Row],[Date]],'Curtailment records'!$R:$R)/1000</f>
        <v>0</v>
      </c>
    </row>
    <row r="76" spans="1:48">
      <c r="A76" s="66">
        <f t="shared" si="10"/>
        <v>45819</v>
      </c>
      <c r="B76" s="38">
        <f>YEAR(Table13[[#This Row],[Date]])+IF(MONTH(Table13[[#This Row],[Date]])&gt;=4,1,0)</f>
        <v>2026</v>
      </c>
      <c r="C76" s="17">
        <f>YEAR(Table13[[#This Row],[Date]])</f>
        <v>2025</v>
      </c>
      <c r="D76" s="37">
        <f>Table13[[#This Row],[Date]]-DAY(Table13[[#This Row],[Date]])+1</f>
        <v>45809</v>
      </c>
      <c r="E76" s="17">
        <f t="shared" si="11"/>
        <v>30</v>
      </c>
      <c r="F76" s="135" cm="1">
        <f t="array" ref="F76">IFERROR(_xlfn.XLOOKUP(Table13[[#This Row],[Date]],Raw_Data[[#All],[Date]],Raw_Data[[#All],[Operating Hours]]),"")</f>
        <v>11.816666666666666</v>
      </c>
      <c r="G76" s="24">
        <f>IFERROR(_xlfn.XLOOKUP($A76,'Raw Data'!$G:$G,'Raw Data'!S:S)/1000,"")</f>
        <v>4.3099999999999996</v>
      </c>
      <c r="H76" s="24"/>
      <c r="I76" s="24">
        <f>IFERROR(_xlfn.XLOOKUP($A76,'Raw Data'!$G:$G,'Raw Data'!AF:AF)/1000,"")</f>
        <v>4.4400000000000004</v>
      </c>
      <c r="J76" s="24"/>
      <c r="K76" s="137">
        <f>IFERROR(_xlfn.XLOOKUP($A76,'Raw Data'!$G:$G,'Raw Data'!W:W),"")</f>
        <v>26.531669211754433</v>
      </c>
      <c r="L76" s="136">
        <f>IFERROR(_xlfn.XLOOKUP($A76,'Raw Data'!$G:$G,'Raw Data'!X:X),"")</f>
        <v>37.12092341496394</v>
      </c>
      <c r="M76" s="136">
        <f>IFERROR(_xlfn.XLOOKUP($A76,'Raw Data'!$G:$G,'Raw Data'!Y:Y),"")</f>
        <v>0.73588590016731847</v>
      </c>
      <c r="N76" s="136">
        <f>IFERROR(_xlfn.XLOOKUP($A76,'Raw Data'!$G:$G,'Raw Data'!Z:Z),"")</f>
        <v>7.87</v>
      </c>
      <c r="O76" s="176">
        <f>IFERROR(1-SUMIF('Plant BD'!$B:$B,$A76,'Plant BD'!$AM:$AM)/($AA76+SUMIF('Plant BD'!$B:$B,$A76,'Plant BD'!$AM:$AM)),"")</f>
        <v>1</v>
      </c>
      <c r="P76" s="176"/>
      <c r="Q76" s="177"/>
      <c r="R76" s="179">
        <f>IFERROR(1-SUMIF('Grid BD'!$B:$B,$A76,'Grid BD'!$AE:$AE)/($AA76+SUMIF('Grid BD'!$B:$B,$A76,'Grid BD'!$AE:$AE)),"")</f>
        <v>1</v>
      </c>
      <c r="S76" s="17"/>
      <c r="T76" s="177">
        <f>IFERROR(1-SUMIF(Tracker_BD!H:H,$A76,Tracker_BD!AI:AI)/$F76,"")</f>
        <v>1</v>
      </c>
      <c r="U76" s="178">
        <f t="shared" si="7"/>
        <v>0.74602388626354721</v>
      </c>
      <c r="V76" s="17"/>
      <c r="W76" s="164">
        <f t="shared" si="8"/>
        <v>0.13801441895875621</v>
      </c>
      <c r="X76" s="17">
        <f>IFERROR(_xlfn.XLOOKUP($A76,'Raw Data'!$G:$G,'Raw Data'!AB:AB),"")</f>
        <v>35037</v>
      </c>
      <c r="Y76" s="17">
        <f>IFERROR(_xlfn.XLOOKUP($A76,'Raw Data'!$G:$G,'Raw Data'!AC:AC),"")</f>
        <v>35099.699999991572</v>
      </c>
      <c r="Z76" s="38">
        <f>IFERROR(_xlfn.XLOOKUP($A76,'Raw Data'!$G:$G,'Raw Data'!AD:AD),"")</f>
        <v>296.87999999993053</v>
      </c>
      <c r="AA76" s="38">
        <f>IFERROR(_xlfn.XLOOKUP($A76,'Raw Data'!$G:$G,'Raw Data'!AE:AE)*(1+(_xlfn.XLOOKUP(Table13[[#This Row],[Month Year]],JMR!$A:$A,JMR!$J:$J))),"")</f>
        <v>34802.81999999164</v>
      </c>
      <c r="AB76" s="17">
        <f>_xlfn.XLOOKUP($D76,'Modelling New'!D:D,'Modelling New'!N:N)</f>
        <v>10.507</v>
      </c>
      <c r="AC76" s="24">
        <f>IFERROR(_xlfn.XLOOKUP($D76,'Modelling New'!$D:$D,'Modelling New'!P:P),"")</f>
        <v>5.2372339522000004</v>
      </c>
      <c r="AD76" s="38">
        <f>IFERROR(_xlfn.XLOOKUP($D76,'Modelling New'!$D:$D,'Modelling New'!T:T)*1000,"")</f>
        <v>37399.828631840392</v>
      </c>
      <c r="AE76" s="164">
        <f t="shared" si="9"/>
        <v>0.67965560892027499</v>
      </c>
      <c r="AF76" s="164">
        <f>IFERROR(_xlfn.XLOOKUP($D76,'Modelling New'!$D:$D,'Modelling New'!W:W),"")</f>
        <v>0.14831314295168455</v>
      </c>
      <c r="AG76" s="164">
        <f>IFERROR(_xlfn.XLOOKUP($D76,'Modelling New'!$D:$D,'Modelling New'!AD:AD),"")</f>
        <v>0.995</v>
      </c>
      <c r="AH76" s="164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64"/>
      <c r="AO76" s="164"/>
      <c r="AP76" s="164"/>
      <c r="AQ76" s="164"/>
      <c r="AR76" s="38">
        <f>IFERROR(_xlfn.XLOOKUP($D76,'Modelling New'!$D:$D,'Modelling New'!$N:$N),"")</f>
        <v>10.507</v>
      </c>
      <c r="AS76" s="38"/>
      <c r="AT76" s="38">
        <f>IFERROR(_xlfn.XLOOKUP(Table13[[#This Row],[Date]],'Raw Data'!$G:$G,'Raw Data'!$AJ:$AJ),"")</f>
        <v>0</v>
      </c>
      <c r="AU76" s="38">
        <f>IFERROR(_xlfn.XLOOKUP(Table13[[#This Row],[Month Year]],'Modelling New'!$D:$D,'Modelling New'!$AN:$AN),"")</f>
        <v>10</v>
      </c>
      <c r="AV76" s="38">
        <f>SUMIF('Curtailment records'!$C:$C,Table13[[#This Row],[Date]],'Curtailment records'!$R:$R)/1000</f>
        <v>0</v>
      </c>
    </row>
    <row r="77" spans="1:48">
      <c r="A77" s="66">
        <f t="shared" si="10"/>
        <v>45820</v>
      </c>
      <c r="B77" s="38">
        <f>YEAR(Table13[[#This Row],[Date]])+IF(MONTH(Table13[[#This Row],[Date]])&gt;=4,1,0)</f>
        <v>2026</v>
      </c>
      <c r="C77" s="17">
        <f>YEAR(Table13[[#This Row],[Date]])</f>
        <v>2025</v>
      </c>
      <c r="D77" s="37">
        <f>Table13[[#This Row],[Date]]-DAY(Table13[[#This Row],[Date]])+1</f>
        <v>45809</v>
      </c>
      <c r="E77" s="17">
        <f t="shared" si="11"/>
        <v>30</v>
      </c>
      <c r="F77" s="135" cm="1">
        <f t="array" ref="F77">IFERROR(_xlfn.XLOOKUP(Table13[[#This Row],[Date]],Raw_Data[[#All],[Date]],Raw_Data[[#All],[Operating Hours]]),"")</f>
        <v>12.350000000000001</v>
      </c>
      <c r="G77" s="136">
        <f>IFERROR(_xlfn.XLOOKUP($A77,'Raw Data'!$G:$G,'Raw Data'!S:S)/1000,"")</f>
        <v>4.4000000000000004</v>
      </c>
      <c r="H77" s="136"/>
      <c r="I77" s="136">
        <f>IFERROR(_xlfn.XLOOKUP($A77,'Raw Data'!$G:$G,'Raw Data'!AF:AF)/1000,"")</f>
        <v>4.5549999999999997</v>
      </c>
      <c r="J77" s="136"/>
      <c r="K77" s="137">
        <f>IFERROR(_xlfn.XLOOKUP($A77,'Raw Data'!$G:$G,'Raw Data'!W:W),"")</f>
        <v>25.592481119613442</v>
      </c>
      <c r="L77" s="136">
        <f>IFERROR(_xlfn.XLOOKUP($A77,'Raw Data'!$G:$G,'Raw Data'!X:X),"")</f>
        <v>35.297229982771967</v>
      </c>
      <c r="M77" s="136">
        <f>IFERROR(_xlfn.XLOOKUP($A77,'Raw Data'!$G:$G,'Raw Data'!Y:Y),"")</f>
        <v>1.4968208989525098</v>
      </c>
      <c r="N77" s="136">
        <f>IFERROR(_xlfn.XLOOKUP($A77,'Raw Data'!$G:$G,'Raw Data'!Z:Z),"")</f>
        <v>6.8727712631225586</v>
      </c>
      <c r="O77" s="176">
        <f>IFERROR(1-SUMIF('Plant BD'!$B:$B,$A77,'Plant BD'!$AM:$AM)/($AA77+SUMIF('Plant BD'!$B:$B,$A77,'Plant BD'!$AM:$AM)),"")</f>
        <v>1</v>
      </c>
      <c r="P77" s="176"/>
      <c r="Q77" s="177"/>
      <c r="R77" s="176">
        <f>IFERROR(1-SUMIF('Grid BD'!$B:$B,$A77,'Grid BD'!$AE:$AE)/($AA77+SUMIF('Grid BD'!$B:$B,$A77,'Grid BD'!$AE:$AE)),"")</f>
        <v>1</v>
      </c>
      <c r="S77" s="17"/>
      <c r="T77" s="177">
        <f>IFERROR(1-SUMIF(Tracker_BD!H:H,$A77,Tracker_BD!AI:AI)/$F77,"")</f>
        <v>1</v>
      </c>
      <c r="U77" s="178">
        <f t="shared" si="7"/>
        <v>0.73128352986574541</v>
      </c>
      <c r="V77" s="17"/>
      <c r="W77" s="164">
        <f t="shared" si="8"/>
        <v>0.13879151993910294</v>
      </c>
      <c r="X77" s="17">
        <f>IFERROR(_xlfn.XLOOKUP($A77,'Raw Data'!$G:$G,'Raw Data'!AB:AB),"")</f>
        <v>35270</v>
      </c>
      <c r="Y77" s="17">
        <f>IFERROR(_xlfn.XLOOKUP($A77,'Raw Data'!$G:$G,'Raw Data'!AC:AC),"")</f>
        <v>35332.800000003772</v>
      </c>
      <c r="Z77" s="38">
        <f>IFERROR(_xlfn.XLOOKUP($A77,'Raw Data'!$G:$G,'Raw Data'!AD:AD),"")</f>
        <v>334.02000000005927</v>
      </c>
      <c r="AA77" s="38">
        <f>IFERROR(_xlfn.XLOOKUP($A77,'Raw Data'!$G:$G,'Raw Data'!AE:AE)*(1+(_xlfn.XLOOKUP(Table13[[#This Row],[Month Year]],JMR!$A:$A,JMR!$J:$J))),"")</f>
        <v>34998.78000000371</v>
      </c>
      <c r="AB77" s="17">
        <f>_xlfn.XLOOKUP($D77,'Modelling New'!D:D,'Modelling New'!N:N)</f>
        <v>10.507</v>
      </c>
      <c r="AC77" s="24">
        <f>IFERROR(_xlfn.XLOOKUP($D77,'Modelling New'!$D:$D,'Modelling New'!P:P),"")</f>
        <v>5.2372339522000004</v>
      </c>
      <c r="AD77" s="38">
        <f>IFERROR(_xlfn.XLOOKUP($D77,'Modelling New'!$D:$D,'Modelling New'!T:T)*1000,"")</f>
        <v>37399.828631840392</v>
      </c>
      <c r="AE77" s="164">
        <f t="shared" si="9"/>
        <v>0.67965560892027499</v>
      </c>
      <c r="AF77" s="164">
        <f>IFERROR(_xlfn.XLOOKUP($D77,'Modelling New'!$D:$D,'Modelling New'!W:W),"")</f>
        <v>0.14831314295168455</v>
      </c>
      <c r="AG77" s="164">
        <f>IFERROR(_xlfn.XLOOKUP($D77,'Modelling New'!$D:$D,'Modelling New'!AD:AD),"")</f>
        <v>0.995</v>
      </c>
      <c r="AH77" s="164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64"/>
      <c r="AO77" s="164"/>
      <c r="AP77" s="164"/>
      <c r="AQ77" s="164"/>
      <c r="AR77" s="38">
        <f>IFERROR(_xlfn.XLOOKUP($D77,'Modelling New'!$D:$D,'Modelling New'!$N:$N),"")</f>
        <v>10.507</v>
      </c>
      <c r="AS77" s="38"/>
      <c r="AT77" s="38">
        <f>IFERROR(_xlfn.XLOOKUP(Table13[[#This Row],[Date]],'Raw Data'!$G:$G,'Raw Data'!$AJ:$AJ),"")</f>
        <v>0</v>
      </c>
      <c r="AU77" s="38">
        <f>IFERROR(_xlfn.XLOOKUP(Table13[[#This Row],[Month Year]],'Modelling New'!$D:$D,'Modelling New'!$AN:$AN),"")</f>
        <v>10</v>
      </c>
      <c r="AV77" s="38">
        <f>SUMIF('Curtailment records'!$C:$C,Table13[[#This Row],[Date]],'Curtailment records'!$R:$R)/1000</f>
        <v>0</v>
      </c>
    </row>
    <row r="78" spans="1:48">
      <c r="A78" s="66">
        <f t="shared" si="10"/>
        <v>45821</v>
      </c>
      <c r="B78" s="38">
        <f>YEAR(Table13[[#This Row],[Date]])+IF(MONTH(Table13[[#This Row],[Date]])&gt;=4,1,0)</f>
        <v>2026</v>
      </c>
      <c r="C78" s="17">
        <f>YEAR(Table13[[#This Row],[Date]])</f>
        <v>2025</v>
      </c>
      <c r="D78" s="37">
        <f>Table13[[#This Row],[Date]]-DAY(Table13[[#This Row],[Date]])+1</f>
        <v>45809</v>
      </c>
      <c r="E78" s="17">
        <f t="shared" si="11"/>
        <v>30</v>
      </c>
      <c r="F78" s="135" cm="1">
        <f t="array" ref="F78">IFERROR(_xlfn.XLOOKUP(Table13[[#This Row],[Date]],Raw_Data[[#All],[Date]],Raw_Data[[#All],[Operating Hours]]),"")</f>
        <v>12.333333333333332</v>
      </c>
      <c r="G78" s="24">
        <f>IFERROR(_xlfn.XLOOKUP($A78,'Raw Data'!$G:$G,'Raw Data'!S:S)/1000,"")</f>
        <v>3.85</v>
      </c>
      <c r="H78" s="24"/>
      <c r="I78" s="24">
        <f>IFERROR(_xlfn.XLOOKUP($A78,'Raw Data'!$G:$G,'Raw Data'!AF:AF)/1000,"")</f>
        <v>3.94</v>
      </c>
      <c r="J78" s="24"/>
      <c r="K78" s="137">
        <f>IFERROR(_xlfn.XLOOKUP($A78,'Raw Data'!$G:$G,'Raw Data'!W:W),"")</f>
        <v>24.85041588031693</v>
      </c>
      <c r="L78" s="136">
        <f>IFERROR(_xlfn.XLOOKUP($A78,'Raw Data'!$G:$G,'Raw Data'!X:X),"")</f>
        <v>32.004870362944949</v>
      </c>
      <c r="M78" s="136">
        <f>IFERROR(_xlfn.XLOOKUP($A78,'Raw Data'!$G:$G,'Raw Data'!Y:Y),"")</f>
        <v>1.7221130791089392</v>
      </c>
      <c r="N78" s="136">
        <f>IFERROR(_xlfn.XLOOKUP($A78,'Raw Data'!$G:$G,'Raw Data'!Z:Z),"")</f>
        <v>6.3480243682861328</v>
      </c>
      <c r="O78" s="176">
        <f>IFERROR(1-SUMIF('Plant BD'!$B:$B,$A78,'Plant BD'!$AM:$AM)/($AA78+SUMIF('Plant BD'!$B:$B,$A78,'Plant BD'!$AM:$AM)),"")</f>
        <v>1</v>
      </c>
      <c r="P78" s="176"/>
      <c r="Q78" s="177"/>
      <c r="R78" s="179">
        <f>IFERROR(1-SUMIF('Grid BD'!$B:$B,$A78,'Grid BD'!$AE:$AE)/($AA78+SUMIF('Grid BD'!$B:$B,$A78,'Grid BD'!$AE:$AE)),"")</f>
        <v>1</v>
      </c>
      <c r="S78" s="17"/>
      <c r="T78" s="177">
        <f>IFERROR(1-SUMIF(Tracker_BD!H:H,$A78,Tracker_BD!AI:AI)/$F78,"")</f>
        <v>1</v>
      </c>
      <c r="U78" s="178">
        <f t="shared" si="7"/>
        <v>0.75227054335070453</v>
      </c>
      <c r="V78" s="17"/>
      <c r="W78" s="164">
        <f t="shared" si="8"/>
        <v>0.12349774753340734</v>
      </c>
      <c r="X78" s="17">
        <f>IFERROR(_xlfn.XLOOKUP($A78,'Raw Data'!$G:$G,'Raw Data'!AB:AB),"")</f>
        <v>31827</v>
      </c>
      <c r="Y78" s="17">
        <f>IFERROR(_xlfn.XLOOKUP($A78,'Raw Data'!$G:$G,'Raw Data'!AC:AC),"")</f>
        <v>31433.300000004238</v>
      </c>
      <c r="Z78" s="38">
        <f>IFERROR(_xlfn.XLOOKUP($A78,'Raw Data'!$G:$G,'Raw Data'!AD:AD),"")</f>
        <v>291.11999999997806</v>
      </c>
      <c r="AA78" s="38">
        <f>IFERROR(_xlfn.XLOOKUP($A78,'Raw Data'!$G:$G,'Raw Data'!AE:AE)*(1+(_xlfn.XLOOKUP(Table13[[#This Row],[Month Year]],JMR!$A:$A,JMR!$J:$J))),"")</f>
        <v>31142.18000000426</v>
      </c>
      <c r="AB78" s="17">
        <f>_xlfn.XLOOKUP($D78,'Modelling New'!D:D,'Modelling New'!N:N)</f>
        <v>10.507</v>
      </c>
      <c r="AC78" s="24">
        <f>IFERROR(_xlfn.XLOOKUP($D78,'Modelling New'!$D:$D,'Modelling New'!P:P),"")</f>
        <v>5.2372339522000004</v>
      </c>
      <c r="AD78" s="38">
        <f>IFERROR(_xlfn.XLOOKUP($D78,'Modelling New'!$D:$D,'Modelling New'!T:T)*1000,"")</f>
        <v>37399.828631840392</v>
      </c>
      <c r="AE78" s="164">
        <f t="shared" si="9"/>
        <v>0.67965560892027499</v>
      </c>
      <c r="AF78" s="164">
        <f>IFERROR(_xlfn.XLOOKUP($D78,'Modelling New'!$D:$D,'Modelling New'!W:W),"")</f>
        <v>0.14831314295168455</v>
      </c>
      <c r="AG78" s="164">
        <f>IFERROR(_xlfn.XLOOKUP($D78,'Modelling New'!$D:$D,'Modelling New'!AD:AD),"")</f>
        <v>0.995</v>
      </c>
      <c r="AH78" s="164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64"/>
      <c r="AO78" s="164"/>
      <c r="AP78" s="164"/>
      <c r="AQ78" s="164"/>
      <c r="AR78" s="38">
        <f>IFERROR(_xlfn.XLOOKUP($D78,'Modelling New'!$D:$D,'Modelling New'!$N:$N),"")</f>
        <v>10.507</v>
      </c>
      <c r="AS78" s="38"/>
      <c r="AT78" s="38">
        <f>IFERROR(_xlfn.XLOOKUP(Table13[[#This Row],[Date]],'Raw Data'!$G:$G,'Raw Data'!$AJ:$AJ),"")</f>
        <v>0</v>
      </c>
      <c r="AU78" s="38">
        <f>IFERROR(_xlfn.XLOOKUP(Table13[[#This Row],[Month Year]],'Modelling New'!$D:$D,'Modelling New'!$AN:$AN),"")</f>
        <v>10</v>
      </c>
      <c r="AV78" s="38">
        <f>SUMIF('Curtailment records'!$C:$C,Table13[[#This Row],[Date]],'Curtailment records'!$R:$R)/1000</f>
        <v>0</v>
      </c>
    </row>
    <row r="79" spans="1:48">
      <c r="A79" s="66">
        <f t="shared" si="10"/>
        <v>45822</v>
      </c>
      <c r="B79" s="38">
        <f>YEAR(Table13[[#This Row],[Date]])+IF(MONTH(Table13[[#This Row],[Date]])&gt;=4,1,0)</f>
        <v>2026</v>
      </c>
      <c r="C79" s="17">
        <f>YEAR(Table13[[#This Row],[Date]])</f>
        <v>2025</v>
      </c>
      <c r="D79" s="37">
        <f>Table13[[#This Row],[Date]]-DAY(Table13[[#This Row],[Date]])+1</f>
        <v>45809</v>
      </c>
      <c r="E79" s="17">
        <f t="shared" si="11"/>
        <v>30</v>
      </c>
      <c r="F79" s="135" cm="1">
        <f t="array" ref="F79">IFERROR(_xlfn.XLOOKUP(Table13[[#This Row],[Date]],Raw_Data[[#All],[Date]],Raw_Data[[#All],[Operating Hours]]),"")</f>
        <v>11.816666666666666</v>
      </c>
      <c r="G79" s="136">
        <f>IFERROR(_xlfn.XLOOKUP($A79,'Raw Data'!$G:$G,'Raw Data'!S:S)/1000,"")</f>
        <v>3.86</v>
      </c>
      <c r="H79" s="136"/>
      <c r="I79" s="136">
        <f>IFERROR(_xlfn.XLOOKUP($A79,'Raw Data'!$G:$G,'Raw Data'!AF:AF)/1000,"")</f>
        <v>3.83</v>
      </c>
      <c r="J79" s="136"/>
      <c r="K79" s="137">
        <f>IFERROR(_xlfn.XLOOKUP($A79,'Raw Data'!$G:$G,'Raw Data'!W:W),"")</f>
        <v>25.092440852312976</v>
      </c>
      <c r="L79" s="136">
        <f>IFERROR(_xlfn.XLOOKUP($A79,'Raw Data'!$G:$G,'Raw Data'!X:X),"")</f>
        <v>33.229167927486799</v>
      </c>
      <c r="M79" s="136">
        <f>IFERROR(_xlfn.XLOOKUP($A79,'Raw Data'!$G:$G,'Raw Data'!Y:Y),"")</f>
        <v>1.4089296211659068</v>
      </c>
      <c r="N79" s="136">
        <f>IFERROR(_xlfn.XLOOKUP($A79,'Raw Data'!$G:$G,'Raw Data'!Z:Z),"")</f>
        <v>5.8478641510009766</v>
      </c>
      <c r="O79" s="176">
        <f>IFERROR(1-SUMIF('Plant BD'!$B:$B,$A79,'Plant BD'!$AM:$AM)/($AA79+SUMIF('Plant BD'!$B:$B,$A79,'Plant BD'!$AM:$AM)),"")</f>
        <v>0.99474170167985776</v>
      </c>
      <c r="P79" s="176"/>
      <c r="Q79" s="177"/>
      <c r="R79" s="176">
        <f>IFERROR(1-SUMIF('Grid BD'!$B:$B,$A79,'Grid BD'!$AE:$AE)/($AA79+SUMIF('Grid BD'!$B:$B,$A79,'Grid BD'!$AE:$AE)),"")</f>
        <v>1</v>
      </c>
      <c r="S79" s="17"/>
      <c r="T79" s="177">
        <f>IFERROR(1-SUMIF(Tracker_BD!H:H,$A79,Tracker_BD!AI:AI)/$F79,"")</f>
        <v>1</v>
      </c>
      <c r="U79" s="178">
        <f t="shared" si="7"/>
        <v>0.74668311390548914</v>
      </c>
      <c r="V79" s="17"/>
      <c r="W79" s="164">
        <f t="shared" si="8"/>
        <v>0.11915818026075096</v>
      </c>
      <c r="X79" s="17">
        <f>IFERROR(_xlfn.XLOOKUP($A79,'Raw Data'!$G:$G,'Raw Data'!AB:AB),"")</f>
        <v>31073</v>
      </c>
      <c r="Y79" s="17">
        <f>IFERROR(_xlfn.XLOOKUP($A79,'Raw Data'!$G:$G,'Raw Data'!AC:AC),"")</f>
        <v>30367.499999993015</v>
      </c>
      <c r="Z79" s="38">
        <f>IFERROR(_xlfn.XLOOKUP($A79,'Raw Data'!$G:$G,'Raw Data'!AD:AD),"")</f>
        <v>319.61999999996493</v>
      </c>
      <c r="AA79" s="38">
        <f>IFERROR(_xlfn.XLOOKUP($A79,'Raw Data'!$G:$G,'Raw Data'!AE:AE)*(1+(_xlfn.XLOOKUP(Table13[[#This Row],[Month Year]],JMR!$A:$A,JMR!$J:$J))),"")</f>
        <v>30047.879999993049</v>
      </c>
      <c r="AB79" s="17">
        <f>_xlfn.XLOOKUP($D79,'Modelling New'!D:D,'Modelling New'!N:N)</f>
        <v>10.507</v>
      </c>
      <c r="AC79" s="24">
        <f>IFERROR(_xlfn.XLOOKUP($D79,'Modelling New'!$D:$D,'Modelling New'!P:P),"")</f>
        <v>5.2372339522000004</v>
      </c>
      <c r="AD79" s="38">
        <f>IFERROR(_xlfn.XLOOKUP($D79,'Modelling New'!$D:$D,'Modelling New'!T:T)*1000,"")</f>
        <v>37399.828631840392</v>
      </c>
      <c r="AE79" s="164">
        <f t="shared" si="9"/>
        <v>0.67965560892027499</v>
      </c>
      <c r="AF79" s="164">
        <f>IFERROR(_xlfn.XLOOKUP($D79,'Modelling New'!$D:$D,'Modelling New'!W:W),"")</f>
        <v>0.14831314295168455</v>
      </c>
      <c r="AG79" s="164">
        <f>IFERROR(_xlfn.XLOOKUP($D79,'Modelling New'!$D:$D,'Modelling New'!AD:AD),"")</f>
        <v>0.995</v>
      </c>
      <c r="AH79" s="164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64"/>
      <c r="AO79" s="164"/>
      <c r="AP79" s="164"/>
      <c r="AQ79" s="164"/>
      <c r="AR79" s="38">
        <f>IFERROR(_xlfn.XLOOKUP($D79,'Modelling New'!$D:$D,'Modelling New'!$N:$N),"")</f>
        <v>10.507</v>
      </c>
      <c r="AS79" s="38"/>
      <c r="AT79" s="38">
        <f>IFERROR(_xlfn.XLOOKUP(Table13[[#This Row],[Date]],'Raw Data'!$G:$G,'Raw Data'!$AJ:$AJ),"")</f>
        <v>0</v>
      </c>
      <c r="AU79" s="38">
        <f>IFERROR(_xlfn.XLOOKUP(Table13[[#This Row],[Month Year]],'Modelling New'!$D:$D,'Modelling New'!$AN:$AN),"")</f>
        <v>10</v>
      </c>
      <c r="AV79" s="38">
        <f>SUMIF('Curtailment records'!$C:$C,Table13[[#This Row],[Date]],'Curtailment records'!$R:$R)/1000</f>
        <v>0</v>
      </c>
    </row>
    <row r="80" spans="1:48">
      <c r="A80" s="66">
        <f t="shared" si="10"/>
        <v>45823</v>
      </c>
      <c r="B80" s="38">
        <f>YEAR(Table13[[#This Row],[Date]])+IF(MONTH(Table13[[#This Row],[Date]])&gt;=4,1,0)</f>
        <v>2026</v>
      </c>
      <c r="C80" s="17">
        <f>YEAR(Table13[[#This Row],[Date]])</f>
        <v>2025</v>
      </c>
      <c r="D80" s="37">
        <f>Table13[[#This Row],[Date]]-DAY(Table13[[#This Row],[Date]])+1</f>
        <v>45809</v>
      </c>
      <c r="E80" s="17">
        <f t="shared" si="11"/>
        <v>30</v>
      </c>
      <c r="F80" s="135" cm="1">
        <f t="array" ref="F80">IFERROR(_xlfn.XLOOKUP(Table13[[#This Row],[Date]],Raw_Data[[#All],[Date]],Raw_Data[[#All],[Operating Hours]]),"")</f>
        <v>12.566666666666666</v>
      </c>
      <c r="G80" s="24">
        <f>IFERROR(_xlfn.XLOOKUP($A80,'Raw Data'!$G:$G,'Raw Data'!S:S)/1000,"")</f>
        <v>3.1</v>
      </c>
      <c r="H80" s="24"/>
      <c r="I80" s="24">
        <f>IFERROR(_xlfn.XLOOKUP($A80,'Raw Data'!$G:$G,'Raw Data'!AF:AF)/1000,"")</f>
        <v>3</v>
      </c>
      <c r="J80" s="24"/>
      <c r="K80" s="137">
        <f>IFERROR(_xlfn.XLOOKUP($A80,'Raw Data'!$G:$G,'Raw Data'!W:W),"")</f>
        <v>23.93791664718951</v>
      </c>
      <c r="L80" s="136">
        <f>IFERROR(_xlfn.XLOOKUP($A80,'Raw Data'!$G:$G,'Raw Data'!X:X),"")</f>
        <v>28.827954045048468</v>
      </c>
      <c r="M80" s="136">
        <f>IFERROR(_xlfn.XLOOKUP($A80,'Raw Data'!$G:$G,'Raw Data'!Y:Y),"")</f>
        <v>2.9793625843745692</v>
      </c>
      <c r="N80" s="136">
        <f>IFERROR(_xlfn.XLOOKUP($A80,'Raw Data'!$G:$G,'Raw Data'!Z:Z),"")</f>
        <v>8.7773237228393555</v>
      </c>
      <c r="O80" s="176">
        <f>IFERROR(1-SUMIF('Plant BD'!$B:$B,$A80,'Plant BD'!$AM:$AM)/($AA80+SUMIF('Plant BD'!$B:$B,$A80,'Plant BD'!$AM:$AM)),"")</f>
        <v>1</v>
      </c>
      <c r="P80" s="176"/>
      <c r="Q80" s="177"/>
      <c r="R80" s="179">
        <f>IFERROR(1-SUMIF('Grid BD'!$B:$B,$A80,'Grid BD'!$AE:$AE)/($AA80+SUMIF('Grid BD'!$B:$B,$A80,'Grid BD'!$AE:$AE)),"")</f>
        <v>1</v>
      </c>
      <c r="S80" s="17"/>
      <c r="T80" s="177">
        <f>IFERROR(1-SUMIF(Tracker_BD!H:H,$A80,Tracker_BD!AI:AI)/$F80,"")</f>
        <v>1</v>
      </c>
      <c r="U80" s="178">
        <f t="shared" si="7"/>
        <v>0.7847707877290615</v>
      </c>
      <c r="V80" s="17"/>
      <c r="W80" s="164">
        <f t="shared" si="8"/>
        <v>9.8096348466132688E-2</v>
      </c>
      <c r="X80" s="17">
        <f>IFERROR(_xlfn.XLOOKUP($A80,'Raw Data'!$G:$G,'Raw Data'!AB:AB),"")</f>
        <v>26612</v>
      </c>
      <c r="Y80" s="17">
        <f>IFERROR(_xlfn.XLOOKUP($A80,'Raw Data'!$G:$G,'Raw Data'!AC:AC),"")</f>
        <v>25025.900000007823</v>
      </c>
      <c r="Z80" s="38">
        <f>IFERROR(_xlfn.XLOOKUP($A80,'Raw Data'!$G:$G,'Raw Data'!AD:AD),"")</f>
        <v>289.14000000007434</v>
      </c>
      <c r="AA80" s="38">
        <f>IFERROR(_xlfn.XLOOKUP($A80,'Raw Data'!$G:$G,'Raw Data'!AE:AE)*(1+(_xlfn.XLOOKUP(Table13[[#This Row],[Month Year]],JMR!$A:$A,JMR!$J:$J))),"")</f>
        <v>24736.760000007747</v>
      </c>
      <c r="AB80" s="17">
        <f>_xlfn.XLOOKUP($D80,'Modelling New'!D:D,'Modelling New'!N:N)</f>
        <v>10.507</v>
      </c>
      <c r="AC80" s="24">
        <f>IFERROR(_xlfn.XLOOKUP($D80,'Modelling New'!$D:$D,'Modelling New'!P:P),"")</f>
        <v>5.2372339522000004</v>
      </c>
      <c r="AD80" s="38">
        <f>IFERROR(_xlfn.XLOOKUP($D80,'Modelling New'!$D:$D,'Modelling New'!T:T)*1000,"")</f>
        <v>37399.828631840392</v>
      </c>
      <c r="AE80" s="164">
        <f t="shared" si="9"/>
        <v>0.67965560892027499</v>
      </c>
      <c r="AF80" s="164">
        <f>IFERROR(_xlfn.XLOOKUP($D80,'Modelling New'!$D:$D,'Modelling New'!W:W),"")</f>
        <v>0.14831314295168455</v>
      </c>
      <c r="AG80" s="164">
        <f>IFERROR(_xlfn.XLOOKUP($D80,'Modelling New'!$D:$D,'Modelling New'!AD:AD),"")</f>
        <v>0.995</v>
      </c>
      <c r="AH80" s="164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64"/>
      <c r="AO80" s="164"/>
      <c r="AP80" s="164"/>
      <c r="AQ80" s="164"/>
      <c r="AR80" s="38">
        <f>IFERROR(_xlfn.XLOOKUP($D80,'Modelling New'!$D:$D,'Modelling New'!$N:$N),"")</f>
        <v>10.507</v>
      </c>
      <c r="AS80" s="38"/>
      <c r="AT80" s="38">
        <f>IFERROR(_xlfn.XLOOKUP(Table13[[#This Row],[Date]],'Raw Data'!$G:$G,'Raw Data'!$AJ:$AJ),"")</f>
        <v>0</v>
      </c>
      <c r="AU80" s="38">
        <f>IFERROR(_xlfn.XLOOKUP(Table13[[#This Row],[Month Year]],'Modelling New'!$D:$D,'Modelling New'!$AN:$AN),"")</f>
        <v>10</v>
      </c>
      <c r="AV80" s="38">
        <f>SUMIF('Curtailment records'!$C:$C,Table13[[#This Row],[Date]],'Curtailment records'!$R:$R)/1000</f>
        <v>0</v>
      </c>
    </row>
    <row r="81" spans="1:48">
      <c r="A81" s="66">
        <f t="shared" si="10"/>
        <v>45824</v>
      </c>
      <c r="B81" s="38">
        <f>YEAR(Table13[[#This Row],[Date]])+IF(MONTH(Table13[[#This Row],[Date]])&gt;=4,1,0)</f>
        <v>2026</v>
      </c>
      <c r="C81" s="17">
        <f>YEAR(Table13[[#This Row],[Date]])</f>
        <v>2025</v>
      </c>
      <c r="D81" s="37">
        <f>Table13[[#This Row],[Date]]-DAY(Table13[[#This Row],[Date]])+1</f>
        <v>45809</v>
      </c>
      <c r="E81" s="17">
        <f t="shared" si="11"/>
        <v>30</v>
      </c>
      <c r="F81" s="135" cm="1">
        <f t="array" ref="F81">IFERROR(_xlfn.XLOOKUP(Table13[[#This Row],[Date]],Raw_Data[[#All],[Date]],Raw_Data[[#All],[Operating Hours]]),"")</f>
        <v>12.483333333333334</v>
      </c>
      <c r="G81" s="136">
        <f>IFERROR(_xlfn.XLOOKUP($A81,'Raw Data'!$G:$G,'Raw Data'!S:S)/1000,"")</f>
        <v>4.1100000000000003</v>
      </c>
      <c r="H81" s="136"/>
      <c r="I81" s="136">
        <f>IFERROR(_xlfn.XLOOKUP($A81,'Raw Data'!$G:$G,'Raw Data'!AF:AF)/1000,"")</f>
        <v>4.2549999999999999</v>
      </c>
      <c r="J81" s="136"/>
      <c r="K81" s="137">
        <f>IFERROR(_xlfn.XLOOKUP($A81,'Raw Data'!$G:$G,'Raw Data'!W:W),"")</f>
        <v>24.538977249145507</v>
      </c>
      <c r="L81" s="136">
        <f>IFERROR(_xlfn.XLOOKUP($A81,'Raw Data'!$G:$G,'Raw Data'!X:X),"")</f>
        <v>31.517718302408856</v>
      </c>
      <c r="M81" s="136">
        <f>IFERROR(_xlfn.XLOOKUP($A81,'Raw Data'!$G:$G,'Raw Data'!Y:Y),"")</f>
        <v>2.6536582102775572</v>
      </c>
      <c r="N81" s="136">
        <f>IFERROR(_xlfn.XLOOKUP($A81,'Raw Data'!$G:$G,'Raw Data'!Z:Z),"")</f>
        <v>10.318573951721191</v>
      </c>
      <c r="O81" s="176">
        <f>IFERROR(1-SUMIF('Plant BD'!$B:$B,$A81,'Plant BD'!$AM:$AM)/($AA81+SUMIF('Plant BD'!$B:$B,$A81,'Plant BD'!$AM:$AM)),"")</f>
        <v>0.99684793859847109</v>
      </c>
      <c r="P81" s="176"/>
      <c r="Q81" s="177"/>
      <c r="R81" s="176">
        <f>IFERROR(1-SUMIF('Grid BD'!$B:$B,$A81,'Grid BD'!$AE:$AE)/($AA81+SUMIF('Grid BD'!$B:$B,$A81,'Grid BD'!$AE:$AE)),"")</f>
        <v>1</v>
      </c>
      <c r="S81" s="17"/>
      <c r="T81" s="177">
        <f>IFERROR(1-SUMIF(Tracker_BD!H:H,$A81,Tracker_BD!AI:AI)/$F81,"")</f>
        <v>1</v>
      </c>
      <c r="U81" s="178">
        <f t="shared" si="7"/>
        <v>0.74332315192031984</v>
      </c>
      <c r="V81" s="17"/>
      <c r="W81" s="164">
        <f t="shared" si="8"/>
        <v>0.13178500047587338</v>
      </c>
      <c r="X81" s="17">
        <f>IFERROR(_xlfn.XLOOKUP($A81,'Raw Data'!$G:$G,'Raw Data'!AB:AB),"")</f>
        <v>33684</v>
      </c>
      <c r="Y81" s="17">
        <f>IFERROR(_xlfn.XLOOKUP($A81,'Raw Data'!$G:$G,'Raw Data'!AC:AC),"")</f>
        <v>33533.699999999953</v>
      </c>
      <c r="Z81" s="38">
        <f>IFERROR(_xlfn.XLOOKUP($A81,'Raw Data'!$G:$G,'Raw Data'!AD:AD),"")</f>
        <v>301.73999999991707</v>
      </c>
      <c r="AA81" s="38">
        <f>IFERROR(_xlfn.XLOOKUP($A81,'Raw Data'!$G:$G,'Raw Data'!AE:AE)*(1+(_xlfn.XLOOKUP(Table13[[#This Row],[Month Year]],JMR!$A:$A,JMR!$J:$J))),"")</f>
        <v>33231.960000000036</v>
      </c>
      <c r="AB81" s="17">
        <f>_xlfn.XLOOKUP($D81,'Modelling New'!D:D,'Modelling New'!N:N)</f>
        <v>10.507</v>
      </c>
      <c r="AC81" s="24">
        <f>IFERROR(_xlfn.XLOOKUP($D81,'Modelling New'!$D:$D,'Modelling New'!P:P),"")</f>
        <v>5.2372339522000004</v>
      </c>
      <c r="AD81" s="38">
        <f>IFERROR(_xlfn.XLOOKUP($D81,'Modelling New'!$D:$D,'Modelling New'!T:T)*1000,"")</f>
        <v>37399.828631840392</v>
      </c>
      <c r="AE81" s="164">
        <f t="shared" si="9"/>
        <v>0.67965560892027499</v>
      </c>
      <c r="AF81" s="164">
        <f>IFERROR(_xlfn.XLOOKUP($D81,'Modelling New'!$D:$D,'Modelling New'!W:W),"")</f>
        <v>0.14831314295168455</v>
      </c>
      <c r="AG81" s="164">
        <f>IFERROR(_xlfn.XLOOKUP($D81,'Modelling New'!$D:$D,'Modelling New'!AD:AD),"")</f>
        <v>0.995</v>
      </c>
      <c r="AH81" s="164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64"/>
      <c r="AO81" s="164"/>
      <c r="AP81" s="164"/>
      <c r="AQ81" s="164"/>
      <c r="AR81" s="38">
        <f>IFERROR(_xlfn.XLOOKUP($D81,'Modelling New'!$D:$D,'Modelling New'!$N:$N),"")</f>
        <v>10.507</v>
      </c>
      <c r="AS81" s="38"/>
      <c r="AT81" s="38">
        <f>IFERROR(_xlfn.XLOOKUP(Table13[[#This Row],[Date]],'Raw Data'!$G:$G,'Raw Data'!$AJ:$AJ),"")</f>
        <v>0</v>
      </c>
      <c r="AU81" s="38">
        <f>IFERROR(_xlfn.XLOOKUP(Table13[[#This Row],[Month Year]],'Modelling New'!$D:$D,'Modelling New'!$AN:$AN),"")</f>
        <v>10</v>
      </c>
      <c r="AV81" s="38">
        <f>SUMIF('Curtailment records'!$C:$C,Table13[[#This Row],[Date]],'Curtailment records'!$R:$R)/1000</f>
        <v>0</v>
      </c>
    </row>
    <row r="82" spans="1:48">
      <c r="A82" s="66">
        <f t="shared" si="10"/>
        <v>45825</v>
      </c>
      <c r="B82" s="38">
        <f>YEAR(Table13[[#This Row],[Date]])+IF(MONTH(Table13[[#This Row],[Date]])&gt;=4,1,0)</f>
        <v>2026</v>
      </c>
      <c r="C82" s="17">
        <f>YEAR(Table13[[#This Row],[Date]])</f>
        <v>2025</v>
      </c>
      <c r="D82" s="37">
        <f>Table13[[#This Row],[Date]]-DAY(Table13[[#This Row],[Date]])+1</f>
        <v>45809</v>
      </c>
      <c r="E82" s="17">
        <f t="shared" si="11"/>
        <v>30</v>
      </c>
      <c r="F82" s="135" cm="1">
        <f t="array" ref="F82">IFERROR(_xlfn.XLOOKUP(Table13[[#This Row],[Date]],Raw_Data[[#All],[Date]],Raw_Data[[#All],[Operating Hours]]),"")</f>
        <v>12.483333333333334</v>
      </c>
      <c r="G82" s="24">
        <f>IFERROR(_xlfn.XLOOKUP($A82,'Raw Data'!$G:$G,'Raw Data'!S:S)/1000,"")</f>
        <v>3.62</v>
      </c>
      <c r="H82" s="24"/>
      <c r="I82" s="24">
        <f>IFERROR(_xlfn.XLOOKUP($A82,'Raw Data'!$G:$G,'Raw Data'!AF:AF)/1000,"")</f>
        <v>3.54</v>
      </c>
      <c r="J82" s="24"/>
      <c r="K82" s="137">
        <f>IFERROR(_xlfn.XLOOKUP($A82,'Raw Data'!$G:$G,'Raw Data'!W:W),"")</f>
        <v>24.528076024373373</v>
      </c>
      <c r="L82" s="136">
        <f>IFERROR(_xlfn.XLOOKUP($A82,'Raw Data'!$G:$G,'Raw Data'!X:X),"")</f>
        <v>31.07086433919271</v>
      </c>
      <c r="M82" s="136">
        <f>IFERROR(_xlfn.XLOOKUP($A82,'Raw Data'!$G:$G,'Raw Data'!Y:Y),"")</f>
        <v>1.4826480921109517</v>
      </c>
      <c r="N82" s="136">
        <f>IFERROR(_xlfn.XLOOKUP($A82,'Raw Data'!$G:$G,'Raw Data'!Z:Z),"")</f>
        <v>6.9410510063171387</v>
      </c>
      <c r="O82" s="176">
        <f>IFERROR(1-SUMIF('Plant BD'!$B:$B,$A82,'Plant BD'!$AM:$AM)/($AA82+SUMIF('Plant BD'!$B:$B,$A82,'Plant BD'!$AM:$AM)),"")</f>
        <v>1</v>
      </c>
      <c r="P82" s="176"/>
      <c r="Q82" s="177"/>
      <c r="R82" s="179">
        <f>IFERROR(1-SUMIF('Grid BD'!$B:$B,$A82,'Grid BD'!$AE:$AE)/($AA82+SUMIF('Grid BD'!$B:$B,$A82,'Grid BD'!$AE:$AE)),"")</f>
        <v>1</v>
      </c>
      <c r="S82" s="17"/>
      <c r="T82" s="177">
        <f>IFERROR(1-SUMIF(Tracker_BD!H:H,$A82,Tracker_BD!AI:AI)/$F82,"")</f>
        <v>1</v>
      </c>
      <c r="U82" s="178">
        <f t="shared" si="7"/>
        <v>0.77361285642747957</v>
      </c>
      <c r="V82" s="17"/>
      <c r="W82" s="164">
        <f t="shared" si="8"/>
        <v>0.11410789632305324</v>
      </c>
      <c r="X82" s="17">
        <f>IFERROR(_xlfn.XLOOKUP($A82,'Raw Data'!$G:$G,'Raw Data'!AB:AB),"")</f>
        <v>29956</v>
      </c>
      <c r="Y82" s="17">
        <f>IFERROR(_xlfn.XLOOKUP($A82,'Raw Data'!$G:$G,'Raw Data'!AC:AC),"")</f>
        <v>29075.499999991735</v>
      </c>
      <c r="Z82" s="38">
        <f>IFERROR(_xlfn.XLOOKUP($A82,'Raw Data'!$G:$G,'Raw Data'!AD:AD),"")</f>
        <v>301.14000000004637</v>
      </c>
      <c r="AA82" s="38">
        <f>IFERROR(_xlfn.XLOOKUP($A82,'Raw Data'!$G:$G,'Raw Data'!AE:AE)*(1+(_xlfn.XLOOKUP(Table13[[#This Row],[Month Year]],JMR!$A:$A,JMR!$J:$J))),"")</f>
        <v>28774.359999991688</v>
      </c>
      <c r="AB82" s="17">
        <f>_xlfn.XLOOKUP($D82,'Modelling New'!D:D,'Modelling New'!N:N)</f>
        <v>10.507</v>
      </c>
      <c r="AC82" s="24">
        <f>IFERROR(_xlfn.XLOOKUP($D82,'Modelling New'!$D:$D,'Modelling New'!P:P),"")</f>
        <v>5.2372339522000004</v>
      </c>
      <c r="AD82" s="38">
        <f>IFERROR(_xlfn.XLOOKUP($D82,'Modelling New'!$D:$D,'Modelling New'!T:T)*1000,"")</f>
        <v>37399.828631840392</v>
      </c>
      <c r="AE82" s="164">
        <f t="shared" si="9"/>
        <v>0.67965560892027499</v>
      </c>
      <c r="AF82" s="164">
        <f>IFERROR(_xlfn.XLOOKUP($D82,'Modelling New'!$D:$D,'Modelling New'!W:W),"")</f>
        <v>0.14831314295168455</v>
      </c>
      <c r="AG82" s="164">
        <f>IFERROR(_xlfn.XLOOKUP($D82,'Modelling New'!$D:$D,'Modelling New'!AD:AD),"")</f>
        <v>0.995</v>
      </c>
      <c r="AH82" s="164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64"/>
      <c r="AO82" s="164"/>
      <c r="AP82" s="164"/>
      <c r="AQ82" s="164"/>
      <c r="AR82" s="38">
        <f>IFERROR(_xlfn.XLOOKUP($D82,'Modelling New'!$D:$D,'Modelling New'!$N:$N),"")</f>
        <v>10.507</v>
      </c>
      <c r="AS82" s="38"/>
      <c r="AT82" s="38">
        <f>IFERROR(_xlfn.XLOOKUP(Table13[[#This Row],[Date]],'Raw Data'!$G:$G,'Raw Data'!$AJ:$AJ),"")</f>
        <v>0</v>
      </c>
      <c r="AU82" s="38">
        <f>IFERROR(_xlfn.XLOOKUP(Table13[[#This Row],[Month Year]],'Modelling New'!$D:$D,'Modelling New'!$AN:$AN),"")</f>
        <v>10</v>
      </c>
      <c r="AV82" s="38">
        <f>SUMIF('Curtailment records'!$C:$C,Table13[[#This Row],[Date]],'Curtailment records'!$R:$R)/1000</f>
        <v>0</v>
      </c>
    </row>
    <row r="83" spans="1:48">
      <c r="A83" s="66">
        <f t="shared" si="10"/>
        <v>45826</v>
      </c>
      <c r="B83" s="38">
        <f>YEAR(Table13[[#This Row],[Date]])+IF(MONTH(Table13[[#This Row],[Date]])&gt;=4,1,0)</f>
        <v>2026</v>
      </c>
      <c r="C83" s="17">
        <f>YEAR(Table13[[#This Row],[Date]])</f>
        <v>2025</v>
      </c>
      <c r="D83" s="37">
        <f>Table13[[#This Row],[Date]]-DAY(Table13[[#This Row],[Date]])+1</f>
        <v>45809</v>
      </c>
      <c r="E83" s="17">
        <f t="shared" si="11"/>
        <v>30</v>
      </c>
      <c r="F83" s="135" cm="1">
        <f t="array" ref="F83">IFERROR(_xlfn.XLOOKUP(Table13[[#This Row],[Date]],Raw_Data[[#All],[Date]],Raw_Data[[#All],[Operating Hours]]),"")</f>
        <v>12.533333333333335</v>
      </c>
      <c r="G83" s="136">
        <f>IFERROR(_xlfn.XLOOKUP($A83,'Raw Data'!$G:$G,'Raw Data'!S:S)/1000,"")</f>
        <v>4.1500000000000004</v>
      </c>
      <c r="H83" s="136"/>
      <c r="I83" s="136">
        <f>IFERROR(_xlfn.XLOOKUP($A83,'Raw Data'!$G:$G,'Raw Data'!AF:AF)/1000,"")</f>
        <v>4.2300000000000004</v>
      </c>
      <c r="J83" s="136"/>
      <c r="K83" s="137">
        <f>IFERROR(_xlfn.XLOOKUP($A83,'Raw Data'!$G:$G,'Raw Data'!W:W),"")</f>
        <v>25.385213816466717</v>
      </c>
      <c r="L83" s="136">
        <f>IFERROR(_xlfn.XLOOKUP($A83,'Raw Data'!$G:$G,'Raw Data'!X:X),"")</f>
        <v>34.011949455595584</v>
      </c>
      <c r="M83" s="136">
        <f>IFERROR(_xlfn.XLOOKUP($A83,'Raw Data'!$G:$G,'Raw Data'!Y:Y),"")</f>
        <v>0.74290948647110266</v>
      </c>
      <c r="N83" s="136">
        <f>IFERROR(_xlfn.XLOOKUP($A83,'Raw Data'!$G:$G,'Raw Data'!Z:Z),"")</f>
        <v>3.3509926795959473</v>
      </c>
      <c r="O83" s="176">
        <f>IFERROR(1-SUMIF('Plant BD'!$B:$B,$A83,'Plant BD'!$AM:$AM)/($AA83+SUMIF('Plant BD'!$B:$B,$A83,'Plant BD'!$AM:$AM)),"")</f>
        <v>1</v>
      </c>
      <c r="P83" s="176"/>
      <c r="Q83" s="177"/>
      <c r="R83" s="176">
        <f>IFERROR(1-SUMIF('Grid BD'!$B:$B,$A83,'Grid BD'!$AE:$AE)/($AA83+SUMIF('Grid BD'!$B:$B,$A83,'Grid BD'!$AE:$AE)),"")</f>
        <v>1</v>
      </c>
      <c r="S83" s="17"/>
      <c r="T83" s="177">
        <f>IFERROR(1-SUMIF(Tracker_BD!H:H,$A83,Tracker_BD!AI:AI)/$F83,"")</f>
        <v>1</v>
      </c>
      <c r="U83" s="178">
        <f t="shared" si="7"/>
        <v>0.76069561640885164</v>
      </c>
      <c r="V83" s="17"/>
      <c r="W83" s="164">
        <f t="shared" si="8"/>
        <v>0.13407260239206009</v>
      </c>
      <c r="X83" s="17">
        <f>IFERROR(_xlfn.XLOOKUP($A83,'Raw Data'!$G:$G,'Raw Data'!AB:AB),"")</f>
        <v>34251</v>
      </c>
      <c r="Y83" s="17">
        <f>IFERROR(_xlfn.XLOOKUP($A83,'Raw Data'!$G:$G,'Raw Data'!AC:AC),"")</f>
        <v>34104.800000000978</v>
      </c>
      <c r="Z83" s="38">
        <f>IFERROR(_xlfn.XLOOKUP($A83,'Raw Data'!$G:$G,'Raw Data'!AD:AD),"")</f>
        <v>295.9799999999646</v>
      </c>
      <c r="AA83" s="38">
        <f>IFERROR(_xlfn.XLOOKUP($A83,'Raw Data'!$G:$G,'Raw Data'!AE:AE)*(1+(_xlfn.XLOOKUP(Table13[[#This Row],[Month Year]],JMR!$A:$A,JMR!$J:$J))),"")</f>
        <v>33808.820000001011</v>
      </c>
      <c r="AB83" s="17">
        <f>_xlfn.XLOOKUP($D83,'Modelling New'!D:D,'Modelling New'!N:N)</f>
        <v>10.507</v>
      </c>
      <c r="AC83" s="24">
        <f>IFERROR(_xlfn.XLOOKUP($D83,'Modelling New'!$D:$D,'Modelling New'!P:P),"")</f>
        <v>5.2372339522000004</v>
      </c>
      <c r="AD83" s="38">
        <f>IFERROR(_xlfn.XLOOKUP($D83,'Modelling New'!$D:$D,'Modelling New'!T:T)*1000,"")</f>
        <v>37399.828631840392</v>
      </c>
      <c r="AE83" s="164">
        <f t="shared" si="9"/>
        <v>0.67965560892027499</v>
      </c>
      <c r="AF83" s="164">
        <f>IFERROR(_xlfn.XLOOKUP($D83,'Modelling New'!$D:$D,'Modelling New'!W:W),"")</f>
        <v>0.14831314295168455</v>
      </c>
      <c r="AG83" s="164">
        <f>IFERROR(_xlfn.XLOOKUP($D83,'Modelling New'!$D:$D,'Modelling New'!AD:AD),"")</f>
        <v>0.995</v>
      </c>
      <c r="AH83" s="164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64"/>
      <c r="AO83" s="164"/>
      <c r="AP83" s="164"/>
      <c r="AQ83" s="164"/>
      <c r="AR83" s="38">
        <f>IFERROR(_xlfn.XLOOKUP($D83,'Modelling New'!$D:$D,'Modelling New'!$N:$N),"")</f>
        <v>10.507</v>
      </c>
      <c r="AS83" s="38"/>
      <c r="AT83" s="38">
        <f>IFERROR(_xlfn.XLOOKUP(Table13[[#This Row],[Date]],'Raw Data'!$G:$G,'Raw Data'!$AJ:$AJ),"")</f>
        <v>0</v>
      </c>
      <c r="AU83" s="38">
        <f>IFERROR(_xlfn.XLOOKUP(Table13[[#This Row],[Month Year]],'Modelling New'!$D:$D,'Modelling New'!$AN:$AN),"")</f>
        <v>10</v>
      </c>
      <c r="AV83" s="38">
        <f>SUMIF('Curtailment records'!$C:$C,Table13[[#This Row],[Date]],'Curtailment records'!$R:$R)/1000</f>
        <v>0</v>
      </c>
    </row>
    <row r="84" spans="1:48">
      <c r="A84" s="66">
        <f t="shared" si="10"/>
        <v>45827</v>
      </c>
      <c r="B84" s="38">
        <f>YEAR(Table13[[#This Row],[Date]])+IF(MONTH(Table13[[#This Row],[Date]])&gt;=4,1,0)</f>
        <v>2026</v>
      </c>
      <c r="C84" s="17">
        <f>YEAR(Table13[[#This Row],[Date]])</f>
        <v>2025</v>
      </c>
      <c r="D84" s="37">
        <f>Table13[[#This Row],[Date]]-DAY(Table13[[#This Row],[Date]])+1</f>
        <v>45809</v>
      </c>
      <c r="E84" s="17">
        <f t="shared" si="11"/>
        <v>30</v>
      </c>
      <c r="F84" s="135" cm="1">
        <f t="array" ref="F84">IFERROR(_xlfn.XLOOKUP(Table13[[#This Row],[Date]],Raw_Data[[#All],[Date]],Raw_Data[[#All],[Operating Hours]]),"")</f>
        <v>12.583333333333334</v>
      </c>
      <c r="G84" s="24">
        <f>IFERROR(_xlfn.XLOOKUP($A84,'Raw Data'!$G:$G,'Raw Data'!S:S)/1000,"")</f>
        <v>4.99</v>
      </c>
      <c r="H84" s="24"/>
      <c r="I84" s="24">
        <f>IFERROR(_xlfn.XLOOKUP($A84,'Raw Data'!$G:$G,'Raw Data'!AF:AF)/1000,"")</f>
        <v>5.0999999999999996</v>
      </c>
      <c r="J84" s="24"/>
      <c r="K84" s="137">
        <f>IFERROR(_xlfn.XLOOKUP($A84,'Raw Data'!$G:$G,'Raw Data'!W:W),"")</f>
        <v>26.036664026754874</v>
      </c>
      <c r="L84" s="136">
        <f>IFERROR(_xlfn.XLOOKUP($A84,'Raw Data'!$G:$G,'Raw Data'!X:X),"")</f>
        <v>35.68020456303995</v>
      </c>
      <c r="M84" s="136">
        <f>IFERROR(_xlfn.XLOOKUP($A84,'Raw Data'!$G:$G,'Raw Data'!Y:Y),"")</f>
        <v>0.64889132235416025</v>
      </c>
      <c r="N84" s="136">
        <f>IFERROR(_xlfn.XLOOKUP($A84,'Raw Data'!$G:$G,'Raw Data'!Z:Z),"")</f>
        <v>2.4967470169067383</v>
      </c>
      <c r="O84" s="176">
        <f>IFERROR(1-SUMIF('Plant BD'!$B:$B,$A84,'Plant BD'!$AM:$AM)/($AA84+SUMIF('Plant BD'!$B:$B,$A84,'Plant BD'!$AM:$AM)),"")</f>
        <v>0.98865057140195034</v>
      </c>
      <c r="P84" s="176"/>
      <c r="Q84" s="177"/>
      <c r="R84" s="179">
        <f>IFERROR(1-SUMIF('Grid BD'!$B:$B,$A84,'Grid BD'!$AE:$AE)/($AA84+SUMIF('Grid BD'!$B:$B,$A84,'Grid BD'!$AE:$AE)),"")</f>
        <v>1</v>
      </c>
      <c r="S84" s="17"/>
      <c r="T84" s="177">
        <f>IFERROR(1-SUMIF(Tracker_BD!H:H,$A84,Tracker_BD!AI:AI)/$F84,"")</f>
        <v>1</v>
      </c>
      <c r="U84" s="178">
        <f t="shared" si="7"/>
        <v>0.74960558507204444</v>
      </c>
      <c r="V84" s="17"/>
      <c r="W84" s="164">
        <f t="shared" si="8"/>
        <v>0.15929118682780943</v>
      </c>
      <c r="X84" s="17">
        <f>IFERROR(_xlfn.XLOOKUP($A84,'Raw Data'!$G:$G,'Raw Data'!AB:AB),"")</f>
        <v>39521</v>
      </c>
      <c r="Y84" s="17">
        <f>IFERROR(_xlfn.XLOOKUP($A84,'Raw Data'!$G:$G,'Raw Data'!AC:AC),"")</f>
        <v>40461.599999995087</v>
      </c>
      <c r="Z84" s="38">
        <f>IFERROR(_xlfn.XLOOKUP($A84,'Raw Data'!$G:$G,'Raw Data'!AD:AD),"")</f>
        <v>293.46000000003869</v>
      </c>
      <c r="AA84" s="38">
        <f>IFERROR(_xlfn.XLOOKUP($A84,'Raw Data'!$G:$G,'Raw Data'!AE:AE)*(1+(_xlfn.XLOOKUP(Table13[[#This Row],[Month Year]],JMR!$A:$A,JMR!$J:$J))),"")</f>
        <v>40168.139999995052</v>
      </c>
      <c r="AB84" s="17">
        <f>_xlfn.XLOOKUP($D84,'Modelling New'!D:D,'Modelling New'!N:N)</f>
        <v>10.507</v>
      </c>
      <c r="AC84" s="24">
        <f>IFERROR(_xlfn.XLOOKUP($D84,'Modelling New'!$D:$D,'Modelling New'!P:P),"")</f>
        <v>5.2372339522000004</v>
      </c>
      <c r="AD84" s="38">
        <f>IFERROR(_xlfn.XLOOKUP($D84,'Modelling New'!$D:$D,'Modelling New'!T:T)*1000,"")</f>
        <v>37399.828631840392</v>
      </c>
      <c r="AE84" s="164">
        <f t="shared" si="9"/>
        <v>0.67965560892027499</v>
      </c>
      <c r="AF84" s="164">
        <f>IFERROR(_xlfn.XLOOKUP($D84,'Modelling New'!$D:$D,'Modelling New'!W:W),"")</f>
        <v>0.14831314295168455</v>
      </c>
      <c r="AG84" s="164">
        <f>IFERROR(_xlfn.XLOOKUP($D84,'Modelling New'!$D:$D,'Modelling New'!AD:AD),"")</f>
        <v>0.995</v>
      </c>
      <c r="AH84" s="164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64"/>
      <c r="AO84" s="164"/>
      <c r="AP84" s="164"/>
      <c r="AQ84" s="164"/>
      <c r="AR84" s="38">
        <f>IFERROR(_xlfn.XLOOKUP($D84,'Modelling New'!$D:$D,'Modelling New'!$N:$N),"")</f>
        <v>10.507</v>
      </c>
      <c r="AS84" s="38"/>
      <c r="AT84" s="38">
        <f>IFERROR(_xlfn.XLOOKUP(Table13[[#This Row],[Date]],'Raw Data'!$G:$G,'Raw Data'!$AJ:$AJ),"")</f>
        <v>0</v>
      </c>
      <c r="AU84" s="38">
        <f>IFERROR(_xlfn.XLOOKUP(Table13[[#This Row],[Month Year]],'Modelling New'!$D:$D,'Modelling New'!$AN:$AN),"")</f>
        <v>10</v>
      </c>
      <c r="AV84" s="38">
        <f>SUMIF('Curtailment records'!$C:$C,Table13[[#This Row],[Date]],'Curtailment records'!$R:$R)/1000</f>
        <v>0</v>
      </c>
    </row>
    <row r="85" spans="1:48">
      <c r="A85" s="66">
        <f t="shared" si="10"/>
        <v>45828</v>
      </c>
      <c r="B85" s="38">
        <f>YEAR(Table13[[#This Row],[Date]])+IF(MONTH(Table13[[#This Row],[Date]])&gt;=4,1,0)</f>
        <v>2026</v>
      </c>
      <c r="C85" s="17">
        <f>YEAR(Table13[[#This Row],[Date]])</f>
        <v>2025</v>
      </c>
      <c r="D85" s="37">
        <f>Table13[[#This Row],[Date]]-DAY(Table13[[#This Row],[Date]])+1</f>
        <v>45809</v>
      </c>
      <c r="E85" s="17">
        <f t="shared" si="11"/>
        <v>30</v>
      </c>
      <c r="F85" s="135" cm="1">
        <f t="array" ref="F85">IFERROR(_xlfn.XLOOKUP(Table13[[#This Row],[Date]],Raw_Data[[#All],[Date]],Raw_Data[[#All],[Operating Hours]]),"")</f>
        <v>12.666666666666668</v>
      </c>
      <c r="G85" s="136">
        <f>IFERROR(_xlfn.XLOOKUP($A85,'Raw Data'!$G:$G,'Raw Data'!S:S)/1000,"")</f>
        <v>5.7</v>
      </c>
      <c r="H85" s="136"/>
      <c r="I85" s="136">
        <f>IFERROR(_xlfn.XLOOKUP($A85,'Raw Data'!$G:$G,'Raw Data'!AF:AF)/1000,"")</f>
        <v>6.12</v>
      </c>
      <c r="J85" s="136"/>
      <c r="K85" s="137">
        <f>IFERROR(_xlfn.XLOOKUP($A85,'Raw Data'!$G:$G,'Raw Data'!W:W),"")</f>
        <v>26.56112136689843</v>
      </c>
      <c r="L85" s="136">
        <f>IFERROR(_xlfn.XLOOKUP($A85,'Raw Data'!$G:$G,'Raw Data'!X:X),"")</f>
        <v>38.111448061497669</v>
      </c>
      <c r="M85" s="136">
        <f>IFERROR(_xlfn.XLOOKUP($A85,'Raw Data'!$G:$G,'Raw Data'!Y:Y),"")</f>
        <v>1.2774863270624961</v>
      </c>
      <c r="N85" s="136">
        <f>IFERROR(_xlfn.XLOOKUP($A85,'Raw Data'!$G:$G,'Raw Data'!Z:Z),"")</f>
        <v>6.5961613655090332</v>
      </c>
      <c r="O85" s="176">
        <f>IFERROR(1-SUMIF('Plant BD'!$B:$B,$A85,'Plant BD'!$AM:$AM)/($AA85+SUMIF('Plant BD'!$B:$B,$A85,'Plant BD'!$AM:$AM)),"")</f>
        <v>1</v>
      </c>
      <c r="P85" s="176"/>
      <c r="Q85" s="177"/>
      <c r="R85" s="176">
        <f>IFERROR(1-SUMIF('Grid BD'!$B:$B,$A85,'Grid BD'!$AE:$AE)/($AA85+SUMIF('Grid BD'!$B:$B,$A85,'Grid BD'!$AE:$AE)),"")</f>
        <v>1</v>
      </c>
      <c r="S85" s="17"/>
      <c r="T85" s="177">
        <f>IFERROR(1-SUMIF(Tracker_BD!H:H,$A85,Tracker_BD!AI:AI)/$F85,"")</f>
        <v>1</v>
      </c>
      <c r="U85" s="178">
        <f t="shared" si="7"/>
        <v>0.72751125766769476</v>
      </c>
      <c r="V85" s="17"/>
      <c r="W85" s="164">
        <f t="shared" si="8"/>
        <v>0.18551537070526217</v>
      </c>
      <c r="X85" s="17">
        <f>IFERROR(_xlfn.XLOOKUP($A85,'Raw Data'!$G:$G,'Raw Data'!AB:AB),"")</f>
        <v>45502</v>
      </c>
      <c r="Y85" s="17">
        <f>IFERROR(_xlfn.XLOOKUP($A85,'Raw Data'!$G:$G,'Raw Data'!AC:AC),"")</f>
        <v>47072.400000004563</v>
      </c>
      <c r="Z85" s="38">
        <f>IFERROR(_xlfn.XLOOKUP($A85,'Raw Data'!$G:$G,'Raw Data'!AD:AD),"")</f>
        <v>291.36000000001161</v>
      </c>
      <c r="AA85" s="38">
        <f>IFERROR(_xlfn.XLOOKUP($A85,'Raw Data'!$G:$G,'Raw Data'!AE:AE)*(1+(_xlfn.XLOOKUP(Table13[[#This Row],[Month Year]],JMR!$A:$A,JMR!$J:$J))),"")</f>
        <v>46781.040000004548</v>
      </c>
      <c r="AB85" s="17">
        <f>_xlfn.XLOOKUP($D85,'Modelling New'!D:D,'Modelling New'!N:N)</f>
        <v>10.507</v>
      </c>
      <c r="AC85" s="24">
        <f>IFERROR(_xlfn.XLOOKUP($D85,'Modelling New'!$D:$D,'Modelling New'!P:P),"")</f>
        <v>5.2372339522000004</v>
      </c>
      <c r="AD85" s="38">
        <f>IFERROR(_xlfn.XLOOKUP($D85,'Modelling New'!$D:$D,'Modelling New'!T:T)*1000,"")</f>
        <v>37399.828631840392</v>
      </c>
      <c r="AE85" s="164">
        <f t="shared" si="9"/>
        <v>0.67965560892027499</v>
      </c>
      <c r="AF85" s="164">
        <f>IFERROR(_xlfn.XLOOKUP($D85,'Modelling New'!$D:$D,'Modelling New'!W:W),"")</f>
        <v>0.14831314295168455</v>
      </c>
      <c r="AG85" s="164">
        <f>IFERROR(_xlfn.XLOOKUP($D85,'Modelling New'!$D:$D,'Modelling New'!AD:AD),"")</f>
        <v>0.995</v>
      </c>
      <c r="AH85" s="164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64"/>
      <c r="AO85" s="164"/>
      <c r="AP85" s="164"/>
      <c r="AQ85" s="164"/>
      <c r="AR85" s="38">
        <f>IFERROR(_xlfn.XLOOKUP($D85,'Modelling New'!$D:$D,'Modelling New'!$N:$N),"")</f>
        <v>10.507</v>
      </c>
      <c r="AS85" s="38"/>
      <c r="AT85" s="38">
        <f>IFERROR(_xlfn.XLOOKUP(Table13[[#This Row],[Date]],'Raw Data'!$G:$G,'Raw Data'!$AJ:$AJ),"")</f>
        <v>0</v>
      </c>
      <c r="AU85" s="38">
        <f>IFERROR(_xlfn.XLOOKUP(Table13[[#This Row],[Month Year]],'Modelling New'!$D:$D,'Modelling New'!$AN:$AN),"")</f>
        <v>10</v>
      </c>
      <c r="AV85" s="38">
        <f>SUMIF('Curtailment records'!$C:$C,Table13[[#This Row],[Date]],'Curtailment records'!$R:$R)/1000</f>
        <v>0</v>
      </c>
    </row>
    <row r="86" spans="1:48">
      <c r="A86" s="66">
        <f t="shared" si="10"/>
        <v>45829</v>
      </c>
      <c r="B86" s="38">
        <f>YEAR(Table13[[#This Row],[Date]])+IF(MONTH(Table13[[#This Row],[Date]])&gt;=4,1,0)</f>
        <v>2026</v>
      </c>
      <c r="C86" s="17">
        <f>YEAR(Table13[[#This Row],[Date]])</f>
        <v>2025</v>
      </c>
      <c r="D86" s="37">
        <f>Table13[[#This Row],[Date]]-DAY(Table13[[#This Row],[Date]])+1</f>
        <v>45809</v>
      </c>
      <c r="E86" s="17">
        <f t="shared" si="11"/>
        <v>30</v>
      </c>
      <c r="F86" s="135" cm="1">
        <f t="array" ref="F86">IFERROR(_xlfn.XLOOKUP(Table13[[#This Row],[Date]],Raw_Data[[#All],[Date]],Raw_Data[[#All],[Operating Hours]]),"")</f>
        <v>12.583333333333334</v>
      </c>
      <c r="G86" s="24">
        <f>IFERROR(_xlfn.XLOOKUP($A86,'Raw Data'!$G:$G,'Raw Data'!S:S)/1000,"")</f>
        <v>5.63</v>
      </c>
      <c r="H86" s="24"/>
      <c r="I86" s="24">
        <f>IFERROR(_xlfn.XLOOKUP($A86,'Raw Data'!$G:$G,'Raw Data'!AF:AF)/1000,"")</f>
        <v>5.915</v>
      </c>
      <c r="J86" s="24"/>
      <c r="K86" s="137">
        <f>IFERROR(_xlfn.XLOOKUP($A86,'Raw Data'!$G:$G,'Raw Data'!W:W),"")</f>
        <v>26.640337283018404</v>
      </c>
      <c r="L86" s="136">
        <f>IFERROR(_xlfn.XLOOKUP($A86,'Raw Data'!$G:$G,'Raw Data'!X:X),"")</f>
        <v>37.341550514180824</v>
      </c>
      <c r="M86" s="136">
        <f>IFERROR(_xlfn.XLOOKUP($A86,'Raw Data'!$G:$G,'Raw Data'!Y:Y),"")</f>
        <v>2.2367236468369369</v>
      </c>
      <c r="N86" s="136">
        <f>IFERROR(_xlfn.XLOOKUP($A86,'Raw Data'!$G:$G,'Raw Data'!Z:Z),"")</f>
        <v>6.78448486328125</v>
      </c>
      <c r="O86" s="176">
        <f>IFERROR(1-SUMIF('Plant BD'!$B:$B,$A86,'Plant BD'!$AM:$AM)/($AA86+SUMIF('Plant BD'!$B:$B,$A86,'Plant BD'!$AM:$AM)),"")</f>
        <v>1</v>
      </c>
      <c r="P86" s="176"/>
      <c r="Q86" s="177"/>
      <c r="R86" s="179">
        <f>IFERROR(1-SUMIF('Grid BD'!$B:$B,$A86,'Grid BD'!$AE:$AE)/($AA86+SUMIF('Grid BD'!$B:$B,$A86,'Grid BD'!$AE:$AE)),"")</f>
        <v>1</v>
      </c>
      <c r="S86" s="17"/>
      <c r="T86" s="177">
        <f>IFERROR(1-SUMIF(Tracker_BD!H:H,$A86,Tracker_BD!AI:AI)/$F86,"")</f>
        <v>1</v>
      </c>
      <c r="U86" s="178">
        <f t="shared" si="7"/>
        <v>0.74022993647271085</v>
      </c>
      <c r="V86" s="17"/>
      <c r="W86" s="164">
        <f t="shared" si="8"/>
        <v>0.18243583642650352</v>
      </c>
      <c r="X86" s="17">
        <f>IFERROR(_xlfn.XLOOKUP($A86,'Raw Data'!$G:$G,'Raw Data'!AB:AB),"")</f>
        <v>44583</v>
      </c>
      <c r="Y86" s="17">
        <f>IFERROR(_xlfn.XLOOKUP($A86,'Raw Data'!$G:$G,'Raw Data'!AC:AC),"")</f>
        <v>46294.699999998556</v>
      </c>
      <c r="Z86" s="38">
        <f>IFERROR(_xlfn.XLOOKUP($A86,'Raw Data'!$G:$G,'Raw Data'!AD:AD),"")</f>
        <v>290.22000000001213</v>
      </c>
      <c r="AA86" s="38">
        <f>IFERROR(_xlfn.XLOOKUP($A86,'Raw Data'!$G:$G,'Raw Data'!AE:AE)*(1+(_xlfn.XLOOKUP(Table13[[#This Row],[Month Year]],JMR!$A:$A,JMR!$J:$J))),"")</f>
        <v>46004.479999998541</v>
      </c>
      <c r="AB86" s="17">
        <f>_xlfn.XLOOKUP($D86,'Modelling New'!D:D,'Modelling New'!N:N)</f>
        <v>10.507</v>
      </c>
      <c r="AC86" s="24">
        <f>IFERROR(_xlfn.XLOOKUP($D86,'Modelling New'!$D:$D,'Modelling New'!P:P),"")</f>
        <v>5.2372339522000004</v>
      </c>
      <c r="AD86" s="38">
        <f>IFERROR(_xlfn.XLOOKUP($D86,'Modelling New'!$D:$D,'Modelling New'!T:T)*1000,"")</f>
        <v>37399.828631840392</v>
      </c>
      <c r="AE86" s="164">
        <f t="shared" si="9"/>
        <v>0.67965560892027499</v>
      </c>
      <c r="AF86" s="164">
        <f>IFERROR(_xlfn.XLOOKUP($D86,'Modelling New'!$D:$D,'Modelling New'!W:W),"")</f>
        <v>0.14831314295168455</v>
      </c>
      <c r="AG86" s="164">
        <f>IFERROR(_xlfn.XLOOKUP($D86,'Modelling New'!$D:$D,'Modelling New'!AD:AD),"")</f>
        <v>0.995</v>
      </c>
      <c r="AH86" s="164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64"/>
      <c r="AO86" s="164"/>
      <c r="AP86" s="164"/>
      <c r="AQ86" s="164"/>
      <c r="AR86" s="38">
        <f>IFERROR(_xlfn.XLOOKUP($D86,'Modelling New'!$D:$D,'Modelling New'!$N:$N),"")</f>
        <v>10.507</v>
      </c>
      <c r="AS86" s="38"/>
      <c r="AT86" s="38">
        <f>IFERROR(_xlfn.XLOOKUP(Table13[[#This Row],[Date]],'Raw Data'!$G:$G,'Raw Data'!$AJ:$AJ),"")</f>
        <v>0</v>
      </c>
      <c r="AU86" s="38">
        <f>IFERROR(_xlfn.XLOOKUP(Table13[[#This Row],[Month Year]],'Modelling New'!$D:$D,'Modelling New'!$AN:$AN),"")</f>
        <v>10</v>
      </c>
      <c r="AV86" s="38">
        <f>SUMIF('Curtailment records'!$C:$C,Table13[[#This Row],[Date]],'Curtailment records'!$R:$R)/1000</f>
        <v>0</v>
      </c>
    </row>
    <row r="87" spans="1:48">
      <c r="A87" s="66">
        <f t="shared" si="10"/>
        <v>45830</v>
      </c>
      <c r="B87" s="38">
        <f>YEAR(Table13[[#This Row],[Date]])+IF(MONTH(Table13[[#This Row],[Date]])&gt;=4,1,0)</f>
        <v>2026</v>
      </c>
      <c r="C87" s="17">
        <f>YEAR(Table13[[#This Row],[Date]])</f>
        <v>2025</v>
      </c>
      <c r="D87" s="37">
        <f>Table13[[#This Row],[Date]]-DAY(Table13[[#This Row],[Date]])+1</f>
        <v>45809</v>
      </c>
      <c r="E87" s="17">
        <f t="shared" si="11"/>
        <v>30</v>
      </c>
      <c r="F87" s="135" cm="1">
        <f t="array" ref="F87">IFERROR(_xlfn.XLOOKUP(Table13[[#This Row],[Date]],Raw_Data[[#All],[Date]],Raw_Data[[#All],[Operating Hours]]),"")</f>
        <v>12.616666666666667</v>
      </c>
      <c r="G87" s="136">
        <f>IFERROR(_xlfn.XLOOKUP($A87,'Raw Data'!$G:$G,'Raw Data'!S:S)/1000,"")</f>
        <v>0.65</v>
      </c>
      <c r="H87" s="136"/>
      <c r="I87" s="136">
        <f>IFERROR(_xlfn.XLOOKUP($A87,'Raw Data'!$G:$G,'Raw Data'!AF:AF)/1000,"")</f>
        <v>0.75</v>
      </c>
      <c r="J87" s="136"/>
      <c r="K87" s="137">
        <f>IFERROR(_xlfn.XLOOKUP($A87,'Raw Data'!$G:$G,'Raw Data'!W:W),"")</f>
        <v>25.122647747855066</v>
      </c>
      <c r="L87" s="136">
        <f>IFERROR(_xlfn.XLOOKUP($A87,'Raw Data'!$G:$G,'Raw Data'!X:X),"")</f>
        <v>32.989674795347014</v>
      </c>
      <c r="M87" s="136">
        <f>IFERROR(_xlfn.XLOOKUP($A87,'Raw Data'!$G:$G,'Raw Data'!Y:Y),"")</f>
        <v>1.894035002002616</v>
      </c>
      <c r="N87" s="136">
        <f>IFERROR(_xlfn.XLOOKUP($A87,'Raw Data'!$G:$G,'Raw Data'!Z:Z),"")</f>
        <v>7.7249999999999996</v>
      </c>
      <c r="O87" s="176">
        <f>IFERROR(1-SUMIF('Plant BD'!$B:$B,$A87,'Plant BD'!$AM:$AM)/($AA87+SUMIF('Plant BD'!$B:$B,$A87,'Plant BD'!$AM:$AM)),"")</f>
        <v>1</v>
      </c>
      <c r="P87" s="176"/>
      <c r="Q87" s="177"/>
      <c r="R87" s="176">
        <f>IFERROR(1-SUMIF('Grid BD'!$B:$B,$A87,'Grid BD'!$AE:$AE)/($AA87+SUMIF('Grid BD'!$B:$B,$A87,'Grid BD'!$AE:$AE)),"")</f>
        <v>0.9964612073597674</v>
      </c>
      <c r="S87" s="17"/>
      <c r="T87" s="177">
        <f>IFERROR(1-SUMIF(Tracker_BD!H:H,$A87,Tracker_BD!AI:AI)/$F87,"")</f>
        <v>1</v>
      </c>
      <c r="U87" s="178">
        <f t="shared" si="7"/>
        <v>0.87268804923736232</v>
      </c>
      <c r="V87" s="17"/>
      <c r="W87" s="164">
        <f t="shared" si="8"/>
        <v>2.7271501538667569E-2</v>
      </c>
      <c r="X87" s="17">
        <f>IFERROR(_xlfn.XLOOKUP($A87,'Raw Data'!$G:$G,'Raw Data'!AB:AB),"")</f>
        <v>11406</v>
      </c>
      <c r="Y87" s="17">
        <f>IFERROR(_xlfn.XLOOKUP($A87,'Raw Data'!$G:$G,'Raw Data'!AC:AC),"")</f>
        <v>7170.4000000027008</v>
      </c>
      <c r="Z87" s="38">
        <f>IFERROR(_xlfn.XLOOKUP($A87,'Raw Data'!$G:$G,'Raw Data'!AD:AD),"")</f>
        <v>293.39999999997701</v>
      </c>
      <c r="AA87" s="38">
        <f>IFERROR(_xlfn.XLOOKUP($A87,'Raw Data'!$G:$G,'Raw Data'!AE:AE)*(1+(_xlfn.XLOOKUP(Table13[[#This Row],[Month Year]],JMR!$A:$A,JMR!$J:$J))),"")</f>
        <v>6877.0000000027239</v>
      </c>
      <c r="AB87" s="17">
        <f>_xlfn.XLOOKUP($D87,'Modelling New'!D:D,'Modelling New'!N:N)</f>
        <v>10.507</v>
      </c>
      <c r="AC87" s="24">
        <f>IFERROR(_xlfn.XLOOKUP($D87,'Modelling New'!$D:$D,'Modelling New'!P:P),"")</f>
        <v>5.2372339522000004</v>
      </c>
      <c r="AD87" s="38">
        <f>IFERROR(_xlfn.XLOOKUP($D87,'Modelling New'!$D:$D,'Modelling New'!T:T)*1000,"")</f>
        <v>37399.828631840392</v>
      </c>
      <c r="AE87" s="164">
        <f t="shared" si="9"/>
        <v>0.67965560892027499</v>
      </c>
      <c r="AF87" s="164">
        <f>IFERROR(_xlfn.XLOOKUP($D87,'Modelling New'!$D:$D,'Modelling New'!W:W),"")</f>
        <v>0.14831314295168455</v>
      </c>
      <c r="AG87" s="164">
        <f>IFERROR(_xlfn.XLOOKUP($D87,'Modelling New'!$D:$D,'Modelling New'!AD:AD),"")</f>
        <v>0.995</v>
      </c>
      <c r="AH87" s="164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64"/>
      <c r="AO87" s="164"/>
      <c r="AP87" s="164"/>
      <c r="AQ87" s="164"/>
      <c r="AR87" s="38">
        <f>IFERROR(_xlfn.XLOOKUP($D87,'Modelling New'!$D:$D,'Modelling New'!$N:$N),"")</f>
        <v>10.507</v>
      </c>
      <c r="AS87" s="38"/>
      <c r="AT87" s="38">
        <f>IFERROR(_xlfn.XLOOKUP(Table13[[#This Row],[Date]],'Raw Data'!$G:$G,'Raw Data'!$AJ:$AJ),"")</f>
        <v>0</v>
      </c>
      <c r="AU87" s="38">
        <f>IFERROR(_xlfn.XLOOKUP(Table13[[#This Row],[Month Year]],'Modelling New'!$D:$D,'Modelling New'!$AN:$AN),"")</f>
        <v>10</v>
      </c>
      <c r="AV87" s="38">
        <f>SUMIF('Curtailment records'!$C:$C,Table13[[#This Row],[Date]],'Curtailment records'!$R:$R)/1000</f>
        <v>0</v>
      </c>
    </row>
    <row r="88" spans="1:48">
      <c r="A88" s="66">
        <f t="shared" si="10"/>
        <v>45831</v>
      </c>
      <c r="B88" s="38">
        <f>YEAR(Table13[[#This Row],[Date]])+IF(MONTH(Table13[[#This Row],[Date]])&gt;=4,1,0)</f>
        <v>2026</v>
      </c>
      <c r="C88" s="17">
        <f>YEAR(Table13[[#This Row],[Date]])</f>
        <v>2025</v>
      </c>
      <c r="D88" s="37">
        <f>Table13[[#This Row],[Date]]-DAY(Table13[[#This Row],[Date]])+1</f>
        <v>45809</v>
      </c>
      <c r="E88" s="17">
        <f t="shared" si="11"/>
        <v>30</v>
      </c>
      <c r="F88" s="135" cm="1">
        <f t="array" ref="F88">IFERROR(_xlfn.XLOOKUP(Table13[[#This Row],[Date]],Raw_Data[[#All],[Date]],Raw_Data[[#All],[Operating Hours]]),"")</f>
        <v>12.350000000000001</v>
      </c>
      <c r="G88" s="24">
        <f>IFERROR(_xlfn.XLOOKUP($A88,'Raw Data'!$G:$G,'Raw Data'!S:S)/1000,"")</f>
        <v>4.83</v>
      </c>
      <c r="H88" s="24"/>
      <c r="I88" s="24">
        <f>IFERROR(_xlfn.XLOOKUP($A88,'Raw Data'!$G:$G,'Raw Data'!AF:AF)/1000,"")</f>
        <v>4.83</v>
      </c>
      <c r="J88" s="24"/>
      <c r="K88" s="137">
        <f>IFERROR(_xlfn.XLOOKUP($A88,'Raw Data'!$G:$G,'Raw Data'!W:W),"")</f>
        <v>25.377800517326417</v>
      </c>
      <c r="L88" s="136">
        <f>IFERROR(_xlfn.XLOOKUP($A88,'Raw Data'!$G:$G,'Raw Data'!X:X),"")</f>
        <v>33.838304010684276</v>
      </c>
      <c r="M88" s="136">
        <f>IFERROR(_xlfn.XLOOKUP($A88,'Raw Data'!$G:$G,'Raw Data'!Y:Y),"")</f>
        <v>2.78884566304176</v>
      </c>
      <c r="N88" s="136">
        <f>IFERROR(_xlfn.XLOOKUP($A88,'Raw Data'!$G:$G,'Raw Data'!Z:Z),"")</f>
        <v>8.3453655242919922</v>
      </c>
      <c r="O88" s="176">
        <f>IFERROR(1-SUMIF('Plant BD'!$B:$B,$A88,'Plant BD'!$AM:$AM)/($AA88+SUMIF('Plant BD'!$B:$B,$A88,'Plant BD'!$AM:$AM)),"")</f>
        <v>1</v>
      </c>
      <c r="P88" s="176"/>
      <c r="Q88" s="177"/>
      <c r="R88" s="179">
        <f>IFERROR(1-SUMIF('Grid BD'!$B:$B,$A88,'Grid BD'!$AE:$AE)/($AA88+SUMIF('Grid BD'!$B:$B,$A88,'Grid BD'!$AE:$AE)),"")</f>
        <v>1</v>
      </c>
      <c r="S88" s="17"/>
      <c r="T88" s="177">
        <f>IFERROR(1-SUMIF(Tracker_BD!H:H,$A88,Tracker_BD!AI:AI)/$F88,"")</f>
        <v>1</v>
      </c>
      <c r="U88" s="178">
        <f t="shared" si="7"/>
        <v>0.76740400415308208</v>
      </c>
      <c r="V88" s="17"/>
      <c r="W88" s="164">
        <f t="shared" si="8"/>
        <v>0.15444005583580778</v>
      </c>
      <c r="X88" s="17">
        <f>IFERROR(_xlfn.XLOOKUP($A88,'Raw Data'!$G:$G,'Raw Data'!AB:AB),"")</f>
        <v>38478</v>
      </c>
      <c r="Y88" s="17">
        <f>IFERROR(_xlfn.XLOOKUP($A88,'Raw Data'!$G:$G,'Raw Data'!AC:AC),"")</f>
        <v>39246.100000003935</v>
      </c>
      <c r="Z88" s="38">
        <f>IFERROR(_xlfn.XLOOKUP($A88,'Raw Data'!$G:$G,'Raw Data'!AD:AD),"")</f>
        <v>301.25999999995656</v>
      </c>
      <c r="AA88" s="38">
        <f>IFERROR(_xlfn.XLOOKUP($A88,'Raw Data'!$G:$G,'Raw Data'!AE:AE)*(1+(_xlfn.XLOOKUP(Table13[[#This Row],[Month Year]],JMR!$A:$A,JMR!$J:$J))),"")</f>
        <v>38944.840000003976</v>
      </c>
      <c r="AB88" s="17">
        <f>_xlfn.XLOOKUP($D88,'Modelling New'!D:D,'Modelling New'!N:N)</f>
        <v>10.507</v>
      </c>
      <c r="AC88" s="24">
        <f>IFERROR(_xlfn.XLOOKUP($D88,'Modelling New'!$D:$D,'Modelling New'!P:P),"")</f>
        <v>5.2372339522000004</v>
      </c>
      <c r="AD88" s="38">
        <f>IFERROR(_xlfn.XLOOKUP($D88,'Modelling New'!$D:$D,'Modelling New'!T:T)*1000,"")</f>
        <v>37399.828631840392</v>
      </c>
      <c r="AE88" s="164">
        <f t="shared" si="9"/>
        <v>0.67965560892027499</v>
      </c>
      <c r="AF88" s="164">
        <f>IFERROR(_xlfn.XLOOKUP($D88,'Modelling New'!$D:$D,'Modelling New'!W:W),"")</f>
        <v>0.14831314295168455</v>
      </c>
      <c r="AG88" s="164">
        <f>IFERROR(_xlfn.XLOOKUP($D88,'Modelling New'!$D:$D,'Modelling New'!AD:AD),"")</f>
        <v>0.995</v>
      </c>
      <c r="AH88" s="164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64"/>
      <c r="AO88" s="164"/>
      <c r="AP88" s="164"/>
      <c r="AQ88" s="164"/>
      <c r="AR88" s="38">
        <f>IFERROR(_xlfn.XLOOKUP($D88,'Modelling New'!$D:$D,'Modelling New'!$N:$N),"")</f>
        <v>10.507</v>
      </c>
      <c r="AS88" s="38"/>
      <c r="AT88" s="38">
        <f>IFERROR(_xlfn.XLOOKUP(Table13[[#This Row],[Date]],'Raw Data'!$G:$G,'Raw Data'!$AJ:$AJ),"")</f>
        <v>0</v>
      </c>
      <c r="AU88" s="38">
        <f>IFERROR(_xlfn.XLOOKUP(Table13[[#This Row],[Month Year]],'Modelling New'!$D:$D,'Modelling New'!$AN:$AN),"")</f>
        <v>10</v>
      </c>
      <c r="AV88" s="38">
        <f>SUMIF('Curtailment records'!$C:$C,Table13[[#This Row],[Date]],'Curtailment records'!$R:$R)/1000</f>
        <v>0</v>
      </c>
    </row>
    <row r="89" spans="1:48">
      <c r="A89" s="66">
        <f t="shared" si="10"/>
        <v>45832</v>
      </c>
      <c r="B89" s="38">
        <f>YEAR(Table13[[#This Row],[Date]])+IF(MONTH(Table13[[#This Row],[Date]])&gt;=4,1,0)</f>
        <v>2026</v>
      </c>
      <c r="C89" s="17">
        <f>YEAR(Table13[[#This Row],[Date]])</f>
        <v>2025</v>
      </c>
      <c r="D89" s="37">
        <f>Table13[[#This Row],[Date]]-DAY(Table13[[#This Row],[Date]])+1</f>
        <v>45809</v>
      </c>
      <c r="E89" s="17">
        <f t="shared" si="11"/>
        <v>30</v>
      </c>
      <c r="F89" s="135" cm="1">
        <f t="array" ref="F89">IFERROR(_xlfn.XLOOKUP(Table13[[#This Row],[Date]],Raw_Data[[#All],[Date]],Raw_Data[[#All],[Operating Hours]]),"")</f>
        <v>12.583333333333334</v>
      </c>
      <c r="G89" s="136">
        <f>IFERROR(_xlfn.XLOOKUP($A89,'Raw Data'!$G:$G,'Raw Data'!S:S)/1000,"")</f>
        <v>3.64</v>
      </c>
      <c r="H89" s="136"/>
      <c r="I89" s="136">
        <f>IFERROR(_xlfn.XLOOKUP($A89,'Raw Data'!$G:$G,'Raw Data'!AF:AF)/1000,"")</f>
        <v>3.56</v>
      </c>
      <c r="J89" s="136"/>
      <c r="K89" s="137">
        <f>IFERROR(_xlfn.XLOOKUP($A89,'Raw Data'!$G:$G,'Raw Data'!W:W),"")</f>
        <v>24.80223147831266</v>
      </c>
      <c r="L89" s="136">
        <f>IFERROR(_xlfn.XLOOKUP($A89,'Raw Data'!$G:$G,'Raw Data'!X:X),"")</f>
        <v>31.166486528184677</v>
      </c>
      <c r="M89" s="136">
        <f>IFERROR(_xlfn.XLOOKUP($A89,'Raw Data'!$G:$G,'Raw Data'!Y:Y),"")</f>
        <v>2.3958017004545402</v>
      </c>
      <c r="N89" s="136">
        <f>IFERROR(_xlfn.XLOOKUP($A89,'Raw Data'!$G:$G,'Raw Data'!Z:Z),"")</f>
        <v>8.3187980651855469</v>
      </c>
      <c r="O89" s="176">
        <f>IFERROR(1-SUMIF('Plant BD'!$B:$B,$A89,'Plant BD'!$AM:$AM)/($AA89+SUMIF('Plant BD'!$B:$B,$A89,'Plant BD'!$AM:$AM)),"")</f>
        <v>1</v>
      </c>
      <c r="P89" s="176"/>
      <c r="Q89" s="177"/>
      <c r="R89" s="176">
        <f>IFERROR(1-SUMIF('Grid BD'!$B:$B,$A89,'Grid BD'!$AE:$AE)/($AA89+SUMIF('Grid BD'!$B:$B,$A89,'Grid BD'!$AE:$AE)),"")</f>
        <v>1</v>
      </c>
      <c r="S89" s="17"/>
      <c r="T89" s="177">
        <f>IFERROR(1-SUMIF(Tracker_BD!H:H,$A89,Tracker_BD!AI:AI)/$F89,"")</f>
        <v>1</v>
      </c>
      <c r="U89" s="178">
        <f t="shared" si="7"/>
        <v>0.77677963219801816</v>
      </c>
      <c r="V89" s="17"/>
      <c r="W89" s="164">
        <f t="shared" si="8"/>
        <v>0.11522231210937268</v>
      </c>
      <c r="X89" s="17">
        <f>IFERROR(_xlfn.XLOOKUP($A89,'Raw Data'!$G:$G,'Raw Data'!AB:AB),"")</f>
        <v>30258</v>
      </c>
      <c r="Y89" s="17">
        <f>IFERROR(_xlfn.XLOOKUP($A89,'Raw Data'!$G:$G,'Raw Data'!AC:AC),"")</f>
        <v>29364.199999996345</v>
      </c>
      <c r="Z89" s="38">
        <f>IFERROR(_xlfn.XLOOKUP($A89,'Raw Data'!$G:$G,'Raw Data'!AD:AD),"")</f>
        <v>308.82000000005405</v>
      </c>
      <c r="AA89" s="38">
        <f>IFERROR(_xlfn.XLOOKUP($A89,'Raw Data'!$G:$G,'Raw Data'!AE:AE)*(1+(_xlfn.XLOOKUP(Table13[[#This Row],[Month Year]],JMR!$A:$A,JMR!$J:$J))),"")</f>
        <v>29055.37999999629</v>
      </c>
      <c r="AB89" s="17">
        <f>_xlfn.XLOOKUP($D89,'Modelling New'!D:D,'Modelling New'!N:N)</f>
        <v>10.507</v>
      </c>
      <c r="AC89" s="24">
        <f>IFERROR(_xlfn.XLOOKUP($D89,'Modelling New'!$D:$D,'Modelling New'!P:P),"")</f>
        <v>5.2372339522000004</v>
      </c>
      <c r="AD89" s="38">
        <f>IFERROR(_xlfn.XLOOKUP($D89,'Modelling New'!$D:$D,'Modelling New'!T:T)*1000,"")</f>
        <v>37399.828631840392</v>
      </c>
      <c r="AE89" s="164">
        <f t="shared" si="9"/>
        <v>0.67965560892027499</v>
      </c>
      <c r="AF89" s="164">
        <f>IFERROR(_xlfn.XLOOKUP($D89,'Modelling New'!$D:$D,'Modelling New'!W:W),"")</f>
        <v>0.14831314295168455</v>
      </c>
      <c r="AG89" s="164">
        <f>IFERROR(_xlfn.XLOOKUP($D89,'Modelling New'!$D:$D,'Modelling New'!AD:AD),"")</f>
        <v>0.995</v>
      </c>
      <c r="AH89" s="164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64"/>
      <c r="AO89" s="164"/>
      <c r="AP89" s="164"/>
      <c r="AQ89" s="164"/>
      <c r="AR89" s="38">
        <f>IFERROR(_xlfn.XLOOKUP($D89,'Modelling New'!$D:$D,'Modelling New'!$N:$N),"")</f>
        <v>10.507</v>
      </c>
      <c r="AS89" s="38"/>
      <c r="AT89" s="38">
        <f>IFERROR(_xlfn.XLOOKUP(Table13[[#This Row],[Date]],'Raw Data'!$G:$G,'Raw Data'!$AJ:$AJ),"")</f>
        <v>0</v>
      </c>
      <c r="AU89" s="38">
        <f>IFERROR(_xlfn.XLOOKUP(Table13[[#This Row],[Month Year]],'Modelling New'!$D:$D,'Modelling New'!$AN:$AN),"")</f>
        <v>10</v>
      </c>
      <c r="AV89" s="38">
        <f>SUMIF('Curtailment records'!$C:$C,Table13[[#This Row],[Date]],'Curtailment records'!$R:$R)/1000</f>
        <v>0</v>
      </c>
    </row>
    <row r="90" spans="1:48">
      <c r="A90" s="66">
        <f t="shared" si="10"/>
        <v>45833</v>
      </c>
      <c r="B90" s="38">
        <f>YEAR(Table13[[#This Row],[Date]])+IF(MONTH(Table13[[#This Row],[Date]])&gt;=4,1,0)</f>
        <v>2026</v>
      </c>
      <c r="C90" s="17">
        <f>YEAR(Table13[[#This Row],[Date]])</f>
        <v>2025</v>
      </c>
      <c r="D90" s="37">
        <f>Table13[[#This Row],[Date]]-DAY(Table13[[#This Row],[Date]])+1</f>
        <v>45809</v>
      </c>
      <c r="E90" s="17">
        <f t="shared" si="11"/>
        <v>30</v>
      </c>
      <c r="F90" s="135" cm="1">
        <f t="array" ref="F90">IFERROR(_xlfn.XLOOKUP(Table13[[#This Row],[Date]],Raw_Data[[#All],[Date]],Raw_Data[[#All],[Operating Hours]]),"")</f>
        <v>12.5</v>
      </c>
      <c r="G90" s="24">
        <f>IFERROR(_xlfn.XLOOKUP($A90,'Raw Data'!$G:$G,'Raw Data'!S:S)/1000,"")</f>
        <v>2.97</v>
      </c>
      <c r="H90" s="24"/>
      <c r="I90" s="24">
        <f>IFERROR(_xlfn.XLOOKUP($A90,'Raw Data'!$G:$G,'Raw Data'!AF:AF)/1000,"")</f>
        <v>2.87</v>
      </c>
      <c r="J90" s="24"/>
      <c r="K90" s="137">
        <f>IFERROR(_xlfn.XLOOKUP($A90,'Raw Data'!$G:$G,'Raw Data'!W:W),"")</f>
        <v>23.93791664718951</v>
      </c>
      <c r="L90" s="136">
        <f>IFERROR(_xlfn.XLOOKUP($A90,'Raw Data'!$G:$G,'Raw Data'!X:X),"")</f>
        <v>28.827954045048468</v>
      </c>
      <c r="M90" s="136">
        <f>IFERROR(_xlfn.XLOOKUP($A90,'Raw Data'!$G:$G,'Raw Data'!Y:Y),"")</f>
        <v>2.9793625843745692</v>
      </c>
      <c r="N90" s="136">
        <f>IFERROR(_xlfn.XLOOKUP($A90,'Raw Data'!$G:$G,'Raw Data'!Z:Z),"")</f>
        <v>8.7773237228393555</v>
      </c>
      <c r="O90" s="176">
        <f>IFERROR(1-SUMIF('Plant BD'!$B:$B,$A90,'Plant BD'!$AM:$AM)/($AA90+SUMIF('Plant BD'!$B:$B,$A90,'Plant BD'!$AM:$AM)),"")</f>
        <v>1</v>
      </c>
      <c r="P90" s="176"/>
      <c r="Q90" s="177"/>
      <c r="R90" s="179">
        <f>IFERROR(1-SUMIF('Grid BD'!$B:$B,$A90,'Grid BD'!$AE:$AE)/($AA90+SUMIF('Grid BD'!$B:$B,$A90,'Grid BD'!$AE:$AE)),"")</f>
        <v>1</v>
      </c>
      <c r="S90" s="17"/>
      <c r="T90" s="177">
        <f>IFERROR(1-SUMIF(Tracker_BD!H:H,$A90,Tracker_BD!AI:AI)/$F90,"")</f>
        <v>1</v>
      </c>
      <c r="U90" s="178">
        <f t="shared" si="7"/>
        <v>0.78471661003160731</v>
      </c>
      <c r="V90" s="17"/>
      <c r="W90" s="164">
        <f t="shared" si="8"/>
        <v>9.3839027949613046E-2</v>
      </c>
      <c r="X90" s="17">
        <f>IFERROR(_xlfn.XLOOKUP($A90,'Raw Data'!$G:$G,'Raw Data'!AB:AB),"")</f>
        <v>25710</v>
      </c>
      <c r="Y90" s="17">
        <f>IFERROR(_xlfn.XLOOKUP($A90,'Raw Data'!$G:$G,'Raw Data'!AC:AC),"")</f>
        <v>23934.699999997974</v>
      </c>
      <c r="Z90" s="38">
        <f>IFERROR(_xlfn.XLOOKUP($A90,'Raw Data'!$G:$G,'Raw Data'!AD:AD),"")</f>
        <v>271.49999999995345</v>
      </c>
      <c r="AA90" s="38">
        <f>IFERROR(_xlfn.XLOOKUP($A90,'Raw Data'!$G:$G,'Raw Data'!AE:AE)*(1+(_xlfn.XLOOKUP(Table13[[#This Row],[Month Year]],JMR!$A:$A,JMR!$J:$J))),"")</f>
        <v>23663.199999998022</v>
      </c>
      <c r="AB90" s="17">
        <f>_xlfn.XLOOKUP($D90,'Modelling New'!D:D,'Modelling New'!N:N)</f>
        <v>10.507</v>
      </c>
      <c r="AC90" s="24">
        <f>IFERROR(_xlfn.XLOOKUP($D90,'Modelling New'!$D:$D,'Modelling New'!P:P),"")</f>
        <v>5.2372339522000004</v>
      </c>
      <c r="AD90" s="38">
        <f>IFERROR(_xlfn.XLOOKUP($D90,'Modelling New'!$D:$D,'Modelling New'!T:T)*1000,"")</f>
        <v>37399.828631840392</v>
      </c>
      <c r="AE90" s="164">
        <f t="shared" si="9"/>
        <v>0.67965560892027499</v>
      </c>
      <c r="AF90" s="164">
        <f>IFERROR(_xlfn.XLOOKUP($D90,'Modelling New'!$D:$D,'Modelling New'!W:W),"")</f>
        <v>0.14831314295168455</v>
      </c>
      <c r="AG90" s="164">
        <f>IFERROR(_xlfn.XLOOKUP($D90,'Modelling New'!$D:$D,'Modelling New'!AD:AD),"")</f>
        <v>0.995</v>
      </c>
      <c r="AH90" s="164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64"/>
      <c r="AO90" s="164"/>
      <c r="AP90" s="164"/>
      <c r="AQ90" s="164"/>
      <c r="AR90" s="38">
        <f>IFERROR(_xlfn.XLOOKUP($D90,'Modelling New'!$D:$D,'Modelling New'!$N:$N),"")</f>
        <v>10.507</v>
      </c>
      <c r="AS90" s="38"/>
      <c r="AT90" s="38">
        <f>IFERROR(_xlfn.XLOOKUP(Table13[[#This Row],[Date]],'Raw Data'!$G:$G,'Raw Data'!$AJ:$AJ),"")</f>
        <v>0</v>
      </c>
      <c r="AU90" s="38">
        <f>IFERROR(_xlfn.XLOOKUP(Table13[[#This Row],[Month Year]],'Modelling New'!$D:$D,'Modelling New'!$AN:$AN),"")</f>
        <v>10</v>
      </c>
      <c r="AV90" s="38">
        <f>SUMIF('Curtailment records'!$C:$C,Table13[[#This Row],[Date]],'Curtailment records'!$R:$R)/1000</f>
        <v>0</v>
      </c>
    </row>
    <row r="91" spans="1:48">
      <c r="A91" s="66">
        <f t="shared" si="10"/>
        <v>45834</v>
      </c>
      <c r="B91" s="38">
        <f>YEAR(Table13[[#This Row],[Date]])+IF(MONTH(Table13[[#This Row],[Date]])&gt;=4,1,0)</f>
        <v>2026</v>
      </c>
      <c r="C91" s="17">
        <f>YEAR(Table13[[#This Row],[Date]])</f>
        <v>2025</v>
      </c>
      <c r="D91" s="37">
        <f>Table13[[#This Row],[Date]]-DAY(Table13[[#This Row],[Date]])+1</f>
        <v>45809</v>
      </c>
      <c r="E91" s="17">
        <f t="shared" si="11"/>
        <v>30</v>
      </c>
      <c r="F91" s="135" cm="1">
        <f t="array" ref="F91">IFERROR(_xlfn.XLOOKUP(Table13[[#This Row],[Date]],Raw_Data[[#All],[Date]],Raw_Data[[#All],[Operating Hours]]),"")</f>
        <v>12.666666666666668</v>
      </c>
      <c r="G91" s="136">
        <f>IFERROR(_xlfn.XLOOKUP($A91,'Raw Data'!$G:$G,'Raw Data'!S:S)/1000,"")</f>
        <v>4.24</v>
      </c>
      <c r="H91" s="136"/>
      <c r="I91" s="136">
        <f>IFERROR(_xlfn.XLOOKUP($A91,'Raw Data'!$G:$G,'Raw Data'!AF:AF)/1000,"")</f>
        <v>4.32</v>
      </c>
      <c r="J91" s="136"/>
      <c r="K91" s="137">
        <f>IFERROR(_xlfn.XLOOKUP($A91,'Raw Data'!$G:$G,'Raw Data'!W:W),"")</f>
        <v>25.995504612365</v>
      </c>
      <c r="L91" s="136">
        <f>IFERROR(_xlfn.XLOOKUP($A91,'Raw Data'!$G:$G,'Raw Data'!X:X),"")</f>
        <v>34.247148511287577</v>
      </c>
      <c r="M91" s="136">
        <f>IFERROR(_xlfn.XLOOKUP($A91,'Raw Data'!$G:$G,'Raw Data'!Y:Y),"")</f>
        <v>2.3294175594614308</v>
      </c>
      <c r="N91" s="136">
        <f>IFERROR(_xlfn.XLOOKUP($A91,'Raw Data'!$G:$G,'Raw Data'!Z:Z),"")</f>
        <v>6.793510913848877</v>
      </c>
      <c r="O91" s="176">
        <f>IFERROR(1-SUMIF('Plant BD'!$B:$B,$A91,'Plant BD'!$AM:$AM)/($AA91+SUMIF('Plant BD'!$B:$B,$A91,'Plant BD'!$AM:$AM)),"")</f>
        <v>1</v>
      </c>
      <c r="P91" s="176"/>
      <c r="Q91" s="177"/>
      <c r="R91" s="176">
        <f>IFERROR(1-SUMIF('Grid BD'!$B:$B,$A91,'Grid BD'!$AE:$AE)/($AA91+SUMIF('Grid BD'!$B:$B,$A91,'Grid BD'!$AE:$AE)),"")</f>
        <v>1</v>
      </c>
      <c r="S91" s="17"/>
      <c r="T91" s="177">
        <f>IFERROR(1-SUMIF(Tracker_BD!H:H,$A91,Tracker_BD!AI:AI)/$F91,"")</f>
        <v>1</v>
      </c>
      <c r="U91" s="178">
        <f t="shared" si="7"/>
        <v>0.74715797933658912</v>
      </c>
      <c r="V91" s="17"/>
      <c r="W91" s="164">
        <f t="shared" si="8"/>
        <v>0.13448843628058604</v>
      </c>
      <c r="X91" s="17">
        <f>IFERROR(_xlfn.XLOOKUP($A91,'Raw Data'!$G:$G,'Raw Data'!AB:AB),"")</f>
        <v>34374</v>
      </c>
      <c r="Y91" s="17">
        <f>IFERROR(_xlfn.XLOOKUP($A91,'Raw Data'!$G:$G,'Raw Data'!AC:AC),"")</f>
        <v>34208.700000002864</v>
      </c>
      <c r="Z91" s="38">
        <f>IFERROR(_xlfn.XLOOKUP($A91,'Raw Data'!$G:$G,'Raw Data'!AD:AD),"")</f>
        <v>295.02000000004358</v>
      </c>
      <c r="AA91" s="38">
        <f>IFERROR(_xlfn.XLOOKUP($A91,'Raw Data'!$G:$G,'Raw Data'!AE:AE)*(1+(_xlfn.XLOOKUP(Table13[[#This Row],[Month Year]],JMR!$A:$A,JMR!$J:$J))),"")</f>
        <v>33913.680000002823</v>
      </c>
      <c r="AB91" s="17">
        <f>_xlfn.XLOOKUP($D91,'Modelling New'!D:D,'Modelling New'!N:N)</f>
        <v>10.507</v>
      </c>
      <c r="AC91" s="24">
        <f>IFERROR(_xlfn.XLOOKUP($D91,'Modelling New'!$D:$D,'Modelling New'!P:P),"")</f>
        <v>5.2372339522000004</v>
      </c>
      <c r="AD91" s="38">
        <f>IFERROR(_xlfn.XLOOKUP($D91,'Modelling New'!$D:$D,'Modelling New'!T:T)*1000,"")</f>
        <v>37399.828631840392</v>
      </c>
      <c r="AE91" s="164">
        <f t="shared" si="9"/>
        <v>0.67965560892027499</v>
      </c>
      <c r="AF91" s="164">
        <f>IFERROR(_xlfn.XLOOKUP($D91,'Modelling New'!$D:$D,'Modelling New'!W:W),"")</f>
        <v>0.14831314295168455</v>
      </c>
      <c r="AG91" s="164">
        <f>IFERROR(_xlfn.XLOOKUP($D91,'Modelling New'!$D:$D,'Modelling New'!AD:AD),"")</f>
        <v>0.995</v>
      </c>
      <c r="AH91" s="164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64"/>
      <c r="AO91" s="164"/>
      <c r="AP91" s="164"/>
      <c r="AQ91" s="164"/>
      <c r="AR91" s="38">
        <f>IFERROR(_xlfn.XLOOKUP($D91,'Modelling New'!$D:$D,'Modelling New'!$N:$N),"")</f>
        <v>10.507</v>
      </c>
      <c r="AS91" s="38"/>
      <c r="AT91" s="38">
        <f>IFERROR(_xlfn.XLOOKUP(Table13[[#This Row],[Date]],'Raw Data'!$G:$G,'Raw Data'!$AJ:$AJ),"")</f>
        <v>0</v>
      </c>
      <c r="AU91" s="38">
        <f>IFERROR(_xlfn.XLOOKUP(Table13[[#This Row],[Month Year]],'Modelling New'!$D:$D,'Modelling New'!$AN:$AN),"")</f>
        <v>10</v>
      </c>
      <c r="AV91" s="38">
        <f>SUMIF('Curtailment records'!$C:$C,Table13[[#This Row],[Date]],'Curtailment records'!$R:$R)/1000</f>
        <v>0</v>
      </c>
    </row>
    <row r="92" spans="1:48">
      <c r="A92" s="66">
        <f t="shared" si="10"/>
        <v>45835</v>
      </c>
      <c r="B92" s="38">
        <f>YEAR(Table13[[#This Row],[Date]])+IF(MONTH(Table13[[#This Row],[Date]])&gt;=4,1,0)</f>
        <v>2026</v>
      </c>
      <c r="C92" s="17">
        <f>YEAR(Table13[[#This Row],[Date]])</f>
        <v>2025</v>
      </c>
      <c r="D92" s="37">
        <f>Table13[[#This Row],[Date]]-DAY(Table13[[#This Row],[Date]])+1</f>
        <v>45809</v>
      </c>
      <c r="E92" s="17">
        <f t="shared" si="11"/>
        <v>30</v>
      </c>
      <c r="F92" s="135" cm="1">
        <f t="array" ref="F92">IFERROR(_xlfn.XLOOKUP(Table13[[#This Row],[Date]],Raw_Data[[#All],[Date]],Raw_Data[[#All],[Operating Hours]]),"")</f>
        <v>12.5</v>
      </c>
      <c r="G92" s="24">
        <f>IFERROR(_xlfn.XLOOKUP($A92,'Raw Data'!$G:$G,'Raw Data'!S:S)/1000,"")</f>
        <v>3.85</v>
      </c>
      <c r="H92" s="24"/>
      <c r="I92" s="24">
        <f>IFERROR(_xlfn.XLOOKUP($A92,'Raw Data'!$G:$G,'Raw Data'!AF:AF)/1000,"")</f>
        <v>3.9350000000000001</v>
      </c>
      <c r="J92" s="24"/>
      <c r="K92" s="137">
        <f>IFERROR(_xlfn.XLOOKUP($A92,'Raw Data'!$G:$G,'Raw Data'!W:W),"")</f>
        <v>24.85041588031693</v>
      </c>
      <c r="L92" s="136">
        <f>IFERROR(_xlfn.XLOOKUP($A92,'Raw Data'!$G:$G,'Raw Data'!X:X),"")</f>
        <v>32.004870362944949</v>
      </c>
      <c r="M92" s="136">
        <f>IFERROR(_xlfn.XLOOKUP($A92,'Raw Data'!$G:$G,'Raw Data'!Y:Y),"")</f>
        <v>1.7221130791089392</v>
      </c>
      <c r="N92" s="136">
        <f>IFERROR(_xlfn.XLOOKUP($A92,'Raw Data'!$G:$G,'Raw Data'!Z:Z),"")</f>
        <v>6.3480243682861328</v>
      </c>
      <c r="O92" s="176">
        <f>IFERROR(1-SUMIF('Plant BD'!$B:$B,$A92,'Plant BD'!$AM:$AM)/($AA92+SUMIF('Plant BD'!$B:$B,$A92,'Plant BD'!$AM:$AM)),"")</f>
        <v>1</v>
      </c>
      <c r="P92" s="176"/>
      <c r="Q92" s="177"/>
      <c r="R92" s="179">
        <f>IFERROR(1-SUMIF('Grid BD'!$B:$B,$A92,'Grid BD'!$AE:$AE)/($AA92+SUMIF('Grid BD'!$B:$B,$A92,'Grid BD'!$AE:$AE)),"")</f>
        <v>1</v>
      </c>
      <c r="S92" s="17"/>
      <c r="T92" s="177">
        <f>IFERROR(1-SUMIF(Tracker_BD!H:H,$A92,Tracker_BD!AI:AI)/$F92,"")</f>
        <v>1</v>
      </c>
      <c r="U92" s="178">
        <f t="shared" si="7"/>
        <v>0.74809012784978146</v>
      </c>
      <c r="V92" s="17"/>
      <c r="W92" s="164">
        <f t="shared" si="8"/>
        <v>0.12265561054537041</v>
      </c>
      <c r="X92" s="17">
        <f>IFERROR(_xlfn.XLOOKUP($A92,'Raw Data'!$G:$G,'Raw Data'!AB:AB),"")</f>
        <v>31845</v>
      </c>
      <c r="Y92" s="17">
        <f>IFERROR(_xlfn.XLOOKUP($A92,'Raw Data'!$G:$G,'Raw Data'!AC:AC),"")</f>
        <v>31221.000000005006</v>
      </c>
      <c r="Z92" s="38">
        <f>IFERROR(_xlfn.XLOOKUP($A92,'Raw Data'!$G:$G,'Raw Data'!AD:AD),"")</f>
        <v>291.18000000003974</v>
      </c>
      <c r="AA92" s="38">
        <f>IFERROR(_xlfn.XLOOKUP($A92,'Raw Data'!$G:$G,'Raw Data'!AE:AE)*(1+(_xlfn.XLOOKUP(Table13[[#This Row],[Month Year]],JMR!$A:$A,JMR!$J:$J))),"")</f>
        <v>30929.820000004966</v>
      </c>
      <c r="AB92" s="17">
        <f>_xlfn.XLOOKUP($D92,'Modelling New'!D:D,'Modelling New'!N:N)</f>
        <v>10.507</v>
      </c>
      <c r="AC92" s="24">
        <f>IFERROR(_xlfn.XLOOKUP($D92,'Modelling New'!$D:$D,'Modelling New'!P:P),"")</f>
        <v>5.2372339522000004</v>
      </c>
      <c r="AD92" s="38">
        <f>IFERROR(_xlfn.XLOOKUP($D92,'Modelling New'!$D:$D,'Modelling New'!T:T)*1000,"")</f>
        <v>37399.828631840392</v>
      </c>
      <c r="AE92" s="164">
        <f t="shared" si="9"/>
        <v>0.67965560892027499</v>
      </c>
      <c r="AF92" s="164">
        <f>IFERROR(_xlfn.XLOOKUP($D92,'Modelling New'!$D:$D,'Modelling New'!W:W),"")</f>
        <v>0.14831314295168455</v>
      </c>
      <c r="AG92" s="164">
        <f>IFERROR(_xlfn.XLOOKUP($D92,'Modelling New'!$D:$D,'Modelling New'!AD:AD),"")</f>
        <v>0.995</v>
      </c>
      <c r="AH92" s="164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64"/>
      <c r="AO92" s="164"/>
      <c r="AP92" s="164"/>
      <c r="AQ92" s="164"/>
      <c r="AR92" s="38">
        <f>IFERROR(_xlfn.XLOOKUP($D92,'Modelling New'!$D:$D,'Modelling New'!$N:$N),"")</f>
        <v>10.507</v>
      </c>
      <c r="AS92" s="38"/>
      <c r="AT92" s="38">
        <f>IFERROR(_xlfn.XLOOKUP(Table13[[#This Row],[Date]],'Raw Data'!$G:$G,'Raw Data'!$AJ:$AJ),"")</f>
        <v>0</v>
      </c>
      <c r="AU92" s="38">
        <f>IFERROR(_xlfn.XLOOKUP(Table13[[#This Row],[Month Year]],'Modelling New'!$D:$D,'Modelling New'!$AN:$AN),"")</f>
        <v>10</v>
      </c>
      <c r="AV92" s="38">
        <f>SUMIF('Curtailment records'!$C:$C,Table13[[#This Row],[Date]],'Curtailment records'!$R:$R)/1000</f>
        <v>0</v>
      </c>
    </row>
    <row r="93" spans="1:48">
      <c r="A93" s="66">
        <f t="shared" si="10"/>
        <v>45836</v>
      </c>
      <c r="B93" s="38">
        <f>YEAR(Table13[[#This Row],[Date]])+IF(MONTH(Table13[[#This Row],[Date]])&gt;=4,1,0)</f>
        <v>2026</v>
      </c>
      <c r="C93" s="17">
        <f>YEAR(Table13[[#This Row],[Date]])</f>
        <v>2025</v>
      </c>
      <c r="D93" s="37">
        <f>Table13[[#This Row],[Date]]-DAY(Table13[[#This Row],[Date]])+1</f>
        <v>45809</v>
      </c>
      <c r="E93" s="17">
        <f t="shared" si="11"/>
        <v>30</v>
      </c>
      <c r="F93" s="135" cm="1">
        <f t="array" ref="F93">IFERROR(_xlfn.XLOOKUP(Table13[[#This Row],[Date]],Raw_Data[[#All],[Date]],Raw_Data[[#All],[Operating Hours]]),"")</f>
        <v>12.583333333333334</v>
      </c>
      <c r="G93" s="136">
        <f>IFERROR(_xlfn.XLOOKUP($A93,'Raw Data'!$G:$G,'Raw Data'!S:S)/1000,"")</f>
        <v>4.4400000000000004</v>
      </c>
      <c r="H93" s="136"/>
      <c r="I93" s="136">
        <f>IFERROR(_xlfn.XLOOKUP($A93,'Raw Data'!$G:$G,'Raw Data'!AF:AF)/1000,"")</f>
        <v>4.51</v>
      </c>
      <c r="J93" s="136"/>
      <c r="K93" s="137">
        <f>IFERROR(_xlfn.XLOOKUP($A93,'Raw Data'!$G:$G,'Raw Data'!W:W),"")</f>
        <v>25.663480145590647</v>
      </c>
      <c r="L93" s="136">
        <f>IFERROR(_xlfn.XLOOKUP($A93,'Raw Data'!$G:$G,'Raw Data'!X:X),"")</f>
        <v>34.81327920742136</v>
      </c>
      <c r="M93" s="136">
        <f>IFERROR(_xlfn.XLOOKUP($A93,'Raw Data'!$G:$G,'Raw Data'!Y:Y),"")</f>
        <v>2.1411613113192653</v>
      </c>
      <c r="N93" s="136">
        <f>IFERROR(_xlfn.XLOOKUP($A93,'Raw Data'!$G:$G,'Raw Data'!Z:Z),"")</f>
        <v>6.8482198715209961</v>
      </c>
      <c r="O93" s="176">
        <f>IFERROR(1-SUMIF('Plant BD'!$B:$B,$A93,'Plant BD'!$AM:$AM)/($AA93+SUMIF('Plant BD'!$B:$B,$A93,'Plant BD'!$AM:$AM)),"")</f>
        <v>1</v>
      </c>
      <c r="P93" s="176"/>
      <c r="Q93" s="177"/>
      <c r="R93" s="176">
        <f>IFERROR(1-SUMIF('Grid BD'!$B:$B,$A93,'Grid BD'!$AE:$AE)/($AA93+SUMIF('Grid BD'!$B:$B,$A93,'Grid BD'!$AE:$AE)),"")</f>
        <v>1</v>
      </c>
      <c r="S93" s="17"/>
      <c r="T93" s="177">
        <f>IFERROR(1-SUMIF(Tracker_BD!H:H,$A93,Tracker_BD!AI:AI)/$F93,"")</f>
        <v>1</v>
      </c>
      <c r="U93" s="178">
        <f t="shared" si="7"/>
        <v>0.74065331168719495</v>
      </c>
      <c r="V93" s="17"/>
      <c r="W93" s="164">
        <f t="shared" si="8"/>
        <v>0.13918110148788537</v>
      </c>
      <c r="X93" s="17">
        <f>IFERROR(_xlfn.XLOOKUP($A93,'Raw Data'!$G:$G,'Raw Data'!AB:AB),"")</f>
        <v>35351</v>
      </c>
      <c r="Y93" s="17">
        <f>IFERROR(_xlfn.XLOOKUP($A93,'Raw Data'!$G:$G,'Raw Data'!AC:AC),"")</f>
        <v>35421.199999997043</v>
      </c>
      <c r="Z93" s="38">
        <f>IFERROR(_xlfn.XLOOKUP($A93,'Raw Data'!$G:$G,'Raw Data'!AD:AD),"")</f>
        <v>324.17999999996283</v>
      </c>
      <c r="AA93" s="38">
        <f>IFERROR(_xlfn.XLOOKUP($A93,'Raw Data'!$G:$G,'Raw Data'!AE:AE)*(1+(_xlfn.XLOOKUP(Table13[[#This Row],[Month Year]],JMR!$A:$A,JMR!$J:$J))),"")</f>
        <v>35097.019999997079</v>
      </c>
      <c r="AB93" s="17">
        <f>_xlfn.XLOOKUP($D93,'Modelling New'!D:D,'Modelling New'!N:N)</f>
        <v>10.507</v>
      </c>
      <c r="AC93" s="24">
        <f>IFERROR(_xlfn.XLOOKUP($D93,'Modelling New'!$D:$D,'Modelling New'!P:P),"")</f>
        <v>5.2372339522000004</v>
      </c>
      <c r="AD93" s="38">
        <f>IFERROR(_xlfn.XLOOKUP($D93,'Modelling New'!$D:$D,'Modelling New'!T:T)*1000,"")</f>
        <v>37399.828631840392</v>
      </c>
      <c r="AE93" s="164">
        <f t="shared" si="9"/>
        <v>0.67965560892027499</v>
      </c>
      <c r="AF93" s="164">
        <f>IFERROR(_xlfn.XLOOKUP($D93,'Modelling New'!$D:$D,'Modelling New'!W:W),"")</f>
        <v>0.14831314295168455</v>
      </c>
      <c r="AG93" s="164">
        <f>IFERROR(_xlfn.XLOOKUP($D93,'Modelling New'!$D:$D,'Modelling New'!AD:AD),"")</f>
        <v>0.995</v>
      </c>
      <c r="AH93" s="164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64"/>
      <c r="AO93" s="164"/>
      <c r="AP93" s="164"/>
      <c r="AQ93" s="164"/>
      <c r="AR93" s="38">
        <f>IFERROR(_xlfn.XLOOKUP($D93,'Modelling New'!$D:$D,'Modelling New'!$N:$N),"")</f>
        <v>10.507</v>
      </c>
      <c r="AS93" s="38"/>
      <c r="AT93" s="38">
        <f>IFERROR(_xlfn.XLOOKUP(Table13[[#This Row],[Date]],'Raw Data'!$G:$G,'Raw Data'!$AJ:$AJ),"")</f>
        <v>0</v>
      </c>
      <c r="AU93" s="38">
        <f>IFERROR(_xlfn.XLOOKUP(Table13[[#This Row],[Month Year]],'Modelling New'!$D:$D,'Modelling New'!$AN:$AN),"")</f>
        <v>10</v>
      </c>
      <c r="AV93" s="38">
        <f>SUMIF('Curtailment records'!$C:$C,Table13[[#This Row],[Date]],'Curtailment records'!$R:$R)/1000</f>
        <v>0</v>
      </c>
    </row>
    <row r="94" spans="1:48">
      <c r="A94" s="66">
        <f t="shared" si="10"/>
        <v>45837</v>
      </c>
      <c r="B94" s="38">
        <f>YEAR(Table13[[#This Row],[Date]])+IF(MONTH(Table13[[#This Row],[Date]])&gt;=4,1,0)</f>
        <v>2026</v>
      </c>
      <c r="C94" s="17">
        <f>YEAR(Table13[[#This Row],[Date]])</f>
        <v>2025</v>
      </c>
      <c r="D94" s="37">
        <f>Table13[[#This Row],[Date]]-DAY(Table13[[#This Row],[Date]])+1</f>
        <v>45809</v>
      </c>
      <c r="E94" s="17">
        <f t="shared" si="11"/>
        <v>30</v>
      </c>
      <c r="F94" s="135" cm="1">
        <f t="array" ref="F94">IFERROR(_xlfn.XLOOKUP(Table13[[#This Row],[Date]],Raw_Data[[#All],[Date]],Raw_Data[[#All],[Operating Hours]]),"")</f>
        <v>12.566666666666666</v>
      </c>
      <c r="G94" s="24">
        <f>IFERROR(_xlfn.XLOOKUP($A94,'Raw Data'!$G:$G,'Raw Data'!S:S)/1000,"")</f>
        <v>5.59</v>
      </c>
      <c r="H94" s="24"/>
      <c r="I94" s="24">
        <f>IFERROR(_xlfn.XLOOKUP($A94,'Raw Data'!$G:$G,'Raw Data'!AF:AF)/1000,"")</f>
        <v>6.13</v>
      </c>
      <c r="J94" s="24"/>
      <c r="K94" s="137">
        <f>IFERROR(_xlfn.XLOOKUP($A94,'Raw Data'!$G:$G,'Raw Data'!W:W),"")</f>
        <v>26.469018511740575</v>
      </c>
      <c r="L94" s="136">
        <f>IFERROR(_xlfn.XLOOKUP($A94,'Raw Data'!$G:$G,'Raw Data'!X:X),"")</f>
        <v>37.620474748421977</v>
      </c>
      <c r="M94" s="136">
        <f>IFERROR(_xlfn.XLOOKUP($A94,'Raw Data'!$G:$G,'Raw Data'!Y:Y),"")</f>
        <v>2.6835137614351234</v>
      </c>
      <c r="N94" s="136">
        <f>IFERROR(_xlfn.XLOOKUP($A94,'Raw Data'!$G:$G,'Raw Data'!Z:Z),"")</f>
        <v>6.9792790412902832</v>
      </c>
      <c r="O94" s="176">
        <f>IFERROR(1-SUMIF('Plant BD'!$B:$B,$A94,'Plant BD'!$AM:$AM)/($AA94+SUMIF('Plant BD'!$B:$B,$A94,'Plant BD'!$AM:$AM)),"")</f>
        <v>1</v>
      </c>
      <c r="P94" s="176"/>
      <c r="Q94" s="177"/>
      <c r="R94" s="179">
        <f>IFERROR(1-SUMIF('Grid BD'!$B:$B,$A94,'Grid BD'!$AE:$AE)/($AA94+SUMIF('Grid BD'!$B:$B,$A94,'Grid BD'!$AE:$AE)),"")</f>
        <v>1</v>
      </c>
      <c r="S94" s="17"/>
      <c r="T94" s="177">
        <f>IFERROR(1-SUMIF(Tracker_BD!H:H,$A94,Tracker_BD!AI:AI)/$F94,"")</f>
        <v>1</v>
      </c>
      <c r="U94" s="178">
        <f t="shared" si="7"/>
        <v>0.72574222638173702</v>
      </c>
      <c r="V94" s="17"/>
      <c r="W94" s="164">
        <f t="shared" si="8"/>
        <v>0.18536666032166865</v>
      </c>
      <c r="X94" s="17">
        <f>IFERROR(_xlfn.XLOOKUP($A94,'Raw Data'!$G:$G,'Raw Data'!AB:AB),"")</f>
        <v>45105</v>
      </c>
      <c r="Y94" s="17">
        <f>IFERROR(_xlfn.XLOOKUP($A94,'Raw Data'!$G:$G,'Raw Data'!AC:AC),"")</f>
        <v>47039.099999994505</v>
      </c>
      <c r="Z94" s="38">
        <f>IFERROR(_xlfn.XLOOKUP($A94,'Raw Data'!$G:$G,'Raw Data'!AD:AD),"")</f>
        <v>295.55999999995919</v>
      </c>
      <c r="AA94" s="38">
        <f>IFERROR(_xlfn.XLOOKUP($A94,'Raw Data'!$G:$G,'Raw Data'!AE:AE)*(1+(_xlfn.XLOOKUP(Table13[[#This Row],[Month Year]],JMR!$A:$A,JMR!$J:$J))),"")</f>
        <v>46743.539999994544</v>
      </c>
      <c r="AB94" s="17">
        <f>_xlfn.XLOOKUP($D94,'Modelling New'!D:D,'Modelling New'!N:N)</f>
        <v>10.507</v>
      </c>
      <c r="AC94" s="24">
        <f>IFERROR(_xlfn.XLOOKUP($D94,'Modelling New'!$D:$D,'Modelling New'!P:P),"")</f>
        <v>5.2372339522000004</v>
      </c>
      <c r="AD94" s="38">
        <f>IFERROR(_xlfn.XLOOKUP($D94,'Modelling New'!$D:$D,'Modelling New'!T:T)*1000,"")</f>
        <v>37399.828631840392</v>
      </c>
      <c r="AE94" s="164">
        <f t="shared" si="9"/>
        <v>0.67965560892027499</v>
      </c>
      <c r="AF94" s="164">
        <f>IFERROR(_xlfn.XLOOKUP($D94,'Modelling New'!$D:$D,'Modelling New'!W:W),"")</f>
        <v>0.14831314295168455</v>
      </c>
      <c r="AG94" s="164">
        <f>IFERROR(_xlfn.XLOOKUP($D94,'Modelling New'!$D:$D,'Modelling New'!AD:AD),"")</f>
        <v>0.995</v>
      </c>
      <c r="AH94" s="164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64"/>
      <c r="AO94" s="164"/>
      <c r="AP94" s="164"/>
      <c r="AQ94" s="164"/>
      <c r="AR94" s="38">
        <f>IFERROR(_xlfn.XLOOKUP($D94,'Modelling New'!$D:$D,'Modelling New'!$N:$N),"")</f>
        <v>10.507</v>
      </c>
      <c r="AS94" s="38"/>
      <c r="AT94" s="38">
        <f>IFERROR(_xlfn.XLOOKUP(Table13[[#This Row],[Date]],'Raw Data'!$G:$G,'Raw Data'!$AJ:$AJ),"")</f>
        <v>0</v>
      </c>
      <c r="AU94" s="38">
        <f>IFERROR(_xlfn.XLOOKUP(Table13[[#This Row],[Month Year]],'Modelling New'!$D:$D,'Modelling New'!$AN:$AN),"")</f>
        <v>10</v>
      </c>
      <c r="AV94" s="38">
        <f>SUMIF('Curtailment records'!$C:$C,Table13[[#This Row],[Date]],'Curtailment records'!$R:$R)/1000</f>
        <v>0</v>
      </c>
    </row>
    <row r="95" spans="1:48">
      <c r="A95" s="66">
        <f t="shared" si="10"/>
        <v>45838</v>
      </c>
      <c r="B95" s="38">
        <f>YEAR(Table13[[#This Row],[Date]])+IF(MONTH(Table13[[#This Row],[Date]])&gt;=4,1,0)</f>
        <v>2026</v>
      </c>
      <c r="C95" s="17">
        <f>YEAR(Table13[[#This Row],[Date]])</f>
        <v>2025</v>
      </c>
      <c r="D95" s="37">
        <f>Table13[[#This Row],[Date]]-DAY(Table13[[#This Row],[Date]])+1</f>
        <v>45809</v>
      </c>
      <c r="E95" s="17">
        <f t="shared" si="11"/>
        <v>30</v>
      </c>
      <c r="F95" s="135" cm="1">
        <f t="array" ref="F95">IFERROR(_xlfn.XLOOKUP(Table13[[#This Row],[Date]],Raw_Data[[#All],[Date]],Raw_Data[[#All],[Operating Hours]]),"")</f>
        <v>12.600000000000001</v>
      </c>
      <c r="G95" s="136">
        <f>IFERROR(_xlfn.XLOOKUP($A95,'Raw Data'!$G:$G,'Raw Data'!S:S)/1000,"")</f>
        <v>5.73</v>
      </c>
      <c r="H95" s="136"/>
      <c r="I95" s="136">
        <f>IFERROR(_xlfn.XLOOKUP($A95,'Raw Data'!$G:$G,'Raw Data'!AF:AF)/1000,"")</f>
        <v>6.1</v>
      </c>
      <c r="J95" s="136"/>
      <c r="K95" s="137">
        <f>IFERROR(_xlfn.XLOOKUP($A95,'Raw Data'!$G:$G,'Raw Data'!W:W),"")</f>
        <v>26.136912534094805</v>
      </c>
      <c r="L95" s="136">
        <f>IFERROR(_xlfn.XLOOKUP($A95,'Raw Data'!$G:$G,'Raw Data'!X:X),"")</f>
        <v>36.90502719500207</v>
      </c>
      <c r="M95" s="136">
        <f>IFERROR(_xlfn.XLOOKUP($A95,'Raw Data'!$G:$G,'Raw Data'!Y:Y),"")</f>
        <v>2.8151054458112905</v>
      </c>
      <c r="N95" s="136">
        <f>IFERROR(_xlfn.XLOOKUP($A95,'Raw Data'!$G:$G,'Raw Data'!Z:Z),"")</f>
        <v>8.1668548583984375</v>
      </c>
      <c r="O95" s="176">
        <f>IFERROR(1-SUMIF('Plant BD'!$B:$B,$A95,'Plant BD'!$AM:$AM)/($AA95+SUMIF('Plant BD'!$B:$B,$A95,'Plant BD'!$AM:$AM)),"")</f>
        <v>1</v>
      </c>
      <c r="P95" s="176"/>
      <c r="Q95" s="177"/>
      <c r="R95" s="176">
        <f>IFERROR(1-SUMIF('Grid BD'!$B:$B,$A95,'Grid BD'!$AE:$AE)/($AA95+SUMIF('Grid BD'!$B:$B,$A95,'Grid BD'!$AE:$AE)),"")</f>
        <v>1</v>
      </c>
      <c r="S95" s="17"/>
      <c r="T95" s="177">
        <f>IFERROR(1-SUMIF(Tracker_BD!H:H,$A95,Tracker_BD!AI:AI)/$F95,"")</f>
        <v>1</v>
      </c>
      <c r="U95" s="178">
        <f t="shared" si="7"/>
        <v>0.72549541523449712</v>
      </c>
      <c r="V95" s="17"/>
      <c r="W95" s="164">
        <f t="shared" si="8"/>
        <v>0.18439675137210135</v>
      </c>
      <c r="X95" s="17">
        <f>IFERROR(_xlfn.XLOOKUP($A95,'Raw Data'!$G:$G,'Raw Data'!AB:AB),"")</f>
        <v>45048</v>
      </c>
      <c r="Y95" s="17">
        <f>IFERROR(_xlfn.XLOOKUP($A95,'Raw Data'!$G:$G,'Raw Data'!AC:AC),"")</f>
        <v>46778.800000000047</v>
      </c>
      <c r="Z95" s="38">
        <f>IFERROR(_xlfn.XLOOKUP($A95,'Raw Data'!$G:$G,'Raw Data'!AD:AD),"")</f>
        <v>279.84000000000009</v>
      </c>
      <c r="AA95" s="38">
        <f>IFERROR(_xlfn.XLOOKUP($A95,'Raw Data'!$G:$G,'Raw Data'!AE:AE)*(1+(_xlfn.XLOOKUP(Table13[[#This Row],[Month Year]],JMR!$A:$A,JMR!$J:$J))),"")</f>
        <v>46498.96000000005</v>
      </c>
      <c r="AB95" s="17">
        <f>_xlfn.XLOOKUP($D95,'Modelling New'!D:D,'Modelling New'!N:N)</f>
        <v>10.507</v>
      </c>
      <c r="AC95" s="24">
        <f>IFERROR(_xlfn.XLOOKUP($D95,'Modelling New'!$D:$D,'Modelling New'!P:P),"")</f>
        <v>5.2372339522000004</v>
      </c>
      <c r="AD95" s="38">
        <f>IFERROR(_xlfn.XLOOKUP($D95,'Modelling New'!$D:$D,'Modelling New'!T:T)*1000,"")</f>
        <v>37399.828631840392</v>
      </c>
      <c r="AE95" s="164">
        <f t="shared" si="9"/>
        <v>0.67965560892027499</v>
      </c>
      <c r="AF95" s="164">
        <f>IFERROR(_xlfn.XLOOKUP($D95,'Modelling New'!$D:$D,'Modelling New'!W:W),"")</f>
        <v>0.14831314295168455</v>
      </c>
      <c r="AG95" s="164">
        <f>IFERROR(_xlfn.XLOOKUP($D95,'Modelling New'!$D:$D,'Modelling New'!AD:AD),"")</f>
        <v>0.995</v>
      </c>
      <c r="AH95" s="164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64"/>
      <c r="AO95" s="164"/>
      <c r="AP95" s="164"/>
      <c r="AQ95" s="164"/>
      <c r="AR95" s="38">
        <f>IFERROR(_xlfn.XLOOKUP($D95,'Modelling New'!$D:$D,'Modelling New'!$N:$N),"")</f>
        <v>10.507</v>
      </c>
      <c r="AS95" s="38"/>
      <c r="AT95" s="38">
        <f>IFERROR(_xlfn.XLOOKUP(Table13[[#This Row],[Date]],'Raw Data'!$G:$G,'Raw Data'!$AJ:$AJ),"")</f>
        <v>0</v>
      </c>
      <c r="AU95" s="38">
        <f>IFERROR(_xlfn.XLOOKUP(Table13[[#This Row],[Month Year]],'Modelling New'!$D:$D,'Modelling New'!$AN:$AN),"")</f>
        <v>10</v>
      </c>
      <c r="AV95" s="38">
        <f>SUMIF('Curtailment records'!$C:$C,Table13[[#This Row],[Date]],'Curtailment records'!$R:$R)/1000</f>
        <v>0</v>
      </c>
    </row>
    <row r="96" spans="1:48">
      <c r="A96" s="66">
        <f t="shared" si="10"/>
        <v>45839</v>
      </c>
      <c r="B96" s="38">
        <f>YEAR(Table13[[#This Row],[Date]])+IF(MONTH(Table13[[#This Row],[Date]])&gt;=4,1,0)</f>
        <v>2026</v>
      </c>
      <c r="C96" s="17">
        <f>YEAR(Table13[[#This Row],[Date]])</f>
        <v>2025</v>
      </c>
      <c r="D96" s="37">
        <f>Table13[[#This Row],[Date]]-DAY(Table13[[#This Row],[Date]])+1</f>
        <v>45839</v>
      </c>
      <c r="E96" s="17">
        <f t="shared" si="11"/>
        <v>31</v>
      </c>
      <c r="F96" s="135" cm="1">
        <f t="array" ref="F96">IFERROR(_xlfn.XLOOKUP(Table13[[#This Row],[Date]],Raw_Data[[#All],[Date]],Raw_Data[[#All],[Operating Hours]]),"")</f>
        <v>12.533333333333335</v>
      </c>
      <c r="G96" s="24">
        <f>IFERROR(_xlfn.XLOOKUP($A96,'Raw Data'!$G:$G,'Raw Data'!S:S)/1000,"")</f>
        <v>2.81</v>
      </c>
      <c r="H96" s="24"/>
      <c r="I96" s="24">
        <f>IFERROR(_xlfn.XLOOKUP($A96,'Raw Data'!$G:$G,'Raw Data'!AF:AF)/1000,"")</f>
        <v>2.73</v>
      </c>
      <c r="J96" s="24"/>
      <c r="K96" s="137">
        <f>IFERROR(_xlfn.XLOOKUP($A96,'Raw Data'!$G:$G,'Raw Data'!W:W),"")</f>
        <v>24.52366403627839</v>
      </c>
      <c r="L96" s="136">
        <f>IFERROR(_xlfn.XLOOKUP($A96,'Raw Data'!$G:$G,'Raw Data'!X:X),"")</f>
        <v>29.557530092844768</v>
      </c>
      <c r="M96" s="136">
        <f>IFERROR(_xlfn.XLOOKUP($A96,'Raw Data'!$G:$G,'Raw Data'!Y:Y),"")</f>
        <v>1.9007405885662216</v>
      </c>
      <c r="N96" s="136">
        <f>IFERROR(_xlfn.XLOOKUP($A96,'Raw Data'!$G:$G,'Raw Data'!Z:Z),"")</f>
        <v>6.3871164321899414</v>
      </c>
      <c r="O96" s="176">
        <f>IFERROR(1-SUMIF('Plant BD'!$B:$B,$A96,'Plant BD'!$AM:$AM)/($AA96+SUMIF('Plant BD'!$B:$B,$A96,'Plant BD'!$AM:$AM)),"")</f>
        <v>1</v>
      </c>
      <c r="P96" s="176"/>
      <c r="Q96" s="177"/>
      <c r="R96" s="179">
        <f>IFERROR(1-SUMIF('Grid BD'!$B:$B,$A96,'Grid BD'!$AE:$AE)/($AA96+SUMIF('Grid BD'!$B:$B,$A96,'Grid BD'!$AE:$AE)),"")</f>
        <v>1</v>
      </c>
      <c r="S96" s="17"/>
      <c r="T96" s="177">
        <f>IFERROR(1-SUMIF(Tracker_BD!H:H,$A96,Tracker_BD!AI:AI)/$F96,"")</f>
        <v>1</v>
      </c>
      <c r="U96" s="178">
        <f t="shared" si="7"/>
        <v>0.78257265085089489</v>
      </c>
      <c r="V96" s="17"/>
      <c r="W96" s="164">
        <f t="shared" si="8"/>
        <v>8.9017639034289275E-2</v>
      </c>
      <c r="X96" s="17">
        <f>IFERROR(_xlfn.XLOOKUP($A96,'Raw Data'!$G:$G,'Raw Data'!AB:AB),"")</f>
        <v>24604</v>
      </c>
      <c r="Y96" s="17">
        <f>IFERROR(_xlfn.XLOOKUP($A96,'Raw Data'!$G:$G,'Raw Data'!AC:AC),"")</f>
        <v>22756.099999998696</v>
      </c>
      <c r="Z96" s="38">
        <f>IFERROR(_xlfn.XLOOKUP($A96,'Raw Data'!$G:$G,'Raw Data'!AD:AD),"")</f>
        <v>308.70000000003728</v>
      </c>
      <c r="AA96" s="38">
        <f>IFERROR(_xlfn.XLOOKUP($A96,'Raw Data'!$G:$G,'Raw Data'!AE:AE)*(1+(_xlfn.XLOOKUP(Table13[[#This Row],[Month Year]],JMR!$A:$A,JMR!$J:$J))),"")</f>
        <v>22447.399999998659</v>
      </c>
      <c r="AB96" s="17">
        <f>_xlfn.XLOOKUP($D96,'Modelling New'!D:D,'Modelling New'!N:N)</f>
        <v>10.507</v>
      </c>
      <c r="AC96" s="24">
        <f>IFERROR(_xlfn.XLOOKUP($D96,'Modelling New'!$D:$D,'Modelling New'!P:P),"")</f>
        <v>4.2694462387096781</v>
      </c>
      <c r="AD96" s="38">
        <f>IFERROR(_xlfn.XLOOKUP($D96,'Modelling New'!$D:$D,'Modelling New'!T:T)*1000,"")</f>
        <v>31425.129045407131</v>
      </c>
      <c r="AE96" s="164">
        <f t="shared" si="9"/>
        <v>0.70053008017012453</v>
      </c>
      <c r="AF96" s="164">
        <f>IFERROR(_xlfn.XLOOKUP($D96,'Modelling New'!$D:$D,'Modelling New'!W:W),"")</f>
        <v>0.12461981316188862</v>
      </c>
      <c r="AG96" s="164">
        <f>IFERROR(_xlfn.XLOOKUP($D96,'Modelling New'!$D:$D,'Modelling New'!AD:AD),"")</f>
        <v>0.995</v>
      </c>
      <c r="AH96" s="164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64"/>
      <c r="AO96" s="164"/>
      <c r="AP96" s="164"/>
      <c r="AQ96" s="164"/>
      <c r="AR96" s="38">
        <f>IFERROR(_xlfn.XLOOKUP($D96,'Modelling New'!$D:$D,'Modelling New'!$N:$N),"")</f>
        <v>10.507</v>
      </c>
      <c r="AS96" s="38"/>
      <c r="AT96" s="38">
        <f>IFERROR(_xlfn.XLOOKUP(Table13[[#This Row],[Date]],'Raw Data'!$G:$G,'Raw Data'!$AJ:$AJ),"")</f>
        <v>0</v>
      </c>
      <c r="AU96" s="38">
        <f>IFERROR(_xlfn.XLOOKUP(Table13[[#This Row],[Month Year]],'Modelling New'!$D:$D,'Modelling New'!$AN:$AN),"")</f>
        <v>10</v>
      </c>
      <c r="AV96" s="38">
        <f>SUMIF('Curtailment records'!$C:$C,Table13[[#This Row],[Date]],'Curtailment records'!$R:$R)/1000</f>
        <v>0</v>
      </c>
    </row>
    <row r="97" spans="1:48">
      <c r="A97" s="66">
        <f t="shared" si="10"/>
        <v>45840</v>
      </c>
      <c r="B97" s="38">
        <f>YEAR(Table13[[#This Row],[Date]])+IF(MONTH(Table13[[#This Row],[Date]])&gt;=4,1,0)</f>
        <v>2026</v>
      </c>
      <c r="C97" s="17">
        <f>YEAR(Table13[[#This Row],[Date]])</f>
        <v>2025</v>
      </c>
      <c r="D97" s="37">
        <f>Table13[[#This Row],[Date]]-DAY(Table13[[#This Row],[Date]])+1</f>
        <v>45839</v>
      </c>
      <c r="E97" s="17">
        <f t="shared" si="11"/>
        <v>31</v>
      </c>
      <c r="F97" s="135" cm="1">
        <f t="array" ref="F97">IFERROR(_xlfn.XLOOKUP(Table13[[#This Row],[Date]],Raw_Data[[#All],[Date]],Raw_Data[[#All],[Operating Hours]]),"")</f>
        <v>12.566666666666666</v>
      </c>
      <c r="G97" s="136">
        <f>IFERROR(_xlfn.XLOOKUP($A97,'Raw Data'!$G:$G,'Raw Data'!S:S)/1000,"")</f>
        <v>4.16</v>
      </c>
      <c r="H97" s="136"/>
      <c r="I97" s="136">
        <f>IFERROR(_xlfn.XLOOKUP($A97,'Raw Data'!$G:$G,'Raw Data'!AF:AF)/1000,"")</f>
        <v>4.165</v>
      </c>
      <c r="J97" s="136"/>
      <c r="K97" s="137">
        <f>IFERROR(_xlfn.XLOOKUP($A97,'Raw Data'!$G:$G,'Raw Data'!W:W),"")</f>
        <v>25.304976208500129</v>
      </c>
      <c r="L97" s="136">
        <f>IFERROR(_xlfn.XLOOKUP($A97,'Raw Data'!$G:$G,'Raw Data'!X:X),"")</f>
        <v>32.878422651341353</v>
      </c>
      <c r="M97" s="136">
        <f>IFERROR(_xlfn.XLOOKUP($A97,'Raw Data'!$G:$G,'Raw Data'!Y:Y),"")</f>
        <v>2.78884566304176</v>
      </c>
      <c r="N97" s="136">
        <f>IFERROR(_xlfn.XLOOKUP($A97,'Raw Data'!$G:$G,'Raw Data'!Z:Z),"")</f>
        <v>8.3453655242919922</v>
      </c>
      <c r="O97" s="176">
        <f>IFERROR(1-SUMIF('Plant BD'!$B:$B,$A97,'Plant BD'!$AM:$AM)/($AA97+SUMIF('Plant BD'!$B:$B,$A97,'Plant BD'!$AM:$AM)),"")</f>
        <v>1</v>
      </c>
      <c r="P97" s="176"/>
      <c r="Q97" s="177"/>
      <c r="R97" s="176">
        <f>IFERROR(1-SUMIF('Grid BD'!$B:$B,$A97,'Grid BD'!$AE:$AE)/($AA97+SUMIF('Grid BD'!$B:$B,$A97,'Grid BD'!$AE:$AE)),"")</f>
        <v>1</v>
      </c>
      <c r="S97" s="17"/>
      <c r="T97" s="177">
        <f>IFERROR(1-SUMIF(Tracker_BD!H:H,$A97,Tracker_BD!AI:AI)/$F97,"")</f>
        <v>1</v>
      </c>
      <c r="U97" s="178">
        <f t="shared" si="7"/>
        <v>0.75075405626229375</v>
      </c>
      <c r="V97" s="17"/>
      <c r="W97" s="164">
        <f t="shared" si="8"/>
        <v>0.13028711018051889</v>
      </c>
      <c r="X97" s="17">
        <f>IFERROR(_xlfn.XLOOKUP($A97,'Raw Data'!$G:$G,'Raw Data'!AB:AB),"")</f>
        <v>33509</v>
      </c>
      <c r="Y97" s="17">
        <f>IFERROR(_xlfn.XLOOKUP($A97,'Raw Data'!$G:$G,'Raw Data'!AC:AC),"")</f>
        <v>33176.800000001094</v>
      </c>
      <c r="Z97" s="38">
        <f>IFERROR(_xlfn.XLOOKUP($A97,'Raw Data'!$G:$G,'Raw Data'!AD:AD),"")</f>
        <v>322.56000000000284</v>
      </c>
      <c r="AA97" s="38">
        <f>IFERROR(_xlfn.XLOOKUP($A97,'Raw Data'!$G:$G,'Raw Data'!AE:AE)*(1+(_xlfn.XLOOKUP(Table13[[#This Row],[Month Year]],JMR!$A:$A,JMR!$J:$J))),"")</f>
        <v>32854.240000001089</v>
      </c>
      <c r="AB97" s="17">
        <f>_xlfn.XLOOKUP($D97,'Modelling New'!D:D,'Modelling New'!N:N)</f>
        <v>10.507</v>
      </c>
      <c r="AC97" s="24">
        <f>IFERROR(_xlfn.XLOOKUP($D97,'Modelling New'!$D:$D,'Modelling New'!P:P),"")</f>
        <v>4.2694462387096781</v>
      </c>
      <c r="AD97" s="38">
        <f>IFERROR(_xlfn.XLOOKUP($D97,'Modelling New'!$D:$D,'Modelling New'!T:T)*1000,"")</f>
        <v>31425.129045407131</v>
      </c>
      <c r="AE97" s="164">
        <f t="shared" si="9"/>
        <v>0.70053008017012453</v>
      </c>
      <c r="AF97" s="164">
        <f>IFERROR(_xlfn.XLOOKUP($D97,'Modelling New'!$D:$D,'Modelling New'!W:W),"")</f>
        <v>0.12461981316188862</v>
      </c>
      <c r="AG97" s="164">
        <f>IFERROR(_xlfn.XLOOKUP($D97,'Modelling New'!$D:$D,'Modelling New'!AD:AD),"")</f>
        <v>0.995</v>
      </c>
      <c r="AH97" s="164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64"/>
      <c r="AO97" s="164"/>
      <c r="AP97" s="164"/>
      <c r="AQ97" s="164"/>
      <c r="AR97" s="38">
        <f>IFERROR(_xlfn.XLOOKUP($D97,'Modelling New'!$D:$D,'Modelling New'!$N:$N),"")</f>
        <v>10.507</v>
      </c>
      <c r="AS97" s="38"/>
      <c r="AT97" s="38">
        <f>IFERROR(_xlfn.XLOOKUP(Table13[[#This Row],[Date]],'Raw Data'!$G:$G,'Raw Data'!$AJ:$AJ),"")</f>
        <v>0</v>
      </c>
      <c r="AU97" s="38">
        <f>IFERROR(_xlfn.XLOOKUP(Table13[[#This Row],[Month Year]],'Modelling New'!$D:$D,'Modelling New'!$AN:$AN),"")</f>
        <v>10</v>
      </c>
      <c r="AV97" s="38">
        <f>SUMIF('Curtailment records'!$C:$C,Table13[[#This Row],[Date]],'Curtailment records'!$R:$R)/1000</f>
        <v>0</v>
      </c>
    </row>
    <row r="98" spans="1:48">
      <c r="A98" s="66">
        <f t="shared" si="10"/>
        <v>45841</v>
      </c>
      <c r="B98" s="38">
        <f>YEAR(Table13[[#This Row],[Date]])+IF(MONTH(Table13[[#This Row],[Date]])&gt;=4,1,0)</f>
        <v>2026</v>
      </c>
      <c r="C98" s="17">
        <f>YEAR(Table13[[#This Row],[Date]])</f>
        <v>2025</v>
      </c>
      <c r="D98" s="37">
        <f>Table13[[#This Row],[Date]]-DAY(Table13[[#This Row],[Date]])+1</f>
        <v>45839</v>
      </c>
      <c r="E98" s="17">
        <f t="shared" si="11"/>
        <v>31</v>
      </c>
      <c r="F98" s="135" cm="1">
        <f t="array" ref="F98">IFERROR(_xlfn.XLOOKUP(Table13[[#This Row],[Date]],Raw_Data[[#All],[Date]],Raw_Data[[#All],[Operating Hours]]),"")</f>
        <v>12.333333333333332</v>
      </c>
      <c r="G98" s="24">
        <f>IFERROR(_xlfn.XLOOKUP($A98,'Raw Data'!$G:$G,'Raw Data'!S:S)/1000,"")</f>
        <v>3.28</v>
      </c>
      <c r="H98" s="24"/>
      <c r="I98" s="24">
        <f>IFERROR(_xlfn.XLOOKUP($A98,'Raw Data'!$G:$G,'Raw Data'!AF:AF)/1000,"")</f>
        <v>3.23</v>
      </c>
      <c r="J98" s="24"/>
      <c r="K98" s="137">
        <f>IFERROR(_xlfn.XLOOKUP($A98,'Raw Data'!$G:$G,'Raw Data'!W:W),"")</f>
        <v>24.07525502718412</v>
      </c>
      <c r="L98" s="136">
        <f>IFERROR(_xlfn.XLOOKUP($A98,'Raw Data'!$G:$G,'Raw Data'!X:X),"")</f>
        <v>30.455222805501961</v>
      </c>
      <c r="M98" s="136">
        <f>IFERROR(_xlfn.XLOOKUP($A98,'Raw Data'!$G:$G,'Raw Data'!Y:Y),"")</f>
        <v>2.0250793121926054</v>
      </c>
      <c r="N98" s="136">
        <f>IFERROR(_xlfn.XLOOKUP($A98,'Raw Data'!$G:$G,'Raw Data'!Z:Z),"")</f>
        <v>6.7357792854309082</v>
      </c>
      <c r="O98" s="176">
        <f>IFERROR(1-SUMIF('Plant BD'!$B:$B,$A98,'Plant BD'!$AM:$AM)/($AA98+SUMIF('Plant BD'!$B:$B,$A98,'Plant BD'!$AM:$AM)),"")</f>
        <v>1</v>
      </c>
      <c r="P98" s="176"/>
      <c r="Q98" s="177"/>
      <c r="R98" s="179">
        <f>IFERROR(1-SUMIF('Grid BD'!$B:$B,$A98,'Grid BD'!$AE:$AE)/($AA98+SUMIF('Grid BD'!$B:$B,$A98,'Grid BD'!$AE:$AE)),"")</f>
        <v>1</v>
      </c>
      <c r="S98" s="17"/>
      <c r="T98" s="177">
        <f>IFERROR(1-SUMIF(Tracker_BD!H:H,$A98,Tracker_BD!AI:AI)/$F98,"")</f>
        <v>1</v>
      </c>
      <c r="U98" s="178">
        <f t="shared" si="7"/>
        <v>0.77513001062837383</v>
      </c>
      <c r="V98" s="17"/>
      <c r="W98" s="164">
        <f t="shared" si="8"/>
        <v>0.10431958059706863</v>
      </c>
      <c r="X98" s="17">
        <f>IFERROR(_xlfn.XLOOKUP($A98,'Raw Data'!$G:$G,'Raw Data'!AB:AB),"")</f>
        <v>27946</v>
      </c>
      <c r="Y98" s="17">
        <f>IFERROR(_xlfn.XLOOKUP($A98,'Raw Data'!$G:$G,'Raw Data'!AC:AC),"")</f>
        <v>26633.00000000163</v>
      </c>
      <c r="Z98" s="38">
        <f>IFERROR(_xlfn.XLOOKUP($A98,'Raw Data'!$G:$G,'Raw Data'!AD:AD),"")</f>
        <v>326.94000000002887</v>
      </c>
      <c r="AA98" s="38">
        <f>IFERROR(_xlfn.XLOOKUP($A98,'Raw Data'!$G:$G,'Raw Data'!AE:AE)*(1+(_xlfn.XLOOKUP(Table13[[#This Row],[Month Year]],JMR!$A:$A,JMR!$J:$J))),"")</f>
        <v>26306.060000001602</v>
      </c>
      <c r="AB98" s="17">
        <f>_xlfn.XLOOKUP($D98,'Modelling New'!D:D,'Modelling New'!N:N)</f>
        <v>10.507</v>
      </c>
      <c r="AC98" s="24">
        <f>IFERROR(_xlfn.XLOOKUP($D98,'Modelling New'!$D:$D,'Modelling New'!P:P),"")</f>
        <v>4.2694462387096781</v>
      </c>
      <c r="AD98" s="38">
        <f>IFERROR(_xlfn.XLOOKUP($D98,'Modelling New'!$D:$D,'Modelling New'!T:T)*1000,"")</f>
        <v>31425.129045407131</v>
      </c>
      <c r="AE98" s="164">
        <f t="shared" si="9"/>
        <v>0.70053008017012453</v>
      </c>
      <c r="AF98" s="164">
        <f>IFERROR(_xlfn.XLOOKUP($D98,'Modelling New'!$D:$D,'Modelling New'!W:W),"")</f>
        <v>0.12461981316188862</v>
      </c>
      <c r="AG98" s="164">
        <f>IFERROR(_xlfn.XLOOKUP($D98,'Modelling New'!$D:$D,'Modelling New'!AD:AD),"")</f>
        <v>0.995</v>
      </c>
      <c r="AH98" s="164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64"/>
      <c r="AO98" s="164"/>
      <c r="AP98" s="164"/>
      <c r="AQ98" s="164"/>
      <c r="AR98" s="38">
        <f>IFERROR(_xlfn.XLOOKUP($D98,'Modelling New'!$D:$D,'Modelling New'!$N:$N),"")</f>
        <v>10.507</v>
      </c>
      <c r="AS98" s="38"/>
      <c r="AT98" s="38">
        <f>IFERROR(_xlfn.XLOOKUP(Table13[[#This Row],[Date]],'Raw Data'!$G:$G,'Raw Data'!$AJ:$AJ),"")</f>
        <v>0</v>
      </c>
      <c r="AU98" s="38">
        <f>IFERROR(_xlfn.XLOOKUP(Table13[[#This Row],[Month Year]],'Modelling New'!$D:$D,'Modelling New'!$AN:$AN),"")</f>
        <v>10</v>
      </c>
      <c r="AV98" s="38">
        <f>SUMIF('Curtailment records'!$C:$C,Table13[[#This Row],[Date]],'Curtailment records'!$R:$R)/1000</f>
        <v>0</v>
      </c>
    </row>
    <row r="99" spans="1:48">
      <c r="A99" s="66">
        <f t="shared" si="10"/>
        <v>45842</v>
      </c>
      <c r="B99" s="38">
        <f>YEAR(Table13[[#This Row],[Date]])+IF(MONTH(Table13[[#This Row],[Date]])&gt;=4,1,0)</f>
        <v>2026</v>
      </c>
      <c r="C99" s="17">
        <f>YEAR(Table13[[#This Row],[Date]])</f>
        <v>2025</v>
      </c>
      <c r="D99" s="37">
        <f>Table13[[#This Row],[Date]]-DAY(Table13[[#This Row],[Date]])+1</f>
        <v>45839</v>
      </c>
      <c r="E99" s="17">
        <f t="shared" si="11"/>
        <v>31</v>
      </c>
      <c r="F99" s="135" cm="1">
        <f t="array" ref="F99">IFERROR(_xlfn.XLOOKUP(Table13[[#This Row],[Date]],Raw_Data[[#All],[Date]],Raw_Data[[#All],[Operating Hours]]),"")</f>
        <v>12.533333333333335</v>
      </c>
      <c r="G99" s="136">
        <f>IFERROR(_xlfn.XLOOKUP($A99,'Raw Data'!$G:$G,'Raw Data'!S:S)/1000,"")</f>
        <v>5.62</v>
      </c>
      <c r="H99" s="136"/>
      <c r="I99" s="136">
        <f>IFERROR(_xlfn.XLOOKUP($A99,'Raw Data'!$G:$G,'Raw Data'!AF:AF)/1000,"")</f>
        <v>5.42</v>
      </c>
      <c r="J99" s="136"/>
      <c r="K99" s="137">
        <f>IFERROR(_xlfn.XLOOKUP($A99,'Raw Data'!$G:$G,'Raw Data'!W:W),"")</f>
        <v>26.168746299794311</v>
      </c>
      <c r="L99" s="136">
        <f>IFERROR(_xlfn.XLOOKUP($A99,'Raw Data'!$G:$G,'Raw Data'!X:X),"")</f>
        <v>36.735953038432207</v>
      </c>
      <c r="M99" s="136">
        <f>IFERROR(_xlfn.XLOOKUP($A99,'Raw Data'!$G:$G,'Raw Data'!Y:Y),"")</f>
        <v>2.5882930083578803</v>
      </c>
      <c r="N99" s="136">
        <f>IFERROR(_xlfn.XLOOKUP($A99,'Raw Data'!$G:$G,'Raw Data'!Z:Z),"")</f>
        <v>8.6863269805908203</v>
      </c>
      <c r="O99" s="176">
        <f>IFERROR(1-SUMIF('Plant BD'!$B:$B,$A99,'Plant BD'!$AM:$AM)/($AA99+SUMIF('Plant BD'!$B:$B,$A99,'Plant BD'!$AM:$AM)),"")</f>
        <v>0.99657616911860858</v>
      </c>
      <c r="P99" s="176"/>
      <c r="Q99" s="177"/>
      <c r="R99" s="176">
        <f>IFERROR(1-SUMIF('Grid BD'!$B:$B,$A99,'Grid BD'!$AE:$AE)/($AA99+SUMIF('Grid BD'!$B:$B,$A99,'Grid BD'!$AE:$AE)),"")</f>
        <v>1</v>
      </c>
      <c r="S99" s="17"/>
      <c r="T99" s="177">
        <f>IFERROR(1-SUMIF(Tracker_BD!H:H,$A99,Tracker_BD!AI:AI)/$F99,"")</f>
        <v>1</v>
      </c>
      <c r="U99" s="178">
        <f t="shared" si="7"/>
        <v>0.72205983219063297</v>
      </c>
      <c r="V99" s="17"/>
      <c r="W99" s="164">
        <f t="shared" si="8"/>
        <v>0.16306517876971793</v>
      </c>
      <c r="X99" s="17">
        <f>IFERROR(_xlfn.XLOOKUP($A99,'Raw Data'!$G:$G,'Raw Data'!AB:AB),"")</f>
        <v>40436</v>
      </c>
      <c r="Y99" s="17">
        <f>IFERROR(_xlfn.XLOOKUP($A99,'Raw Data'!$G:$G,'Raw Data'!AC:AC),"")</f>
        <v>41416.100000002189</v>
      </c>
      <c r="Z99" s="38">
        <f>IFERROR(_xlfn.XLOOKUP($A99,'Raw Data'!$G:$G,'Raw Data'!AD:AD),"")</f>
        <v>296.27999999995325</v>
      </c>
      <c r="AA99" s="38">
        <f>IFERROR(_xlfn.XLOOKUP($A99,'Raw Data'!$G:$G,'Raw Data'!AE:AE)*(1+(_xlfn.XLOOKUP(Table13[[#This Row],[Month Year]],JMR!$A:$A,JMR!$J:$J))),"")</f>
        <v>41119.820000002233</v>
      </c>
      <c r="AB99" s="17">
        <f>_xlfn.XLOOKUP($D99,'Modelling New'!D:D,'Modelling New'!N:N)</f>
        <v>10.507</v>
      </c>
      <c r="AC99" s="24">
        <f>IFERROR(_xlfn.XLOOKUP($D99,'Modelling New'!$D:$D,'Modelling New'!P:P),"")</f>
        <v>4.2694462387096781</v>
      </c>
      <c r="AD99" s="38">
        <f>IFERROR(_xlfn.XLOOKUP($D99,'Modelling New'!$D:$D,'Modelling New'!T:T)*1000,"")</f>
        <v>31425.129045407131</v>
      </c>
      <c r="AE99" s="164">
        <f t="shared" si="9"/>
        <v>0.70053008017012453</v>
      </c>
      <c r="AF99" s="164">
        <f>IFERROR(_xlfn.XLOOKUP($D99,'Modelling New'!$D:$D,'Modelling New'!W:W),"")</f>
        <v>0.12461981316188862</v>
      </c>
      <c r="AG99" s="164">
        <f>IFERROR(_xlfn.XLOOKUP($D99,'Modelling New'!$D:$D,'Modelling New'!AD:AD),"")</f>
        <v>0.995</v>
      </c>
      <c r="AH99" s="164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64"/>
      <c r="AO99" s="164"/>
      <c r="AP99" s="164"/>
      <c r="AQ99" s="164"/>
      <c r="AR99" s="38">
        <f>IFERROR(_xlfn.XLOOKUP($D99,'Modelling New'!$D:$D,'Modelling New'!$N:$N),"")</f>
        <v>10.507</v>
      </c>
      <c r="AS99" s="38"/>
      <c r="AT99" s="38">
        <f>IFERROR(_xlfn.XLOOKUP(Table13[[#This Row],[Date]],'Raw Data'!$G:$G,'Raw Data'!$AJ:$AJ),"")</f>
        <v>0</v>
      </c>
      <c r="AU99" s="38">
        <f>IFERROR(_xlfn.XLOOKUP(Table13[[#This Row],[Month Year]],'Modelling New'!$D:$D,'Modelling New'!$AN:$AN),"")</f>
        <v>10</v>
      </c>
      <c r="AV99" s="38">
        <f>SUMIF('Curtailment records'!$C:$C,Table13[[#This Row],[Date]],'Curtailment records'!$R:$R)/1000</f>
        <v>0</v>
      </c>
    </row>
    <row r="100" spans="1:48">
      <c r="A100" s="66">
        <f t="shared" si="10"/>
        <v>45843</v>
      </c>
      <c r="B100" s="38">
        <f>YEAR(Table13[[#This Row],[Date]])+IF(MONTH(Table13[[#This Row],[Date]])&gt;=4,1,0)</f>
        <v>2026</v>
      </c>
      <c r="C100" s="17">
        <f>YEAR(Table13[[#This Row],[Date]])</f>
        <v>2025</v>
      </c>
      <c r="D100" s="37">
        <f>Table13[[#This Row],[Date]]-DAY(Table13[[#This Row],[Date]])+1</f>
        <v>45839</v>
      </c>
      <c r="E100" s="17">
        <f t="shared" si="11"/>
        <v>31</v>
      </c>
      <c r="F100" s="135" cm="1">
        <f t="array" ref="F100">IFERROR(_xlfn.XLOOKUP(Table13[[#This Row],[Date]],Raw_Data[[#All],[Date]],Raw_Data[[#All],[Operating Hours]]),"")</f>
        <v>12.55</v>
      </c>
      <c r="G100" s="24">
        <f>IFERROR(_xlfn.XLOOKUP($A100,'Raw Data'!$G:$G,'Raw Data'!S:S)/1000,"")</f>
        <v>2.71</v>
      </c>
      <c r="H100" s="24"/>
      <c r="I100" s="24">
        <f>IFERROR(_xlfn.XLOOKUP($A100,'Raw Data'!$G:$G,'Raw Data'!AF:AF)/1000,"")</f>
        <v>2.63</v>
      </c>
      <c r="J100" s="24"/>
      <c r="K100" s="137">
        <f>IFERROR(_xlfn.XLOOKUP($A100,'Raw Data'!$G:$G,'Raw Data'!W:W),"")</f>
        <v>23.947778481703537</v>
      </c>
      <c r="L100" s="136">
        <f>IFERROR(_xlfn.XLOOKUP($A100,'Raw Data'!$G:$G,'Raw Data'!X:X),"")</f>
        <v>28.503711973640584</v>
      </c>
      <c r="M100" s="136">
        <f>IFERROR(_xlfn.XLOOKUP($A100,'Raw Data'!$G:$G,'Raw Data'!Y:Y),"")</f>
        <v>1.8307118929665664</v>
      </c>
      <c r="N100" s="136">
        <f>IFERROR(_xlfn.XLOOKUP($A100,'Raw Data'!$G:$G,'Raw Data'!Z:Z),"")</f>
        <v>5.4042253494262695</v>
      </c>
      <c r="O100" s="176">
        <f>IFERROR(1-SUMIF('Plant BD'!$B:$B,$A100,'Plant BD'!$AM:$AM)/($AA100+SUMIF('Plant BD'!$B:$B,$A100,'Plant BD'!$AM:$AM)),"")</f>
        <v>1</v>
      </c>
      <c r="P100" s="176"/>
      <c r="Q100" s="177"/>
      <c r="R100" s="179">
        <f>IFERROR(1-SUMIF('Grid BD'!$B:$B,$A100,'Grid BD'!$AE:$AE)/($AA100+SUMIF('Grid BD'!$B:$B,$A100,'Grid BD'!$AE:$AE)),"")</f>
        <v>1</v>
      </c>
      <c r="S100" s="17"/>
      <c r="T100" s="177">
        <f>IFERROR(1-SUMIF(Tracker_BD!H:H,$A100,Tracker_BD!AI:AI)/$F100,"")</f>
        <v>1</v>
      </c>
      <c r="U100" s="178">
        <f t="shared" si="7"/>
        <v>0.78535801408514794</v>
      </c>
      <c r="V100" s="17"/>
      <c r="W100" s="164">
        <f t="shared" si="8"/>
        <v>8.606214904349746E-2</v>
      </c>
      <c r="X100" s="17">
        <f>IFERROR(_xlfn.XLOOKUP($A100,'Raw Data'!$G:$G,'Raw Data'!AB:AB),"")</f>
        <v>24002</v>
      </c>
      <c r="Y100" s="17">
        <f>IFERROR(_xlfn.XLOOKUP($A100,'Raw Data'!$G:$G,'Raw Data'!AC:AC),"")</f>
        <v>21980.100000000675</v>
      </c>
      <c r="Z100" s="38">
        <f>IFERROR(_xlfn.XLOOKUP($A100,'Raw Data'!$G:$G,'Raw Data'!AD:AD),"")</f>
        <v>277.98000000000656</v>
      </c>
      <c r="AA100" s="38">
        <f>IFERROR(_xlfn.XLOOKUP($A100,'Raw Data'!$G:$G,'Raw Data'!AE:AE)*(1+(_xlfn.XLOOKUP(Table13[[#This Row],[Month Year]],JMR!$A:$A,JMR!$J:$J))),"")</f>
        <v>21702.120000000668</v>
      </c>
      <c r="AB100" s="17">
        <f>_xlfn.XLOOKUP($D100,'Modelling New'!D:D,'Modelling New'!N:N)</f>
        <v>10.507</v>
      </c>
      <c r="AC100" s="24">
        <f>IFERROR(_xlfn.XLOOKUP($D100,'Modelling New'!$D:$D,'Modelling New'!P:P),"")</f>
        <v>4.2694462387096781</v>
      </c>
      <c r="AD100" s="38">
        <f>IFERROR(_xlfn.XLOOKUP($D100,'Modelling New'!$D:$D,'Modelling New'!T:T)*1000,"")</f>
        <v>31425.129045407131</v>
      </c>
      <c r="AE100" s="164">
        <f t="shared" si="9"/>
        <v>0.70053008017012453</v>
      </c>
      <c r="AF100" s="164">
        <f>IFERROR(_xlfn.XLOOKUP($D100,'Modelling New'!$D:$D,'Modelling New'!W:W),"")</f>
        <v>0.12461981316188862</v>
      </c>
      <c r="AG100" s="164">
        <f>IFERROR(_xlfn.XLOOKUP($D100,'Modelling New'!$D:$D,'Modelling New'!AD:AD),"")</f>
        <v>0.995</v>
      </c>
      <c r="AH100" s="164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64"/>
      <c r="AO100" s="164"/>
      <c r="AP100" s="164"/>
      <c r="AQ100" s="164"/>
      <c r="AR100" s="38">
        <f>IFERROR(_xlfn.XLOOKUP($D100,'Modelling New'!$D:$D,'Modelling New'!$N:$N),"")</f>
        <v>10.507</v>
      </c>
      <c r="AS100" s="38"/>
      <c r="AT100" s="38">
        <f>IFERROR(_xlfn.XLOOKUP(Table13[[#This Row],[Date]],'Raw Data'!$G:$G,'Raw Data'!$AJ:$AJ),"")</f>
        <v>0</v>
      </c>
      <c r="AU100" s="38">
        <f>IFERROR(_xlfn.XLOOKUP(Table13[[#This Row],[Month Year]],'Modelling New'!$D:$D,'Modelling New'!$AN:$AN),"")</f>
        <v>10</v>
      </c>
      <c r="AV100" s="38">
        <f>SUMIF('Curtailment records'!$C:$C,Table13[[#This Row],[Date]],'Curtailment records'!$R:$R)/1000</f>
        <v>0</v>
      </c>
    </row>
    <row r="101" spans="1:48">
      <c r="A101" s="66">
        <f t="shared" si="10"/>
        <v>45844</v>
      </c>
      <c r="B101" s="38">
        <f>YEAR(Table13[[#This Row],[Date]])+IF(MONTH(Table13[[#This Row],[Date]])&gt;=4,1,0)</f>
        <v>2026</v>
      </c>
      <c r="C101" s="17">
        <f>YEAR(Table13[[#This Row],[Date]])</f>
        <v>2025</v>
      </c>
      <c r="D101" s="37">
        <f>Table13[[#This Row],[Date]]-DAY(Table13[[#This Row],[Date]])+1</f>
        <v>45839</v>
      </c>
      <c r="E101" s="17">
        <f t="shared" si="11"/>
        <v>31</v>
      </c>
      <c r="F101" s="135" cm="1">
        <f t="array" ref="F101">IFERROR(_xlfn.XLOOKUP(Table13[[#This Row],[Date]],Raw_Data[[#All],[Date]],Raw_Data[[#All],[Operating Hours]]),"")</f>
        <v>12.633333333333333</v>
      </c>
      <c r="G101" s="136">
        <f>IFERROR(_xlfn.XLOOKUP($A101,'Raw Data'!$G:$G,'Raw Data'!S:S)/1000,"")</f>
        <v>3.76</v>
      </c>
      <c r="H101" s="136"/>
      <c r="I101" s="136">
        <f>IFERROR(_xlfn.XLOOKUP($A101,'Raw Data'!$G:$G,'Raw Data'!AF:AF)/1000,"")</f>
        <v>3.8149999999999999</v>
      </c>
      <c r="J101" s="136"/>
      <c r="K101" s="137">
        <f>IFERROR(_xlfn.XLOOKUP($A101,'Raw Data'!$G:$G,'Raw Data'!W:W),"")</f>
        <v>24.221737812630273</v>
      </c>
      <c r="L101" s="136">
        <f>IFERROR(_xlfn.XLOOKUP($A101,'Raw Data'!$G:$G,'Raw Data'!X:X),"")</f>
        <v>47.360076904296875</v>
      </c>
      <c r="M101" s="136">
        <f>IFERROR(_xlfn.XLOOKUP($A101,'Raw Data'!$G:$G,'Raw Data'!Y:Y),"")</f>
        <v>2.4315711433394309</v>
      </c>
      <c r="N101" s="136">
        <f>IFERROR(_xlfn.XLOOKUP($A101,'Raw Data'!$G:$G,'Raw Data'!Z:Z),"")</f>
        <v>7.1164336204528809</v>
      </c>
      <c r="O101" s="176">
        <f>IFERROR(1-SUMIF('Plant BD'!$B:$B,$A101,'Plant BD'!$AM:$AM)/($AA101+SUMIF('Plant BD'!$B:$B,$A101,'Plant BD'!$AM:$AM)),"")</f>
        <v>1</v>
      </c>
      <c r="P101" s="176"/>
      <c r="Q101" s="177"/>
      <c r="R101" s="176">
        <f>IFERROR(1-SUMIF('Grid BD'!$B:$B,$A101,'Grid BD'!$AE:$AE)/($AA101+SUMIF('Grid BD'!$B:$B,$A101,'Grid BD'!$AE:$AE)),"")</f>
        <v>1</v>
      </c>
      <c r="S101" s="17"/>
      <c r="T101" s="177">
        <f>IFERROR(1-SUMIF(Tracker_BD!H:H,$A101,Tracker_BD!AI:AI)/$F101,"")</f>
        <v>1</v>
      </c>
      <c r="U101" s="178">
        <f t="shared" si="7"/>
        <v>0.76538576728653207</v>
      </c>
      <c r="V101" s="17"/>
      <c r="W101" s="164">
        <f t="shared" si="8"/>
        <v>0.12166444592492165</v>
      </c>
      <c r="X101" s="17">
        <f>IFERROR(_xlfn.XLOOKUP($A101,'Raw Data'!$G:$G,'Raw Data'!AB:AB),"")</f>
        <v>31627</v>
      </c>
      <c r="Y101" s="17">
        <f>IFERROR(_xlfn.XLOOKUP($A101,'Raw Data'!$G:$G,'Raw Data'!AC:AC),"")</f>
        <v>30965.8999999956</v>
      </c>
      <c r="Z101" s="38">
        <f>IFERROR(_xlfn.XLOOKUP($A101,'Raw Data'!$G:$G,'Raw Data'!AD:AD),"")</f>
        <v>286.01999999995797</v>
      </c>
      <c r="AA101" s="38">
        <f>IFERROR(_xlfn.XLOOKUP($A101,'Raw Data'!$G:$G,'Raw Data'!AE:AE)*(1+(_xlfn.XLOOKUP(Table13[[#This Row],[Month Year]],JMR!$A:$A,JMR!$J:$J))),"")</f>
        <v>30679.879999995643</v>
      </c>
      <c r="AB101" s="17">
        <f>_xlfn.XLOOKUP($D101,'Modelling New'!D:D,'Modelling New'!N:N)</f>
        <v>10.507</v>
      </c>
      <c r="AC101" s="24">
        <f>IFERROR(_xlfn.XLOOKUP($D101,'Modelling New'!$D:$D,'Modelling New'!P:P),"")</f>
        <v>4.2694462387096781</v>
      </c>
      <c r="AD101" s="38">
        <f>IFERROR(_xlfn.XLOOKUP($D101,'Modelling New'!$D:$D,'Modelling New'!T:T)*1000,"")</f>
        <v>31425.129045407131</v>
      </c>
      <c r="AE101" s="164">
        <f t="shared" si="9"/>
        <v>0.70053008017012453</v>
      </c>
      <c r="AF101" s="164">
        <f>IFERROR(_xlfn.XLOOKUP($D101,'Modelling New'!$D:$D,'Modelling New'!W:W),"")</f>
        <v>0.12461981316188862</v>
      </c>
      <c r="AG101" s="164">
        <f>IFERROR(_xlfn.XLOOKUP($D101,'Modelling New'!$D:$D,'Modelling New'!AD:AD),"")</f>
        <v>0.995</v>
      </c>
      <c r="AH101" s="164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64"/>
      <c r="AO101" s="164"/>
      <c r="AP101" s="164"/>
      <c r="AQ101" s="164"/>
      <c r="AR101" s="38">
        <f>IFERROR(_xlfn.XLOOKUP($D101,'Modelling New'!$D:$D,'Modelling New'!$N:$N),"")</f>
        <v>10.507</v>
      </c>
      <c r="AS101" s="38"/>
      <c r="AT101" s="38">
        <f>IFERROR(_xlfn.XLOOKUP(Table13[[#This Row],[Date]],'Raw Data'!$G:$G,'Raw Data'!$AJ:$AJ),"")</f>
        <v>0</v>
      </c>
      <c r="AU101" s="38">
        <f>IFERROR(_xlfn.XLOOKUP(Table13[[#This Row],[Month Year]],'Modelling New'!$D:$D,'Modelling New'!$AN:$AN),"")</f>
        <v>10</v>
      </c>
      <c r="AV101" s="38">
        <f>SUMIF('Curtailment records'!$C:$C,Table13[[#This Row],[Date]],'Curtailment records'!$R:$R)/1000</f>
        <v>0</v>
      </c>
    </row>
    <row r="102" spans="1:48">
      <c r="A102" s="66">
        <f t="shared" si="10"/>
        <v>45845</v>
      </c>
      <c r="B102" s="38">
        <f>YEAR(Table13[[#This Row],[Date]])+IF(MONTH(Table13[[#This Row],[Date]])&gt;=4,1,0)</f>
        <v>2026</v>
      </c>
      <c r="C102" s="17">
        <f>YEAR(Table13[[#This Row],[Date]])</f>
        <v>2025</v>
      </c>
      <c r="D102" s="37">
        <f>Table13[[#This Row],[Date]]-DAY(Table13[[#This Row],[Date]])+1</f>
        <v>45839</v>
      </c>
      <c r="E102" s="17">
        <f t="shared" si="11"/>
        <v>31</v>
      </c>
      <c r="F102" s="135" cm="1">
        <f t="array" ref="F102">IFERROR(_xlfn.XLOOKUP(Table13[[#This Row],[Date]],Raw_Data[[#All],[Date]],Raw_Data[[#All],[Operating Hours]]),"")</f>
        <v>12.633333333333333</v>
      </c>
      <c r="G102" s="24">
        <f>IFERROR(_xlfn.XLOOKUP($A102,'Raw Data'!$G:$G,'Raw Data'!S:S)/1000,"")</f>
        <v>4.4400000000000004</v>
      </c>
      <c r="H102" s="24"/>
      <c r="I102" s="24">
        <f>IFERROR(_xlfn.XLOOKUP($A102,'Raw Data'!$G:$G,'Raw Data'!AF:AF)/1000,"")</f>
        <v>4.51</v>
      </c>
      <c r="J102" s="24"/>
      <c r="K102" s="137">
        <f>IFERROR(_xlfn.XLOOKUP($A102,'Raw Data'!$G:$G,'Raw Data'!W:W),"")</f>
        <v>25.53250853597568</v>
      </c>
      <c r="L102" s="136">
        <f>IFERROR(_xlfn.XLOOKUP($A102,'Raw Data'!$G:$G,'Raw Data'!X:X),"")</f>
        <v>34.346145006664813</v>
      </c>
      <c r="M102" s="136">
        <f>IFERROR(_xlfn.XLOOKUP($A102,'Raw Data'!$G:$G,'Raw Data'!Y:Y),"")</f>
        <v>2.6347866662249109</v>
      </c>
      <c r="N102" s="136">
        <f>IFERROR(_xlfn.XLOOKUP($A102,'Raw Data'!$G:$G,'Raw Data'!Z:Z),"")</f>
        <v>8.1783866882324219</v>
      </c>
      <c r="O102" s="176">
        <f>IFERROR(1-SUMIF('Plant BD'!$B:$B,$A102,'Plant BD'!$AM:$AM)/($AA102+SUMIF('Plant BD'!$B:$B,$A102,'Plant BD'!$AM:$AM)),"")</f>
        <v>0.92099718953179743</v>
      </c>
      <c r="P102" s="176"/>
      <c r="Q102" s="177"/>
      <c r="R102" s="179">
        <f>IFERROR(1-SUMIF('Grid BD'!$B:$B,$A102,'Grid BD'!$AE:$AE)/($AA102+SUMIF('Grid BD'!$B:$B,$A102,'Grid BD'!$AE:$AE)),"")</f>
        <v>1</v>
      </c>
      <c r="S102" s="17"/>
      <c r="T102" s="177">
        <f>IFERROR(1-SUMIF(Tracker_BD!H:H,$A102,Tracker_BD!AI:AI)/$F102,"")</f>
        <v>1</v>
      </c>
      <c r="U102" s="178">
        <f t="shared" si="7"/>
        <v>0.72426427994257125</v>
      </c>
      <c r="V102" s="17"/>
      <c r="W102" s="164">
        <f t="shared" si="8"/>
        <v>0.13610132927254151</v>
      </c>
      <c r="X102" s="17">
        <f>IFERROR(_xlfn.XLOOKUP($A102,'Raw Data'!$G:$G,'Raw Data'!AB:AB),"")</f>
        <v>34556</v>
      </c>
      <c r="Y102" s="17">
        <f>IFERROR(_xlfn.XLOOKUP($A102,'Raw Data'!$G:$G,'Raw Data'!AC:AC),"")</f>
        <v>34607.499999998254</v>
      </c>
      <c r="Z102" s="38">
        <f>IFERROR(_xlfn.XLOOKUP($A102,'Raw Data'!$G:$G,'Raw Data'!AD:AD),"")</f>
        <v>287.10000000000235</v>
      </c>
      <c r="AA102" s="38">
        <f>IFERROR(_xlfn.XLOOKUP($A102,'Raw Data'!$G:$G,'Raw Data'!AE:AE)*(1+(_xlfn.XLOOKUP(Table13[[#This Row],[Month Year]],JMR!$A:$A,JMR!$J:$J))),"")</f>
        <v>34320.399999998248</v>
      </c>
      <c r="AB102" s="17">
        <f>_xlfn.XLOOKUP($D102,'Modelling New'!D:D,'Modelling New'!N:N)</f>
        <v>10.507</v>
      </c>
      <c r="AC102" s="24">
        <f>IFERROR(_xlfn.XLOOKUP($D102,'Modelling New'!$D:$D,'Modelling New'!P:P),"")</f>
        <v>4.2694462387096781</v>
      </c>
      <c r="AD102" s="38">
        <f>IFERROR(_xlfn.XLOOKUP($D102,'Modelling New'!$D:$D,'Modelling New'!T:T)*1000,"")</f>
        <v>31425.129045407131</v>
      </c>
      <c r="AE102" s="164">
        <f t="shared" si="9"/>
        <v>0.70053008017012453</v>
      </c>
      <c r="AF102" s="164">
        <f>IFERROR(_xlfn.XLOOKUP($D102,'Modelling New'!$D:$D,'Modelling New'!W:W),"")</f>
        <v>0.12461981316188862</v>
      </c>
      <c r="AG102" s="164">
        <f>IFERROR(_xlfn.XLOOKUP($D102,'Modelling New'!$D:$D,'Modelling New'!AD:AD),"")</f>
        <v>0.995</v>
      </c>
      <c r="AH102" s="164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64"/>
      <c r="AO102" s="164"/>
      <c r="AP102" s="164"/>
      <c r="AQ102" s="164"/>
      <c r="AR102" s="38">
        <f>IFERROR(_xlfn.XLOOKUP($D102,'Modelling New'!$D:$D,'Modelling New'!$N:$N),"")</f>
        <v>10.507</v>
      </c>
      <c r="AS102" s="38"/>
      <c r="AT102" s="38">
        <f>IFERROR(_xlfn.XLOOKUP(Table13[[#This Row],[Date]],'Raw Data'!$G:$G,'Raw Data'!$AJ:$AJ),"")</f>
        <v>0</v>
      </c>
      <c r="AU102" s="38">
        <f>IFERROR(_xlfn.XLOOKUP(Table13[[#This Row],[Month Year]],'Modelling New'!$D:$D,'Modelling New'!$AN:$AN),"")</f>
        <v>10</v>
      </c>
      <c r="AV102" s="38">
        <f>SUMIF('Curtailment records'!$C:$C,Table13[[#This Row],[Date]],'Curtailment records'!$R:$R)/1000</f>
        <v>0</v>
      </c>
    </row>
    <row r="103" spans="1:48">
      <c r="A103" s="66">
        <f t="shared" si="10"/>
        <v>45846</v>
      </c>
      <c r="B103" s="38">
        <f>YEAR(Table13[[#This Row],[Date]])+IF(MONTH(Table13[[#This Row],[Date]])&gt;=4,1,0)</f>
        <v>2026</v>
      </c>
      <c r="C103" s="17">
        <f>YEAR(Table13[[#This Row],[Date]])</f>
        <v>2025</v>
      </c>
      <c r="D103" s="37">
        <f>Table13[[#This Row],[Date]]-DAY(Table13[[#This Row],[Date]])+1</f>
        <v>45839</v>
      </c>
      <c r="E103" s="17">
        <f t="shared" si="11"/>
        <v>31</v>
      </c>
      <c r="F103" s="135" cm="1">
        <f t="array" ref="F103">IFERROR(_xlfn.XLOOKUP(Table13[[#This Row],[Date]],Raw_Data[[#All],[Date]],Raw_Data[[#All],[Operating Hours]]),"")</f>
        <v>12.533333333333335</v>
      </c>
      <c r="G103" s="136">
        <f>IFERROR(_xlfn.XLOOKUP($A103,'Raw Data'!$G:$G,'Raw Data'!S:S)/1000,"")</f>
        <v>5.03</v>
      </c>
      <c r="H103" s="136"/>
      <c r="I103" s="136">
        <f>IFERROR(_xlfn.XLOOKUP($A103,'Raw Data'!$G:$G,'Raw Data'!AF:AF)/1000,"")</f>
        <v>5.49</v>
      </c>
      <c r="J103" s="136"/>
      <c r="K103" s="137">
        <f>IFERROR(_xlfn.XLOOKUP($A103,'Raw Data'!$G:$G,'Raw Data'!W:W),"")</f>
        <v>26.168746299794311</v>
      </c>
      <c r="L103" s="136">
        <f>IFERROR(_xlfn.XLOOKUP($A103,'Raw Data'!$G:$G,'Raw Data'!X:X),"")</f>
        <v>36.735953038432207</v>
      </c>
      <c r="M103" s="136">
        <f>IFERROR(_xlfn.XLOOKUP($A103,'Raw Data'!$G:$G,'Raw Data'!Y:Y),"")</f>
        <v>2.5882930083578803</v>
      </c>
      <c r="N103" s="136">
        <f>IFERROR(_xlfn.XLOOKUP($A103,'Raw Data'!$G:$G,'Raw Data'!Z:Z),"")</f>
        <v>8.6863269805908203</v>
      </c>
      <c r="O103" s="176">
        <f>IFERROR(1-SUMIF('Plant BD'!$B:$B,$A103,'Plant BD'!$AM:$AM)/($AA103+SUMIF('Plant BD'!$B:$B,$A103,'Plant BD'!$AM:$AM)),"")</f>
        <v>1</v>
      </c>
      <c r="P103" s="176"/>
      <c r="Q103" s="177"/>
      <c r="R103" s="176">
        <f>IFERROR(1-SUMIF('Grid BD'!$B:$B,$A103,'Grid BD'!$AE:$AE)/($AA103+SUMIF('Grid BD'!$B:$B,$A103,'Grid BD'!$AE:$AE)),"")</f>
        <v>1</v>
      </c>
      <c r="S103" s="17"/>
      <c r="T103" s="177">
        <f>IFERROR(1-SUMIF(Tracker_BD!H:H,$A103,Tracker_BD!AI:AI)/$F103,"")</f>
        <v>1</v>
      </c>
      <c r="U103" s="178">
        <f t="shared" si="7"/>
        <v>0.71885323046864325</v>
      </c>
      <c r="V103" s="17"/>
      <c r="W103" s="164">
        <f t="shared" si="8"/>
        <v>0.16443767646970214</v>
      </c>
      <c r="X103" s="17">
        <f>IFERROR(_xlfn.XLOOKUP($A103,'Raw Data'!$G:$G,'Raw Data'!AB:AB),"")</f>
        <v>41000</v>
      </c>
      <c r="Y103" s="17">
        <f>IFERROR(_xlfn.XLOOKUP($A103,'Raw Data'!$G:$G,'Raw Data'!AC:AC),"")</f>
        <v>41747.800000011921</v>
      </c>
      <c r="Z103" s="38">
        <f>IFERROR(_xlfn.XLOOKUP($A103,'Raw Data'!$G:$G,'Raw Data'!AD:AD),"")</f>
        <v>281.88000000007207</v>
      </c>
      <c r="AA103" s="38">
        <f>IFERROR(_xlfn.XLOOKUP($A103,'Raw Data'!$G:$G,'Raw Data'!AE:AE)*(1+(_xlfn.XLOOKUP(Table13[[#This Row],[Month Year]],JMR!$A:$A,JMR!$J:$J))),"")</f>
        <v>41465.920000011851</v>
      </c>
      <c r="AB103" s="17">
        <f>_xlfn.XLOOKUP($D103,'Modelling New'!D:D,'Modelling New'!N:N)</f>
        <v>10.507</v>
      </c>
      <c r="AC103" s="24">
        <f>IFERROR(_xlfn.XLOOKUP($D103,'Modelling New'!$D:$D,'Modelling New'!P:P),"")</f>
        <v>4.2694462387096781</v>
      </c>
      <c r="AD103" s="38">
        <f>IFERROR(_xlfn.XLOOKUP($D103,'Modelling New'!$D:$D,'Modelling New'!T:T)*1000,"")</f>
        <v>31425.129045407131</v>
      </c>
      <c r="AE103" s="164">
        <f t="shared" si="9"/>
        <v>0.70053008017012453</v>
      </c>
      <c r="AF103" s="164">
        <f>IFERROR(_xlfn.XLOOKUP($D103,'Modelling New'!$D:$D,'Modelling New'!W:W),"")</f>
        <v>0.12461981316188862</v>
      </c>
      <c r="AG103" s="164">
        <f>IFERROR(_xlfn.XLOOKUP($D103,'Modelling New'!$D:$D,'Modelling New'!AD:AD),"")</f>
        <v>0.995</v>
      </c>
      <c r="AH103" s="164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64"/>
      <c r="AO103" s="164"/>
      <c r="AP103" s="164"/>
      <c r="AQ103" s="164"/>
      <c r="AR103" s="38">
        <f>IFERROR(_xlfn.XLOOKUP($D103,'Modelling New'!$D:$D,'Modelling New'!$N:$N),"")</f>
        <v>10.507</v>
      </c>
      <c r="AS103" s="38"/>
      <c r="AT103" s="38">
        <f>IFERROR(_xlfn.XLOOKUP(Table13[[#This Row],[Date]],'Raw Data'!$G:$G,'Raw Data'!$AJ:$AJ),"")</f>
        <v>0</v>
      </c>
      <c r="AU103" s="38">
        <f>IFERROR(_xlfn.XLOOKUP(Table13[[#This Row],[Month Year]],'Modelling New'!$D:$D,'Modelling New'!$AN:$AN),"")</f>
        <v>10</v>
      </c>
      <c r="AV103" s="38">
        <f>SUMIF('Curtailment records'!$C:$C,Table13[[#This Row],[Date]],'Curtailment records'!$R:$R)/1000</f>
        <v>0</v>
      </c>
    </row>
    <row r="104" spans="1:48">
      <c r="A104" s="66">
        <f t="shared" si="10"/>
        <v>45847</v>
      </c>
      <c r="B104" s="38">
        <f>YEAR(Table13[[#This Row],[Date]])+IF(MONTH(Table13[[#This Row],[Date]])&gt;=4,1,0)</f>
        <v>2026</v>
      </c>
      <c r="C104" s="17">
        <f>YEAR(Table13[[#This Row],[Date]])</f>
        <v>2025</v>
      </c>
      <c r="D104" s="37">
        <f>Table13[[#This Row],[Date]]-DAY(Table13[[#This Row],[Date]])+1</f>
        <v>45839</v>
      </c>
      <c r="E104" s="17">
        <f t="shared" si="11"/>
        <v>31</v>
      </c>
      <c r="F104" s="135" cm="1">
        <f t="array" ref="F104">IFERROR(_xlfn.XLOOKUP(Table13[[#This Row],[Date]],Raw_Data[[#All],[Date]],Raw_Data[[#All],[Operating Hours]]),"")</f>
        <v>12.600000000000001</v>
      </c>
      <c r="G104" s="24">
        <f>IFERROR(_xlfn.XLOOKUP($A104,'Raw Data'!$G:$G,'Raw Data'!S:S)/1000,"")</f>
        <v>5.0199999999999996</v>
      </c>
      <c r="H104" s="24"/>
      <c r="I104" s="24">
        <f>IFERROR(_xlfn.XLOOKUP($A104,'Raw Data'!$G:$G,'Raw Data'!AF:AF)/1000,"")</f>
        <v>5.335</v>
      </c>
      <c r="J104" s="24"/>
      <c r="K104" s="137">
        <f>IFERROR(_xlfn.XLOOKUP($A104,'Raw Data'!$G:$G,'Raw Data'!W:W),"")</f>
        <v>19.739999771118164</v>
      </c>
      <c r="L104" s="136">
        <f>IFERROR(_xlfn.XLOOKUP($A104,'Raw Data'!$G:$G,'Raw Data'!X:X),"")</f>
        <v>17.487060546875</v>
      </c>
      <c r="M104" s="136">
        <f>IFERROR(_xlfn.XLOOKUP($A104,'Raw Data'!$G:$G,'Raw Data'!Y:Y),"")</f>
        <v>0.63784122467041016</v>
      </c>
      <c r="N104" s="136">
        <f>IFERROR(_xlfn.XLOOKUP($A104,'Raw Data'!$G:$G,'Raw Data'!Z:Z),"")</f>
        <v>7.0451521873474121</v>
      </c>
      <c r="O104" s="176">
        <f>IFERROR(1-SUMIF('Plant BD'!$B:$B,$A104,'Plant BD'!$AM:$AM)/($AA104+SUMIF('Plant BD'!$B:$B,$A104,'Plant BD'!$AM:$AM)),"")</f>
        <v>1</v>
      </c>
      <c r="P104" s="176"/>
      <c r="Q104" s="177"/>
      <c r="R104" s="179">
        <f>IFERROR(1-SUMIF('Grid BD'!$B:$B,$A104,'Grid BD'!$AE:$AE)/($AA104+SUMIF('Grid BD'!$B:$B,$A104,'Grid BD'!$AE:$AE)),"")</f>
        <v>1</v>
      </c>
      <c r="S104" s="17"/>
      <c r="T104" s="177">
        <f>IFERROR(1-SUMIF(Tracker_BD!H:H,$A104,Tracker_BD!AI:AI)/$F104,"")</f>
        <v>1</v>
      </c>
      <c r="U104" s="178">
        <f t="shared" si="7"/>
        <v>0.71067612442761896</v>
      </c>
      <c r="V104" s="17"/>
      <c r="W104" s="164">
        <f t="shared" si="8"/>
        <v>0.1579773801592228</v>
      </c>
      <c r="X104" s="17">
        <f>IFERROR(_xlfn.XLOOKUP($A104,'Raw Data'!$G:$G,'Raw Data'!AB:AB),"")</f>
        <v>39234</v>
      </c>
      <c r="Y104" s="17">
        <f>IFERROR(_xlfn.XLOOKUP($A104,'Raw Data'!$G:$G,'Raw Data'!AC:AC),"")</f>
        <v>40028.29999999085</v>
      </c>
      <c r="Z104" s="38">
        <f>IFERROR(_xlfn.XLOOKUP($A104,'Raw Data'!$G:$G,'Raw Data'!AD:AD),"")</f>
        <v>191.45999999995666</v>
      </c>
      <c r="AA104" s="38">
        <f>IFERROR(_xlfn.XLOOKUP($A104,'Raw Data'!$G:$G,'Raw Data'!AE:AE)*(1+(_xlfn.XLOOKUP(Table13[[#This Row],[Month Year]],JMR!$A:$A,JMR!$J:$J))),"")</f>
        <v>39836.839999990894</v>
      </c>
      <c r="AB104" s="17">
        <f>_xlfn.XLOOKUP($D104,'Modelling New'!D:D,'Modelling New'!N:N)</f>
        <v>10.507</v>
      </c>
      <c r="AC104" s="24">
        <f>IFERROR(_xlfn.XLOOKUP($D104,'Modelling New'!$D:$D,'Modelling New'!P:P),"")</f>
        <v>4.2694462387096781</v>
      </c>
      <c r="AD104" s="38">
        <f>IFERROR(_xlfn.XLOOKUP($D104,'Modelling New'!$D:$D,'Modelling New'!T:T)*1000,"")</f>
        <v>31425.129045407131</v>
      </c>
      <c r="AE104" s="164">
        <f t="shared" si="9"/>
        <v>0.70053008017012453</v>
      </c>
      <c r="AF104" s="164">
        <f>IFERROR(_xlfn.XLOOKUP($D104,'Modelling New'!$D:$D,'Modelling New'!W:W),"")</f>
        <v>0.12461981316188862</v>
      </c>
      <c r="AG104" s="164">
        <f>IFERROR(_xlfn.XLOOKUP($D104,'Modelling New'!$D:$D,'Modelling New'!AD:AD),"")</f>
        <v>0.995</v>
      </c>
      <c r="AH104" s="164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64"/>
      <c r="AO104" s="164"/>
      <c r="AP104" s="164"/>
      <c r="AQ104" s="164"/>
      <c r="AR104" s="38">
        <f>IFERROR(_xlfn.XLOOKUP($D104,'Modelling New'!$D:$D,'Modelling New'!$N:$N),"")</f>
        <v>10.507</v>
      </c>
      <c r="AS104" s="38"/>
      <c r="AT104" s="38">
        <f>IFERROR(_xlfn.XLOOKUP(Table13[[#This Row],[Date]],'Raw Data'!$G:$G,'Raw Data'!$AJ:$AJ),"")</f>
        <v>0</v>
      </c>
      <c r="AU104" s="38">
        <f>IFERROR(_xlfn.XLOOKUP(Table13[[#This Row],[Month Year]],'Modelling New'!$D:$D,'Modelling New'!$AN:$AN),"")</f>
        <v>10</v>
      </c>
      <c r="AV104" s="38">
        <f>SUMIF('Curtailment records'!$C:$C,Table13[[#This Row],[Date]],'Curtailment records'!$R:$R)/1000</f>
        <v>0</v>
      </c>
    </row>
    <row r="105" spans="1:48">
      <c r="A105" s="66">
        <f t="shared" si="10"/>
        <v>45848</v>
      </c>
      <c r="B105" s="38">
        <f>YEAR(Table13[[#This Row],[Date]])+IF(MONTH(Table13[[#This Row],[Date]])&gt;=4,1,0)</f>
        <v>2026</v>
      </c>
      <c r="C105" s="17">
        <f>YEAR(Table13[[#This Row],[Date]])</f>
        <v>2025</v>
      </c>
      <c r="D105" s="37">
        <f>Table13[[#This Row],[Date]]-DAY(Table13[[#This Row],[Date]])+1</f>
        <v>45839</v>
      </c>
      <c r="E105" s="17">
        <f t="shared" si="11"/>
        <v>31</v>
      </c>
      <c r="F105" s="135" cm="1">
        <f t="array" ref="F105">IFERROR(_xlfn.XLOOKUP(Table13[[#This Row],[Date]],Raw_Data[[#All],[Date]],Raw_Data[[#All],[Operating Hours]]),"")</f>
        <v>12.033333333333333</v>
      </c>
      <c r="G105" s="136">
        <f>IFERROR(_xlfn.XLOOKUP($A105,'Raw Data'!$G:$G,'Raw Data'!S:S)/1000,"")</f>
        <v>3.3</v>
      </c>
      <c r="H105" s="136"/>
      <c r="I105" s="136">
        <f>IFERROR(_xlfn.XLOOKUP($A105,'Raw Data'!$G:$G,'Raw Data'!AF:AF)/1000,"")</f>
        <v>3.3250000000000002</v>
      </c>
      <c r="J105" s="136"/>
      <c r="K105" s="137">
        <f>IFERROR(_xlfn.XLOOKUP($A105,'Raw Data'!$G:$G,'Raw Data'!W:W),"")</f>
        <v>24.07525502718412</v>
      </c>
      <c r="L105" s="136">
        <f>IFERROR(_xlfn.XLOOKUP($A105,'Raw Data'!$G:$G,'Raw Data'!X:X),"")</f>
        <v>30.455222805501961</v>
      </c>
      <c r="M105" s="136">
        <f>IFERROR(_xlfn.XLOOKUP($A105,'Raw Data'!$G:$G,'Raw Data'!Y:Y),"")</f>
        <v>2.0250793121926054</v>
      </c>
      <c r="N105" s="136">
        <f>IFERROR(_xlfn.XLOOKUP($A105,'Raw Data'!$G:$G,'Raw Data'!Z:Z),"")</f>
        <v>6.7357792854309082</v>
      </c>
      <c r="O105" s="176">
        <f>IFERROR(1-SUMIF('Plant BD'!$B:$B,$A105,'Plant BD'!$AM:$AM)/($AA105+SUMIF('Plant BD'!$B:$B,$A105,'Plant BD'!$AM:$AM)),"")</f>
        <v>1</v>
      </c>
      <c r="P105" s="176"/>
      <c r="Q105" s="177"/>
      <c r="R105" s="176">
        <f>IFERROR(1-SUMIF('Grid BD'!$B:$B,$A105,'Grid BD'!$AE:$AE)/($AA105+SUMIF('Grid BD'!$B:$B,$A105,'Grid BD'!$AE:$AE)),"")</f>
        <v>1</v>
      </c>
      <c r="S105" s="17"/>
      <c r="T105" s="177">
        <f>IFERROR(1-SUMIF(Tracker_BD!H:H,$A105,Tracker_BD!AI:AI)/$F105,"")</f>
        <v>1</v>
      </c>
      <c r="U105" s="178">
        <f t="shared" si="7"/>
        <v>0.74599633184033387</v>
      </c>
      <c r="V105" s="17"/>
      <c r="W105" s="164">
        <f t="shared" si="8"/>
        <v>0.10335157514037958</v>
      </c>
      <c r="X105" s="17">
        <f>IFERROR(_xlfn.XLOOKUP($A105,'Raw Data'!$G:$G,'Raw Data'!AB:AB),"")</f>
        <v>27540</v>
      </c>
      <c r="Y105" s="17">
        <f>IFERROR(_xlfn.XLOOKUP($A105,'Raw Data'!$G:$G,'Raw Data'!AC:AC),"")</f>
        <v>26366.099999999278</v>
      </c>
      <c r="Z105" s="38">
        <f>IFERROR(_xlfn.XLOOKUP($A105,'Raw Data'!$G:$G,'Raw Data'!AD:AD),"")</f>
        <v>304.14000000003938</v>
      </c>
      <c r="AA105" s="38">
        <f>IFERROR(_xlfn.XLOOKUP($A105,'Raw Data'!$G:$G,'Raw Data'!AE:AE)*(1+(_xlfn.XLOOKUP(Table13[[#This Row],[Month Year]],JMR!$A:$A,JMR!$J:$J))),"")</f>
        <v>26061.959999999239</v>
      </c>
      <c r="AB105" s="17">
        <f>_xlfn.XLOOKUP($D105,'Modelling New'!D:D,'Modelling New'!N:N)</f>
        <v>10.507</v>
      </c>
      <c r="AC105" s="24">
        <f>IFERROR(_xlfn.XLOOKUP($D105,'Modelling New'!$D:$D,'Modelling New'!P:P),"")</f>
        <v>4.2694462387096781</v>
      </c>
      <c r="AD105" s="38">
        <f>IFERROR(_xlfn.XLOOKUP($D105,'Modelling New'!$D:$D,'Modelling New'!T:T)*1000,"")</f>
        <v>31425.129045407131</v>
      </c>
      <c r="AE105" s="164">
        <f t="shared" si="9"/>
        <v>0.70053008017012453</v>
      </c>
      <c r="AF105" s="164">
        <f>IFERROR(_xlfn.XLOOKUP($D105,'Modelling New'!$D:$D,'Modelling New'!W:W),"")</f>
        <v>0.12461981316188862</v>
      </c>
      <c r="AG105" s="164">
        <f>IFERROR(_xlfn.XLOOKUP($D105,'Modelling New'!$D:$D,'Modelling New'!AD:AD),"")</f>
        <v>0.995</v>
      </c>
      <c r="AH105" s="164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64"/>
      <c r="AO105" s="164"/>
      <c r="AP105" s="164"/>
      <c r="AQ105" s="164"/>
      <c r="AR105" s="38">
        <f>IFERROR(_xlfn.XLOOKUP($D105,'Modelling New'!$D:$D,'Modelling New'!$N:$N),"")</f>
        <v>10.507</v>
      </c>
      <c r="AS105" s="38"/>
      <c r="AT105" s="38">
        <f>IFERROR(_xlfn.XLOOKUP(Table13[[#This Row],[Date]],'Raw Data'!$G:$G,'Raw Data'!$AJ:$AJ),"")</f>
        <v>0</v>
      </c>
      <c r="AU105" s="38">
        <f>IFERROR(_xlfn.XLOOKUP(Table13[[#This Row],[Month Year]],'Modelling New'!$D:$D,'Modelling New'!$AN:$AN),"")</f>
        <v>10</v>
      </c>
      <c r="AV105" s="38">
        <f>SUMIF('Curtailment records'!$C:$C,Table13[[#This Row],[Date]],'Curtailment records'!$R:$R)/1000</f>
        <v>0</v>
      </c>
    </row>
    <row r="106" spans="1:48">
      <c r="A106" s="66">
        <f t="shared" si="10"/>
        <v>45849</v>
      </c>
      <c r="B106" s="38">
        <f>YEAR(Table13[[#This Row],[Date]])+IF(MONTH(Table13[[#This Row],[Date]])&gt;=4,1,0)</f>
        <v>2026</v>
      </c>
      <c r="C106" s="17">
        <f>YEAR(Table13[[#This Row],[Date]])</f>
        <v>2025</v>
      </c>
      <c r="D106" s="37">
        <f>Table13[[#This Row],[Date]]-DAY(Table13[[#This Row],[Date]])+1</f>
        <v>45839</v>
      </c>
      <c r="E106" s="17">
        <f t="shared" si="11"/>
        <v>31</v>
      </c>
      <c r="F106" s="135" cm="1">
        <f t="array" ref="F106">IFERROR(_xlfn.XLOOKUP(Table13[[#This Row],[Date]],Raw_Data[[#All],[Date]],Raw_Data[[#All],[Operating Hours]]),"")</f>
        <v>12.350000000000001</v>
      </c>
      <c r="G106" s="24">
        <f>IFERROR(_xlfn.XLOOKUP($A106,'Raw Data'!$G:$G,'Raw Data'!S:S)/1000,"")</f>
        <v>5.0999999999999996</v>
      </c>
      <c r="H106" s="24"/>
      <c r="I106" s="24">
        <f>IFERROR(_xlfn.XLOOKUP($A106,'Raw Data'!$G:$G,'Raw Data'!AF:AF)/1000,"")</f>
        <v>5.3</v>
      </c>
      <c r="J106" s="24"/>
      <c r="K106" s="137">
        <f>IFERROR(_xlfn.XLOOKUP($A106,'Raw Data'!$G:$G,'Raw Data'!W:W),"")</f>
        <v>26.036664026754874</v>
      </c>
      <c r="L106" s="136">
        <f>IFERROR(_xlfn.XLOOKUP($A106,'Raw Data'!$G:$G,'Raw Data'!X:X),"")</f>
        <v>35.68020456303995</v>
      </c>
      <c r="M106" s="136">
        <f>IFERROR(_xlfn.XLOOKUP($A106,'Raw Data'!$G:$G,'Raw Data'!Y:Y),"")</f>
        <v>0.64889132235416025</v>
      </c>
      <c r="N106" s="136">
        <f>IFERROR(_xlfn.XLOOKUP($A106,'Raw Data'!$G:$G,'Raw Data'!Z:Z),"")</f>
        <v>2.4967470169067383</v>
      </c>
      <c r="O106" s="176">
        <f>IFERROR(1-SUMIF('Plant BD'!$B:$B,$A106,'Plant BD'!$AM:$AM)/($AA106+SUMIF('Plant BD'!$B:$B,$A106,'Plant BD'!$AM:$AM)),"")</f>
        <v>0.99301667836109542</v>
      </c>
      <c r="P106" s="176"/>
      <c r="Q106" s="177"/>
      <c r="R106" s="179">
        <f>IFERROR(1-SUMIF('Grid BD'!$B:$B,$A106,'Grid BD'!$AE:$AE)/($AA106+SUMIF('Grid BD'!$B:$B,$A106,'Grid BD'!$AE:$AE)),"")</f>
        <v>1</v>
      </c>
      <c r="S106" s="17"/>
      <c r="T106" s="177">
        <f>IFERROR(1-SUMIF(Tracker_BD!H:H,$A106,Tracker_BD!AI:AI)/$F106,"")</f>
        <v>1</v>
      </c>
      <c r="U106" s="178">
        <f t="shared" si="7"/>
        <v>0.72147768513723998</v>
      </c>
      <c r="V106" s="17"/>
      <c r="W106" s="164">
        <f t="shared" si="8"/>
        <v>0.15932632213447381</v>
      </c>
      <c r="X106" s="17">
        <f>IFERROR(_xlfn.XLOOKUP($A106,'Raw Data'!$G:$G,'Raw Data'!AB:AB),"")</f>
        <v>39626</v>
      </c>
      <c r="Y106" s="17">
        <f>IFERROR(_xlfn.XLOOKUP($A106,'Raw Data'!$G:$G,'Raw Data'!AC:AC),"")</f>
        <v>40498.90000000596</v>
      </c>
      <c r="Z106" s="38">
        <f>IFERROR(_xlfn.XLOOKUP($A106,'Raw Data'!$G:$G,'Raw Data'!AD:AD),"")</f>
        <v>321.89999999996388</v>
      </c>
      <c r="AA106" s="38">
        <f>IFERROR(_xlfn.XLOOKUP($A106,'Raw Data'!$G:$G,'Raw Data'!AE:AE)*(1+(_xlfn.XLOOKUP(Table13[[#This Row],[Month Year]],JMR!$A:$A,JMR!$J:$J))),"")</f>
        <v>40177.000000005995</v>
      </c>
      <c r="AB106" s="17">
        <f>_xlfn.XLOOKUP($D106,'Modelling New'!D:D,'Modelling New'!N:N)</f>
        <v>10.507</v>
      </c>
      <c r="AC106" s="24">
        <f>IFERROR(_xlfn.XLOOKUP($D106,'Modelling New'!$D:$D,'Modelling New'!P:P),"")</f>
        <v>4.2694462387096781</v>
      </c>
      <c r="AD106" s="38">
        <f>IFERROR(_xlfn.XLOOKUP($D106,'Modelling New'!$D:$D,'Modelling New'!T:T)*1000,"")</f>
        <v>31425.129045407131</v>
      </c>
      <c r="AE106" s="164">
        <f t="shared" si="9"/>
        <v>0.70053008017012453</v>
      </c>
      <c r="AF106" s="164">
        <f>IFERROR(_xlfn.XLOOKUP($D106,'Modelling New'!$D:$D,'Modelling New'!W:W),"")</f>
        <v>0.12461981316188862</v>
      </c>
      <c r="AG106" s="164">
        <f>IFERROR(_xlfn.XLOOKUP($D106,'Modelling New'!$D:$D,'Modelling New'!AD:AD),"")</f>
        <v>0.995</v>
      </c>
      <c r="AH106" s="164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64"/>
      <c r="AO106" s="164"/>
      <c r="AP106" s="164"/>
      <c r="AQ106" s="164"/>
      <c r="AR106" s="38">
        <f>IFERROR(_xlfn.XLOOKUP($D106,'Modelling New'!$D:$D,'Modelling New'!$N:$N),"")</f>
        <v>10.507</v>
      </c>
      <c r="AS106" s="38"/>
      <c r="AT106" s="38">
        <f>IFERROR(_xlfn.XLOOKUP(Table13[[#This Row],[Date]],'Raw Data'!$G:$G,'Raw Data'!$AJ:$AJ),"")</f>
        <v>0</v>
      </c>
      <c r="AU106" s="38">
        <f>IFERROR(_xlfn.XLOOKUP(Table13[[#This Row],[Month Year]],'Modelling New'!$D:$D,'Modelling New'!$AN:$AN),"")</f>
        <v>10</v>
      </c>
      <c r="AV106" s="38">
        <f>SUMIF('Curtailment records'!$C:$C,Table13[[#This Row],[Date]],'Curtailment records'!$R:$R)/1000</f>
        <v>0</v>
      </c>
    </row>
    <row r="107" spans="1:48">
      <c r="A107" s="66">
        <f t="shared" si="10"/>
        <v>45850</v>
      </c>
      <c r="B107" s="38">
        <f>YEAR(Table13[[#This Row],[Date]])+IF(MONTH(Table13[[#This Row],[Date]])&gt;=4,1,0)</f>
        <v>2026</v>
      </c>
      <c r="C107" s="17">
        <f>YEAR(Table13[[#This Row],[Date]])</f>
        <v>2025</v>
      </c>
      <c r="D107" s="37">
        <f>Table13[[#This Row],[Date]]-DAY(Table13[[#This Row],[Date]])+1</f>
        <v>45839</v>
      </c>
      <c r="E107" s="17">
        <f t="shared" si="11"/>
        <v>31</v>
      </c>
      <c r="F107" s="135" cm="1">
        <f t="array" ref="F107">IFERROR(_xlfn.XLOOKUP(Table13[[#This Row],[Date]],Raw_Data[[#All],[Date]],Raw_Data[[#All],[Operating Hours]]),"")</f>
        <v>12.683333333333334</v>
      </c>
      <c r="G107" s="136">
        <f>IFERROR(_xlfn.XLOOKUP($A107,'Raw Data'!$G:$G,'Raw Data'!S:S)/1000,"")</f>
        <v>4.3600000000000003</v>
      </c>
      <c r="H107" s="136"/>
      <c r="I107" s="136">
        <f>IFERROR(_xlfn.XLOOKUP($A107,'Raw Data'!$G:$G,'Raw Data'!AF:AF)/1000,"")</f>
        <v>4.4450000000000003</v>
      </c>
      <c r="J107" s="136"/>
      <c r="K107" s="137">
        <f>IFERROR(_xlfn.XLOOKUP($A107,'Raw Data'!$G:$G,'Raw Data'!W:W),"")</f>
        <v>25.561817547154863</v>
      </c>
      <c r="L107" s="136">
        <f>IFERROR(_xlfn.XLOOKUP($A107,'Raw Data'!$G:$G,'Raw Data'!X:X),"")</f>
        <v>34.0561224269116</v>
      </c>
      <c r="M107" s="136">
        <f>IFERROR(_xlfn.XLOOKUP($A107,'Raw Data'!$G:$G,'Raw Data'!Y:Y),"")</f>
        <v>1.6255023647637505</v>
      </c>
      <c r="N107" s="136">
        <f>IFERROR(_xlfn.XLOOKUP($A107,'Raw Data'!$G:$G,'Raw Data'!Z:Z),"")</f>
        <v>6.2570199966430664</v>
      </c>
      <c r="O107" s="176">
        <f>IFERROR(1-SUMIF('Plant BD'!$B:$B,$A107,'Plant BD'!$AM:$AM)/($AA107+SUMIF('Plant BD'!$B:$B,$A107,'Plant BD'!$AM:$AM)),"")</f>
        <v>1</v>
      </c>
      <c r="P107" s="176"/>
      <c r="Q107" s="177"/>
      <c r="R107" s="176">
        <f>IFERROR(1-SUMIF('Grid BD'!$B:$B,$A107,'Grid BD'!$AE:$AE)/($AA107+SUMIF('Grid BD'!$B:$B,$A107,'Grid BD'!$AE:$AE)),"")</f>
        <v>1</v>
      </c>
      <c r="S107" s="17"/>
      <c r="T107" s="177">
        <f>IFERROR(1-SUMIF(Tracker_BD!H:H,$A107,Tracker_BD!AI:AI)/$F107,"")</f>
        <v>1</v>
      </c>
      <c r="U107" s="178">
        <f t="shared" si="7"/>
        <v>0.7379621470415314</v>
      </c>
      <c r="V107" s="17"/>
      <c r="W107" s="164">
        <f t="shared" si="8"/>
        <v>0.13667673931665028</v>
      </c>
      <c r="X107" s="17">
        <f>IFERROR(_xlfn.XLOOKUP($A107,'Raw Data'!$G:$G,'Raw Data'!AB:AB),"")</f>
        <v>34796</v>
      </c>
      <c r="Y107" s="17">
        <f>IFERROR(_xlfn.XLOOKUP($A107,'Raw Data'!$G:$G,'Raw Data'!AC:AC),"")</f>
        <v>34773.000000001048</v>
      </c>
      <c r="Z107" s="38">
        <f>IFERROR(_xlfn.XLOOKUP($A107,'Raw Data'!$G:$G,'Raw Data'!AD:AD),"")</f>
        <v>307.49999999997613</v>
      </c>
      <c r="AA107" s="38">
        <f>IFERROR(_xlfn.XLOOKUP($A107,'Raw Data'!$G:$G,'Raw Data'!AE:AE)*(1+(_xlfn.XLOOKUP(Table13[[#This Row],[Month Year]],JMR!$A:$A,JMR!$J:$J))),"")</f>
        <v>34465.50000000107</v>
      </c>
      <c r="AB107" s="17">
        <f>_xlfn.XLOOKUP($D107,'Modelling New'!D:D,'Modelling New'!N:N)</f>
        <v>10.507</v>
      </c>
      <c r="AC107" s="24">
        <f>IFERROR(_xlfn.XLOOKUP($D107,'Modelling New'!$D:$D,'Modelling New'!P:P),"")</f>
        <v>4.2694462387096781</v>
      </c>
      <c r="AD107" s="38">
        <f>IFERROR(_xlfn.XLOOKUP($D107,'Modelling New'!$D:$D,'Modelling New'!T:T)*1000,"")</f>
        <v>31425.129045407131</v>
      </c>
      <c r="AE107" s="164">
        <f t="shared" si="9"/>
        <v>0.70053008017012453</v>
      </c>
      <c r="AF107" s="164">
        <f>IFERROR(_xlfn.XLOOKUP($D107,'Modelling New'!$D:$D,'Modelling New'!W:W),"")</f>
        <v>0.12461981316188862</v>
      </c>
      <c r="AG107" s="164">
        <f>IFERROR(_xlfn.XLOOKUP($D107,'Modelling New'!$D:$D,'Modelling New'!AD:AD),"")</f>
        <v>0.995</v>
      </c>
      <c r="AH107" s="164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64"/>
      <c r="AO107" s="164"/>
      <c r="AP107" s="164"/>
      <c r="AQ107" s="164"/>
      <c r="AR107" s="38">
        <f>IFERROR(_xlfn.XLOOKUP($D107,'Modelling New'!$D:$D,'Modelling New'!$N:$N),"")</f>
        <v>10.507</v>
      </c>
      <c r="AS107" s="38"/>
      <c r="AT107" s="38">
        <f>IFERROR(_xlfn.XLOOKUP(Table13[[#This Row],[Date]],'Raw Data'!$G:$G,'Raw Data'!$AJ:$AJ),"")</f>
        <v>0</v>
      </c>
      <c r="AU107" s="38">
        <f>IFERROR(_xlfn.XLOOKUP(Table13[[#This Row],[Month Year]],'Modelling New'!$D:$D,'Modelling New'!$AN:$AN),"")</f>
        <v>10</v>
      </c>
      <c r="AV107" s="38">
        <f>SUMIF('Curtailment records'!$C:$C,Table13[[#This Row],[Date]],'Curtailment records'!$R:$R)/1000</f>
        <v>0</v>
      </c>
    </row>
    <row r="108" spans="1:48">
      <c r="A108" s="66">
        <f t="shared" si="10"/>
        <v>45851</v>
      </c>
      <c r="B108" s="38">
        <f>YEAR(Table13[[#This Row],[Date]])+IF(MONTH(Table13[[#This Row],[Date]])&gt;=4,1,0)</f>
        <v>2026</v>
      </c>
      <c r="C108" s="17">
        <f>YEAR(Table13[[#This Row],[Date]])</f>
        <v>2025</v>
      </c>
      <c r="D108" s="37">
        <f>Table13[[#This Row],[Date]]-DAY(Table13[[#This Row],[Date]])+1</f>
        <v>45839</v>
      </c>
      <c r="E108" s="17">
        <f t="shared" si="11"/>
        <v>31</v>
      </c>
      <c r="F108" s="135" cm="1">
        <f t="array" ref="F108">IFERROR(_xlfn.XLOOKUP(Table13[[#This Row],[Date]],Raw_Data[[#All],[Date]],Raw_Data[[#All],[Operating Hours]]),"")</f>
        <v>12.433333333333332</v>
      </c>
      <c r="G108" s="24">
        <f>IFERROR(_xlfn.XLOOKUP($A108,'Raw Data'!$G:$G,'Raw Data'!S:S)/1000,"")</f>
        <v>4.28</v>
      </c>
      <c r="H108" s="24"/>
      <c r="I108" s="24">
        <f>IFERROR(_xlfn.XLOOKUP($A108,'Raw Data'!$G:$G,'Raw Data'!AF:AF)/1000,"")</f>
        <v>4.4249999999999998</v>
      </c>
      <c r="J108" s="24"/>
      <c r="K108" s="137">
        <f>IFERROR(_xlfn.XLOOKUP($A108,'Raw Data'!$G:$G,'Raw Data'!W:W),"")</f>
        <v>25.698734934550213</v>
      </c>
      <c r="L108" s="136">
        <f>IFERROR(_xlfn.XLOOKUP($A108,'Raw Data'!$G:$G,'Raw Data'!X:X),"")</f>
        <v>34.71747594218018</v>
      </c>
      <c r="M108" s="136">
        <f>IFERROR(_xlfn.XLOOKUP($A108,'Raw Data'!$G:$G,'Raw Data'!Y:Y),"")</f>
        <v>1.4899570457587441</v>
      </c>
      <c r="N108" s="136">
        <f>IFERROR(_xlfn.XLOOKUP($A108,'Raw Data'!$G:$G,'Raw Data'!Z:Z),"")</f>
        <v>5.9533529281616211</v>
      </c>
      <c r="O108" s="176">
        <f>IFERROR(1-SUMIF('Plant BD'!$B:$B,$A108,'Plant BD'!$AM:$AM)/($AA108+SUMIF('Plant BD'!$B:$B,$A108,'Plant BD'!$AM:$AM)),"")</f>
        <v>1</v>
      </c>
      <c r="P108" s="176"/>
      <c r="Q108" s="177"/>
      <c r="R108" s="179">
        <f>IFERROR(1-SUMIF('Grid BD'!$B:$B,$A108,'Grid BD'!$AE:$AE)/($AA108+SUMIF('Grid BD'!$B:$B,$A108,'Grid BD'!$AE:$AE)),"")</f>
        <v>1</v>
      </c>
      <c r="S108" s="17"/>
      <c r="T108" s="177">
        <f>IFERROR(1-SUMIF(Tracker_BD!H:H,$A108,Tracker_BD!AI:AI)/$F108,"")</f>
        <v>1</v>
      </c>
      <c r="U108" s="178">
        <f t="shared" si="7"/>
        <v>0.73630547082142339</v>
      </c>
      <c r="V108" s="17"/>
      <c r="W108" s="164">
        <f t="shared" si="8"/>
        <v>0.13575632118269992</v>
      </c>
      <c r="X108" s="17">
        <f>IFERROR(_xlfn.XLOOKUP($A108,'Raw Data'!$G:$G,'Raw Data'!AB:AB),"")</f>
        <v>34692</v>
      </c>
      <c r="Y108" s="17">
        <f>IFERROR(_xlfn.XLOOKUP($A108,'Raw Data'!$G:$G,'Raw Data'!AC:AC),"")</f>
        <v>34548.999999999069</v>
      </c>
      <c r="Z108" s="38">
        <f>IFERROR(_xlfn.XLOOKUP($A108,'Raw Data'!$G:$G,'Raw Data'!AD:AD),"")</f>
        <v>315.59999999998922</v>
      </c>
      <c r="AA108" s="38">
        <f>IFERROR(_xlfn.XLOOKUP($A108,'Raw Data'!$G:$G,'Raw Data'!AE:AE)*(1+(_xlfn.XLOOKUP(Table13[[#This Row],[Month Year]],JMR!$A:$A,JMR!$J:$J))),"")</f>
        <v>34233.399999999077</v>
      </c>
      <c r="AB108" s="17">
        <f>_xlfn.XLOOKUP($D108,'Modelling New'!D:D,'Modelling New'!N:N)</f>
        <v>10.507</v>
      </c>
      <c r="AC108" s="24">
        <f>IFERROR(_xlfn.XLOOKUP($D108,'Modelling New'!$D:$D,'Modelling New'!P:P),"")</f>
        <v>4.2694462387096781</v>
      </c>
      <c r="AD108" s="38">
        <f>IFERROR(_xlfn.XLOOKUP($D108,'Modelling New'!$D:$D,'Modelling New'!T:T)*1000,"")</f>
        <v>31425.129045407131</v>
      </c>
      <c r="AE108" s="164">
        <f t="shared" si="9"/>
        <v>0.70053008017012453</v>
      </c>
      <c r="AF108" s="164">
        <f>IFERROR(_xlfn.XLOOKUP($D108,'Modelling New'!$D:$D,'Modelling New'!W:W),"")</f>
        <v>0.12461981316188862</v>
      </c>
      <c r="AG108" s="164">
        <f>IFERROR(_xlfn.XLOOKUP($D108,'Modelling New'!$D:$D,'Modelling New'!AD:AD),"")</f>
        <v>0.995</v>
      </c>
      <c r="AH108" s="164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64"/>
      <c r="AO108" s="164"/>
      <c r="AP108" s="164"/>
      <c r="AQ108" s="164"/>
      <c r="AR108" s="38">
        <f>IFERROR(_xlfn.XLOOKUP($D108,'Modelling New'!$D:$D,'Modelling New'!$N:$N),"")</f>
        <v>10.507</v>
      </c>
      <c r="AS108" s="38"/>
      <c r="AT108" s="38">
        <f>IFERROR(_xlfn.XLOOKUP(Table13[[#This Row],[Date]],'Raw Data'!$G:$G,'Raw Data'!$AJ:$AJ),"")</f>
        <v>0</v>
      </c>
      <c r="AU108" s="38">
        <f>IFERROR(_xlfn.XLOOKUP(Table13[[#This Row],[Month Year]],'Modelling New'!$D:$D,'Modelling New'!$AN:$AN),"")</f>
        <v>10</v>
      </c>
      <c r="AV108" s="38">
        <f>SUMIF('Curtailment records'!$C:$C,Table13[[#This Row],[Date]],'Curtailment records'!$R:$R)/1000</f>
        <v>0</v>
      </c>
    </row>
    <row r="109" spans="1:48">
      <c r="A109" s="66">
        <f t="shared" si="10"/>
        <v>45852</v>
      </c>
      <c r="B109" s="38">
        <f>YEAR(Table13[[#This Row],[Date]])+IF(MONTH(Table13[[#This Row],[Date]])&gt;=4,1,0)</f>
        <v>2026</v>
      </c>
      <c r="C109" s="17">
        <f>YEAR(Table13[[#This Row],[Date]])</f>
        <v>2025</v>
      </c>
      <c r="D109" s="37">
        <f>Table13[[#This Row],[Date]]-DAY(Table13[[#This Row],[Date]])+1</f>
        <v>45839</v>
      </c>
      <c r="E109" s="17">
        <f t="shared" si="11"/>
        <v>31</v>
      </c>
      <c r="F109" s="135" cm="1">
        <f t="array" ref="F109">IFERROR(_xlfn.XLOOKUP(Table13[[#This Row],[Date]],Raw_Data[[#All],[Date]],Raw_Data[[#All],[Operating Hours]]),"")</f>
        <v>12.566666666666666</v>
      </c>
      <c r="G109" s="136">
        <f>IFERROR(_xlfn.XLOOKUP($A109,'Raw Data'!$G:$G,'Raw Data'!S:S)/1000,"")</f>
        <v>4.67</v>
      </c>
      <c r="H109" s="136"/>
      <c r="I109" s="136">
        <f>IFERROR(_xlfn.XLOOKUP($A109,'Raw Data'!$G:$G,'Raw Data'!AF:AF)/1000,"")</f>
        <v>4.87</v>
      </c>
      <c r="J109" s="136"/>
      <c r="K109" s="137">
        <f>IFERROR(_xlfn.XLOOKUP($A109,'Raw Data'!$G:$G,'Raw Data'!W:W),"")</f>
        <v>25.308907064434489</v>
      </c>
      <c r="L109" s="136">
        <f>IFERROR(_xlfn.XLOOKUP($A109,'Raw Data'!$G:$G,'Raw Data'!X:X),"")</f>
        <v>34.554433659048442</v>
      </c>
      <c r="M109" s="136">
        <f>IFERROR(_xlfn.XLOOKUP($A109,'Raw Data'!$G:$G,'Raw Data'!Y:Y),"")</f>
        <v>2.4241960584116025</v>
      </c>
      <c r="N109" s="136">
        <f>IFERROR(_xlfn.XLOOKUP($A109,'Raw Data'!$G:$G,'Raw Data'!Z:Z),"")</f>
        <v>7.6105127334594727</v>
      </c>
      <c r="O109" s="176">
        <f>IFERROR(1-SUMIF('Plant BD'!$B:$B,$A109,'Plant BD'!$AM:$AM)/($AA109+SUMIF('Plant BD'!$B:$B,$A109,'Plant BD'!$AM:$AM)),"")</f>
        <v>1</v>
      </c>
      <c r="P109" s="176"/>
      <c r="Q109" s="177"/>
      <c r="R109" s="176">
        <f>IFERROR(1-SUMIF('Grid BD'!$B:$B,$A109,'Grid BD'!$AE:$AE)/($AA109+SUMIF('Grid BD'!$B:$B,$A109,'Grid BD'!$AE:$AE)),"")</f>
        <v>1</v>
      </c>
      <c r="S109" s="17"/>
      <c r="T109" s="177">
        <f>IFERROR(1-SUMIF(Tracker_BD!H:H,$A109,Tracker_BD!AI:AI)/$F109,"")</f>
        <v>1</v>
      </c>
      <c r="U109" s="178">
        <f t="shared" si="7"/>
        <v>0.71989710975905685</v>
      </c>
      <c r="V109" s="17"/>
      <c r="W109" s="164">
        <f t="shared" si="8"/>
        <v>0.14607912185527527</v>
      </c>
      <c r="X109" s="17">
        <f>IFERROR(_xlfn.XLOOKUP($A109,'Raw Data'!$G:$G,'Raw Data'!AB:AB),"")</f>
        <v>36792</v>
      </c>
      <c r="Y109" s="17">
        <f>IFERROR(_xlfn.XLOOKUP($A109,'Raw Data'!$G:$G,'Raw Data'!AC:AC),"")</f>
        <v>37133.600000001024</v>
      </c>
      <c r="Z109" s="38">
        <f>IFERROR(_xlfn.XLOOKUP($A109,'Raw Data'!$G:$G,'Raw Data'!AD:AD),"")</f>
        <v>297.11999999996408</v>
      </c>
      <c r="AA109" s="38">
        <f>IFERROR(_xlfn.XLOOKUP($A109,'Raw Data'!$G:$G,'Raw Data'!AE:AE)*(1+(_xlfn.XLOOKUP(Table13[[#This Row],[Month Year]],JMR!$A:$A,JMR!$J:$J))),"")</f>
        <v>36836.480000001058</v>
      </c>
      <c r="AB109" s="17">
        <f>_xlfn.XLOOKUP($D109,'Modelling New'!D:D,'Modelling New'!N:N)</f>
        <v>10.507</v>
      </c>
      <c r="AC109" s="24">
        <f>IFERROR(_xlfn.XLOOKUP($D109,'Modelling New'!$D:$D,'Modelling New'!P:P),"")</f>
        <v>4.2694462387096781</v>
      </c>
      <c r="AD109" s="38">
        <f>IFERROR(_xlfn.XLOOKUP($D109,'Modelling New'!$D:$D,'Modelling New'!T:T)*1000,"")</f>
        <v>31425.129045407131</v>
      </c>
      <c r="AE109" s="164">
        <f t="shared" si="9"/>
        <v>0.70053008017012453</v>
      </c>
      <c r="AF109" s="164">
        <f>IFERROR(_xlfn.XLOOKUP($D109,'Modelling New'!$D:$D,'Modelling New'!W:W),"")</f>
        <v>0.12461981316188862</v>
      </c>
      <c r="AG109" s="164">
        <f>IFERROR(_xlfn.XLOOKUP($D109,'Modelling New'!$D:$D,'Modelling New'!AD:AD),"")</f>
        <v>0.995</v>
      </c>
      <c r="AH109" s="164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64"/>
      <c r="AO109" s="164"/>
      <c r="AP109" s="164"/>
      <c r="AQ109" s="164"/>
      <c r="AR109" s="38">
        <f>IFERROR(_xlfn.XLOOKUP($D109,'Modelling New'!$D:$D,'Modelling New'!$N:$N),"")</f>
        <v>10.507</v>
      </c>
      <c r="AS109" s="38"/>
      <c r="AT109" s="38">
        <f>IFERROR(_xlfn.XLOOKUP(Table13[[#This Row],[Date]],'Raw Data'!$G:$G,'Raw Data'!$AJ:$AJ),"")</f>
        <v>0</v>
      </c>
      <c r="AU109" s="38">
        <f>IFERROR(_xlfn.XLOOKUP(Table13[[#This Row],[Month Year]],'Modelling New'!$D:$D,'Modelling New'!$AN:$AN),"")</f>
        <v>10</v>
      </c>
      <c r="AV109" s="38">
        <f>SUMIF('Curtailment records'!$C:$C,Table13[[#This Row],[Date]],'Curtailment records'!$R:$R)/1000</f>
        <v>0</v>
      </c>
    </row>
    <row r="110" spans="1:48">
      <c r="A110" s="66">
        <f t="shared" si="10"/>
        <v>45853</v>
      </c>
      <c r="B110" s="38">
        <f>YEAR(Table13[[#This Row],[Date]])+IF(MONTH(Table13[[#This Row],[Date]])&gt;=4,1,0)</f>
        <v>2026</v>
      </c>
      <c r="C110" s="17">
        <f>YEAR(Table13[[#This Row],[Date]])</f>
        <v>2025</v>
      </c>
      <c r="D110" s="37">
        <f>Table13[[#This Row],[Date]]-DAY(Table13[[#This Row],[Date]])+1</f>
        <v>45839</v>
      </c>
      <c r="E110" s="17">
        <f t="shared" si="11"/>
        <v>31</v>
      </c>
      <c r="F110" s="135" cm="1">
        <f t="array" ref="F110">IFERROR(_xlfn.XLOOKUP(Table13[[#This Row],[Date]],Raw_Data[[#All],[Date]],Raw_Data[[#All],[Operating Hours]]),"")</f>
        <v>12.55</v>
      </c>
      <c r="G110" s="24">
        <f>IFERROR(_xlfn.XLOOKUP($A110,'Raw Data'!$G:$G,'Raw Data'!S:S)/1000,"")</f>
        <v>3.52</v>
      </c>
      <c r="H110" s="24"/>
      <c r="I110" s="24">
        <f>IFERROR(_xlfn.XLOOKUP($A110,'Raw Data'!$G:$G,'Raw Data'!AF:AF)/1000,"")</f>
        <v>3.44</v>
      </c>
      <c r="J110" s="24"/>
      <c r="K110" s="137">
        <f>IFERROR(_xlfn.XLOOKUP($A110,'Raw Data'!$G:$G,'Raw Data'!W:W),"")</f>
        <v>25.188855421637982</v>
      </c>
      <c r="L110" s="136">
        <f>IFERROR(_xlfn.XLOOKUP($A110,'Raw Data'!$G:$G,'Raw Data'!X:X),"")</f>
        <v>31.752026181005988</v>
      </c>
      <c r="M110" s="136">
        <f>IFERROR(_xlfn.XLOOKUP($A110,'Raw Data'!$G:$G,'Raw Data'!Y:Y),"")</f>
        <v>1.4626381730843603</v>
      </c>
      <c r="N110" s="136">
        <f>IFERROR(_xlfn.XLOOKUP($A110,'Raw Data'!$G:$G,'Raw Data'!Z:Z),"")</f>
        <v>4.956303596496582</v>
      </c>
      <c r="O110" s="176">
        <f>IFERROR(1-SUMIF('Plant BD'!$B:$B,$A110,'Plant BD'!$AM:$AM)/($AA110+SUMIF('Plant BD'!$B:$B,$A110,'Plant BD'!$AM:$AM)),"")</f>
        <v>1</v>
      </c>
      <c r="P110" s="176"/>
      <c r="Q110" s="177"/>
      <c r="R110" s="179">
        <f>IFERROR(1-SUMIF('Grid BD'!$B:$B,$A110,'Grid BD'!$AE:$AE)/($AA110+SUMIF('Grid BD'!$B:$B,$A110,'Grid BD'!$AE:$AE)),"")</f>
        <v>1</v>
      </c>
      <c r="S110" s="17"/>
      <c r="T110" s="177">
        <f>IFERROR(1-SUMIF(Tracker_BD!H:H,$A110,Tracker_BD!AI:AI)/$F110,"")</f>
        <v>1</v>
      </c>
      <c r="U110" s="178">
        <f t="shared" si="7"/>
        <v>0.76738597302783484</v>
      </c>
      <c r="V110" s="17"/>
      <c r="W110" s="164">
        <f t="shared" si="8"/>
        <v>0.10999198946732298</v>
      </c>
      <c r="X110" s="17">
        <f>IFERROR(_xlfn.XLOOKUP($A110,'Raw Data'!$G:$G,'Raw Data'!AB:AB),"")</f>
        <v>29230</v>
      </c>
      <c r="Y110" s="17">
        <f>IFERROR(_xlfn.XLOOKUP($A110,'Raw Data'!$G:$G,'Raw Data'!AC:AC),"")</f>
        <v>28051.999999996042</v>
      </c>
      <c r="Z110" s="38">
        <f>IFERROR(_xlfn.XLOOKUP($A110,'Raw Data'!$G:$G,'Raw Data'!AD:AD),"")</f>
        <v>315.54000000014071</v>
      </c>
      <c r="AA110" s="38">
        <f>IFERROR(_xlfn.XLOOKUP($A110,'Raw Data'!$G:$G,'Raw Data'!AE:AE)*(1+(_xlfn.XLOOKUP(Table13[[#This Row],[Month Year]],JMR!$A:$A,JMR!$J:$J))),"")</f>
        <v>27736.459999995903</v>
      </c>
      <c r="AB110" s="17">
        <f>_xlfn.XLOOKUP($D110,'Modelling New'!D:D,'Modelling New'!N:N)</f>
        <v>10.507</v>
      </c>
      <c r="AC110" s="24">
        <f>IFERROR(_xlfn.XLOOKUP($D110,'Modelling New'!$D:$D,'Modelling New'!P:P),"")</f>
        <v>4.2694462387096781</v>
      </c>
      <c r="AD110" s="38">
        <f>IFERROR(_xlfn.XLOOKUP($D110,'Modelling New'!$D:$D,'Modelling New'!T:T)*1000,"")</f>
        <v>31425.129045407131</v>
      </c>
      <c r="AE110" s="164">
        <f t="shared" si="9"/>
        <v>0.70053008017012453</v>
      </c>
      <c r="AF110" s="164">
        <f>IFERROR(_xlfn.XLOOKUP($D110,'Modelling New'!$D:$D,'Modelling New'!W:W),"")</f>
        <v>0.12461981316188862</v>
      </c>
      <c r="AG110" s="164">
        <f>IFERROR(_xlfn.XLOOKUP($D110,'Modelling New'!$D:$D,'Modelling New'!AD:AD),"")</f>
        <v>0.995</v>
      </c>
      <c r="AH110" s="164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64"/>
      <c r="AO110" s="164"/>
      <c r="AP110" s="164"/>
      <c r="AQ110" s="164"/>
      <c r="AR110" s="38">
        <f>IFERROR(_xlfn.XLOOKUP($D110,'Modelling New'!$D:$D,'Modelling New'!$N:$N),"")</f>
        <v>10.507</v>
      </c>
      <c r="AS110" s="38"/>
      <c r="AT110" s="38">
        <f>IFERROR(_xlfn.XLOOKUP(Table13[[#This Row],[Date]],'Raw Data'!$G:$G,'Raw Data'!$AJ:$AJ),"")</f>
        <v>0</v>
      </c>
      <c r="AU110" s="38">
        <f>IFERROR(_xlfn.XLOOKUP(Table13[[#This Row],[Month Year]],'Modelling New'!$D:$D,'Modelling New'!$AN:$AN),"")</f>
        <v>10</v>
      </c>
      <c r="AV110" s="38">
        <f>SUMIF('Curtailment records'!$C:$C,Table13[[#This Row],[Date]],'Curtailment records'!$R:$R)/1000</f>
        <v>0</v>
      </c>
    </row>
    <row r="111" spans="1:48">
      <c r="A111" s="66">
        <f t="shared" si="10"/>
        <v>45854</v>
      </c>
      <c r="B111" s="38">
        <f>YEAR(Table13[[#This Row],[Date]])+IF(MONTH(Table13[[#This Row],[Date]])&gt;=4,1,0)</f>
        <v>2026</v>
      </c>
      <c r="C111" s="17">
        <f>YEAR(Table13[[#This Row],[Date]])</f>
        <v>2025</v>
      </c>
      <c r="D111" s="37">
        <f>Table13[[#This Row],[Date]]-DAY(Table13[[#This Row],[Date]])+1</f>
        <v>45839</v>
      </c>
      <c r="E111" s="17">
        <f t="shared" si="11"/>
        <v>31</v>
      </c>
      <c r="F111" s="135" cm="1">
        <f t="array" ref="F111">IFERROR(_xlfn.XLOOKUP(Table13[[#This Row],[Date]],Raw_Data[[#All],[Date]],Raw_Data[[#All],[Operating Hours]]),"")</f>
        <v>12.3</v>
      </c>
      <c r="G111" s="136">
        <f>IFERROR(_xlfn.XLOOKUP($A111,'Raw Data'!$G:$G,'Raw Data'!S:S)/1000,"")</f>
        <v>4.09</v>
      </c>
      <c r="H111" s="136"/>
      <c r="I111" s="136">
        <f>IFERROR(_xlfn.XLOOKUP($A111,'Raw Data'!$G:$G,'Raw Data'!AF:AF)/1000,"")</f>
        <v>4.03</v>
      </c>
      <c r="J111" s="136"/>
      <c r="K111" s="137">
        <f>IFERROR(_xlfn.XLOOKUP($A111,'Raw Data'!$G:$G,'Raw Data'!W:W),"")</f>
        <v>24.803056154264002</v>
      </c>
      <c r="L111" s="136">
        <f>IFERROR(_xlfn.XLOOKUP($A111,'Raw Data'!$G:$G,'Raw Data'!X:X),"")</f>
        <v>34.565843849715549</v>
      </c>
      <c r="M111" s="136">
        <f>IFERROR(_xlfn.XLOOKUP($A111,'Raw Data'!$G:$G,'Raw Data'!Y:Y),"")</f>
        <v>0.9822539302025175</v>
      </c>
      <c r="N111" s="136">
        <f>IFERROR(_xlfn.XLOOKUP($A111,'Raw Data'!$G:$G,'Raw Data'!Z:Z),"")</f>
        <v>5.461369514465332</v>
      </c>
      <c r="O111" s="176">
        <f>IFERROR(1-SUMIF('Plant BD'!$B:$B,$A111,'Plant BD'!$AM:$AM)/($AA111+SUMIF('Plant BD'!$B:$B,$A111,'Plant BD'!$AM:$AM)),"")</f>
        <v>1</v>
      </c>
      <c r="P111" s="176"/>
      <c r="Q111" s="177"/>
      <c r="R111" s="176">
        <f>IFERROR(1-SUMIF('Grid BD'!$B:$B,$A111,'Grid BD'!$AE:$AE)/($AA111+SUMIF('Grid BD'!$B:$B,$A111,'Grid BD'!$AE:$AE)),"")</f>
        <v>1</v>
      </c>
      <c r="S111" s="17"/>
      <c r="T111" s="177">
        <f>IFERROR(1-SUMIF(Tracker_BD!H:H,$A111,Tracker_BD!AI:AI)/$F111,"")</f>
        <v>1</v>
      </c>
      <c r="U111" s="178">
        <f t="shared" si="7"/>
        <v>0.73651903103226968</v>
      </c>
      <c r="V111" s="17"/>
      <c r="W111" s="164">
        <f t="shared" si="8"/>
        <v>0.12367382062750196</v>
      </c>
      <c r="X111" s="17">
        <f>IFERROR(_xlfn.XLOOKUP($A111,'Raw Data'!$G:$G,'Raw Data'!AB:AB),"")</f>
        <v>31882</v>
      </c>
      <c r="Y111" s="17">
        <f>IFERROR(_xlfn.XLOOKUP($A111,'Raw Data'!$G:$G,'Raw Data'!AC:AC),"")</f>
        <v>31484.899999995832</v>
      </c>
      <c r="Z111" s="38">
        <f>IFERROR(_xlfn.XLOOKUP($A111,'Raw Data'!$G:$G,'Raw Data'!AD:AD),"")</f>
        <v>298.31999999991865</v>
      </c>
      <c r="AA111" s="38">
        <f>IFERROR(_xlfn.XLOOKUP($A111,'Raw Data'!$G:$G,'Raw Data'!AE:AE)*(1+(_xlfn.XLOOKUP(Table13[[#This Row],[Month Year]],JMR!$A:$A,JMR!$J:$J))),"")</f>
        <v>31186.579999995913</v>
      </c>
      <c r="AB111" s="17">
        <f>_xlfn.XLOOKUP($D111,'Modelling New'!D:D,'Modelling New'!N:N)</f>
        <v>10.507</v>
      </c>
      <c r="AC111" s="24">
        <f>IFERROR(_xlfn.XLOOKUP($D111,'Modelling New'!$D:$D,'Modelling New'!P:P),"")</f>
        <v>4.2694462387096781</v>
      </c>
      <c r="AD111" s="38">
        <f>IFERROR(_xlfn.XLOOKUP($D111,'Modelling New'!$D:$D,'Modelling New'!T:T)*1000,"")</f>
        <v>31425.129045407131</v>
      </c>
      <c r="AE111" s="164">
        <f t="shared" si="9"/>
        <v>0.70053008017012453</v>
      </c>
      <c r="AF111" s="164">
        <f>IFERROR(_xlfn.XLOOKUP($D111,'Modelling New'!$D:$D,'Modelling New'!W:W),"")</f>
        <v>0.12461981316188862</v>
      </c>
      <c r="AG111" s="164">
        <f>IFERROR(_xlfn.XLOOKUP($D111,'Modelling New'!$D:$D,'Modelling New'!AD:AD),"")</f>
        <v>0.995</v>
      </c>
      <c r="AH111" s="164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64"/>
      <c r="AO111" s="164"/>
      <c r="AP111" s="164"/>
      <c r="AQ111" s="164"/>
      <c r="AR111" s="38">
        <f>IFERROR(_xlfn.XLOOKUP($D111,'Modelling New'!$D:$D,'Modelling New'!$N:$N),"")</f>
        <v>10.507</v>
      </c>
      <c r="AS111" s="38"/>
      <c r="AT111" s="38">
        <f>IFERROR(_xlfn.XLOOKUP(Table13[[#This Row],[Date]],'Raw Data'!$G:$G,'Raw Data'!$AJ:$AJ),"")</f>
        <v>0</v>
      </c>
      <c r="AU111" s="38">
        <f>IFERROR(_xlfn.XLOOKUP(Table13[[#This Row],[Month Year]],'Modelling New'!$D:$D,'Modelling New'!$AN:$AN),"")</f>
        <v>10</v>
      </c>
      <c r="AV111" s="38">
        <f>SUMIF('Curtailment records'!$C:$C,Table13[[#This Row],[Date]],'Curtailment records'!$R:$R)/1000</f>
        <v>0</v>
      </c>
    </row>
    <row r="112" spans="1:48">
      <c r="A112" s="66">
        <f t="shared" si="10"/>
        <v>45855</v>
      </c>
      <c r="B112" s="38">
        <f>YEAR(Table13[[#This Row],[Date]])+IF(MONTH(Table13[[#This Row],[Date]])&gt;=4,1,0)</f>
        <v>2026</v>
      </c>
      <c r="C112" s="17">
        <f>YEAR(Table13[[#This Row],[Date]])</f>
        <v>2025</v>
      </c>
      <c r="D112" s="37">
        <f>Table13[[#This Row],[Date]]-DAY(Table13[[#This Row],[Date]])+1</f>
        <v>45839</v>
      </c>
      <c r="E112" s="17">
        <f t="shared" si="11"/>
        <v>31</v>
      </c>
      <c r="F112" s="135" cm="1">
        <f t="array" ref="F112">IFERROR(_xlfn.XLOOKUP(Table13[[#This Row],[Date]],Raw_Data[[#All],[Date]],Raw_Data[[#All],[Operating Hours]]),"")</f>
        <v>12.416666666666668</v>
      </c>
      <c r="G112" s="24">
        <f>IFERROR(_xlfn.XLOOKUP($A112,'Raw Data'!$G:$G,'Raw Data'!S:S)/1000,"")</f>
        <v>5.07</v>
      </c>
      <c r="H112" s="24"/>
      <c r="I112" s="24">
        <f>IFERROR(_xlfn.XLOOKUP($A112,'Raw Data'!$G:$G,'Raw Data'!AF:AF)/1000,"")</f>
        <v>5.27</v>
      </c>
      <c r="J112" s="24"/>
      <c r="K112" s="137">
        <f>IFERROR(_xlfn.XLOOKUP($A112,'Raw Data'!$G:$G,'Raw Data'!W:W),"")</f>
        <v>25.334299153230489</v>
      </c>
      <c r="L112" s="136">
        <f>IFERROR(_xlfn.XLOOKUP($A112,'Raw Data'!$G:$G,'Raw Data'!X:X),"")</f>
        <v>37.032645753641745</v>
      </c>
      <c r="M112" s="136">
        <f>IFERROR(_xlfn.XLOOKUP($A112,'Raw Data'!$G:$G,'Raw Data'!Y:Y),"")</f>
        <v>1.7033635648910834</v>
      </c>
      <c r="N112" s="136">
        <f>IFERROR(_xlfn.XLOOKUP($A112,'Raw Data'!$G:$G,'Raw Data'!Z:Z),"")</f>
        <v>5.1773762702941895</v>
      </c>
      <c r="O112" s="176">
        <f>IFERROR(1-SUMIF('Plant BD'!$B:$B,$A112,'Plant BD'!$AM:$AM)/($AA112+SUMIF('Plant BD'!$B:$B,$A112,'Plant BD'!$AM:$AM)),"")</f>
        <v>0.99355633077829208</v>
      </c>
      <c r="P112" s="176"/>
      <c r="Q112" s="177"/>
      <c r="R112" s="179">
        <f>IFERROR(1-SUMIF('Grid BD'!$B:$B,$A112,'Grid BD'!$AE:$AE)/($AA112+SUMIF('Grid BD'!$B:$B,$A112,'Grid BD'!$AE:$AE)),"")</f>
        <v>0.99997212370229749</v>
      </c>
      <c r="S112" s="17"/>
      <c r="T112" s="177">
        <f>IFERROR(1-SUMIF(Tracker_BD!H:H,$A112,Tracker_BD!AI:AI)/$F112,"")</f>
        <v>1</v>
      </c>
      <c r="U112" s="178">
        <f t="shared" si="7"/>
        <v>0.71525389507220105</v>
      </c>
      <c r="V112" s="17"/>
      <c r="W112" s="164">
        <f t="shared" si="8"/>
        <v>0.15705783445960414</v>
      </c>
      <c r="X112" s="17">
        <f>IFERROR(_xlfn.XLOOKUP($A112,'Raw Data'!$G:$G,'Raw Data'!AB:AB),"")</f>
        <v>39328</v>
      </c>
      <c r="Y112" s="17">
        <f>IFERROR(_xlfn.XLOOKUP($A112,'Raw Data'!$G:$G,'Raw Data'!AC:AC),"")</f>
        <v>39918.400000009569</v>
      </c>
      <c r="Z112" s="38">
        <f>IFERROR(_xlfn.XLOOKUP($A112,'Raw Data'!$G:$G,'Raw Data'!AD:AD),"")</f>
        <v>313.44000000011363</v>
      </c>
      <c r="AA112" s="38">
        <f>IFERROR(_xlfn.XLOOKUP($A112,'Raw Data'!$G:$G,'Raw Data'!AE:AE)*(1+(_xlfn.XLOOKUP(Table13[[#This Row],[Month Year]],JMR!$A:$A,JMR!$J:$J))),"")</f>
        <v>39604.960000009458</v>
      </c>
      <c r="AB112" s="17">
        <f>_xlfn.XLOOKUP($D112,'Modelling New'!D:D,'Modelling New'!N:N)</f>
        <v>10.507</v>
      </c>
      <c r="AC112" s="24">
        <f>IFERROR(_xlfn.XLOOKUP($D112,'Modelling New'!$D:$D,'Modelling New'!P:P),"")</f>
        <v>4.2694462387096781</v>
      </c>
      <c r="AD112" s="38">
        <f>IFERROR(_xlfn.XLOOKUP($D112,'Modelling New'!$D:$D,'Modelling New'!T:T)*1000,"")</f>
        <v>31425.129045407131</v>
      </c>
      <c r="AE112" s="164">
        <f t="shared" si="9"/>
        <v>0.70053008017012453</v>
      </c>
      <c r="AF112" s="164">
        <f>IFERROR(_xlfn.XLOOKUP($D112,'Modelling New'!$D:$D,'Modelling New'!W:W),"")</f>
        <v>0.12461981316188862</v>
      </c>
      <c r="AG112" s="164">
        <f>IFERROR(_xlfn.XLOOKUP($D112,'Modelling New'!$D:$D,'Modelling New'!AD:AD),"")</f>
        <v>0.995</v>
      </c>
      <c r="AH112" s="164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64"/>
      <c r="AO112" s="164"/>
      <c r="AP112" s="164"/>
      <c r="AQ112" s="164"/>
      <c r="AR112" s="38">
        <f>IFERROR(_xlfn.XLOOKUP($D112,'Modelling New'!$D:$D,'Modelling New'!$N:$N),"")</f>
        <v>10.507</v>
      </c>
      <c r="AS112" s="38"/>
      <c r="AT112" s="38">
        <f>IFERROR(_xlfn.XLOOKUP(Table13[[#This Row],[Date]],'Raw Data'!$G:$G,'Raw Data'!$AJ:$AJ),"")</f>
        <v>0</v>
      </c>
      <c r="AU112" s="38">
        <f>IFERROR(_xlfn.XLOOKUP(Table13[[#This Row],[Month Year]],'Modelling New'!$D:$D,'Modelling New'!$AN:$AN),"")</f>
        <v>10</v>
      </c>
      <c r="AV112" s="38">
        <f>SUMIF('Curtailment records'!$C:$C,Table13[[#This Row],[Date]],'Curtailment records'!$R:$R)/1000</f>
        <v>0</v>
      </c>
    </row>
    <row r="113" spans="1:48">
      <c r="A113" s="66">
        <f t="shared" si="10"/>
        <v>45856</v>
      </c>
      <c r="B113" s="38">
        <f>YEAR(Table13[[#This Row],[Date]])+IF(MONTH(Table13[[#This Row],[Date]])&gt;=4,1,0)</f>
        <v>2026</v>
      </c>
      <c r="C113" s="17">
        <f>YEAR(Table13[[#This Row],[Date]])</f>
        <v>2025</v>
      </c>
      <c r="D113" s="37">
        <f>Table13[[#This Row],[Date]]-DAY(Table13[[#This Row],[Date]])+1</f>
        <v>45839</v>
      </c>
      <c r="E113" s="17">
        <f t="shared" si="11"/>
        <v>31</v>
      </c>
      <c r="F113" s="135" cm="1">
        <f t="array" ref="F113">IFERROR(_xlfn.XLOOKUP(Table13[[#This Row],[Date]],Raw_Data[[#All],[Date]],Raw_Data[[#All],[Operating Hours]]),"")</f>
        <v>12.483333333333334</v>
      </c>
      <c r="G113" s="136">
        <f>IFERROR(_xlfn.XLOOKUP($A113,'Raw Data'!$G:$G,'Raw Data'!S:S)/1000,"")</f>
        <v>4.12</v>
      </c>
      <c r="H113" s="136"/>
      <c r="I113" s="136">
        <f>IFERROR(_xlfn.XLOOKUP($A113,'Raw Data'!$G:$G,'Raw Data'!AF:AF)/1000,"")</f>
        <v>4.0999999999999996</v>
      </c>
      <c r="J113" s="136"/>
      <c r="K113" s="137">
        <f>IFERROR(_xlfn.XLOOKUP($A113,'Raw Data'!$G:$G,'Raw Data'!W:W),"")</f>
        <v>24.803056154264002</v>
      </c>
      <c r="L113" s="136">
        <f>IFERROR(_xlfn.XLOOKUP($A113,'Raw Data'!$G:$G,'Raw Data'!X:X),"")</f>
        <v>34.565843849715549</v>
      </c>
      <c r="M113" s="136">
        <f>IFERROR(_xlfn.XLOOKUP($A113,'Raw Data'!$G:$G,'Raw Data'!Y:Y),"")</f>
        <v>0.9822539302025175</v>
      </c>
      <c r="N113" s="136">
        <f>IFERROR(_xlfn.XLOOKUP($A113,'Raw Data'!$G:$G,'Raw Data'!Z:Z),"")</f>
        <v>5.461369514465332</v>
      </c>
      <c r="O113" s="176">
        <f>IFERROR(1-SUMIF('Plant BD'!$B:$B,$A113,'Plant BD'!$AM:$AM)/($AA113+SUMIF('Plant BD'!$B:$B,$A113,'Plant BD'!$AM:$AM)),"")</f>
        <v>1</v>
      </c>
      <c r="P113" s="176"/>
      <c r="Q113" s="177"/>
      <c r="R113" s="176">
        <f>IFERROR(1-SUMIF('Grid BD'!$B:$B,$A113,'Grid BD'!$AE:$AE)/($AA113+SUMIF('Grid BD'!$B:$B,$A113,'Grid BD'!$AE:$AE)),"")</f>
        <v>1</v>
      </c>
      <c r="S113" s="17"/>
      <c r="T113" s="177">
        <f>IFERROR(1-SUMIF(Tracker_BD!H:H,$A113,Tracker_BD!AI:AI)/$F113,"")</f>
        <v>1</v>
      </c>
      <c r="U113" s="178">
        <f t="shared" si="7"/>
        <v>0.73294180186487046</v>
      </c>
      <c r="V113" s="17"/>
      <c r="W113" s="164">
        <f t="shared" si="8"/>
        <v>0.12521089115191536</v>
      </c>
      <c r="X113" s="17">
        <f>IFERROR(_xlfn.XLOOKUP($A113,'Raw Data'!$G:$G,'Raw Data'!AB:AB),"")</f>
        <v>32323</v>
      </c>
      <c r="Y113" s="17">
        <f>IFERROR(_xlfn.XLOOKUP($A113,'Raw Data'!$G:$G,'Raw Data'!AC:AC),"")</f>
        <v>31873.999999996158</v>
      </c>
      <c r="Z113" s="38">
        <f>IFERROR(_xlfn.XLOOKUP($A113,'Raw Data'!$G:$G,'Raw Data'!AD:AD),"")</f>
        <v>299.81999999996845</v>
      </c>
      <c r="AA113" s="38">
        <f>IFERROR(_xlfn.XLOOKUP($A113,'Raw Data'!$G:$G,'Raw Data'!AE:AE)*(1+(_xlfn.XLOOKUP(Table13[[#This Row],[Month Year]],JMR!$A:$A,JMR!$J:$J))),"")</f>
        <v>31574.179999996191</v>
      </c>
      <c r="AB113" s="17">
        <f>_xlfn.XLOOKUP($D113,'Modelling New'!D:D,'Modelling New'!N:N)</f>
        <v>10.507</v>
      </c>
      <c r="AC113" s="24">
        <f>IFERROR(_xlfn.XLOOKUP($D113,'Modelling New'!$D:$D,'Modelling New'!P:P),"")</f>
        <v>4.2694462387096781</v>
      </c>
      <c r="AD113" s="38">
        <f>IFERROR(_xlfn.XLOOKUP($D113,'Modelling New'!$D:$D,'Modelling New'!T:T)*1000,"")</f>
        <v>31425.129045407131</v>
      </c>
      <c r="AE113" s="164">
        <f t="shared" si="9"/>
        <v>0.70053008017012453</v>
      </c>
      <c r="AF113" s="164">
        <f>IFERROR(_xlfn.XLOOKUP($D113,'Modelling New'!$D:$D,'Modelling New'!W:W),"")</f>
        <v>0.12461981316188862</v>
      </c>
      <c r="AG113" s="164">
        <f>IFERROR(_xlfn.XLOOKUP($D113,'Modelling New'!$D:$D,'Modelling New'!AD:AD),"")</f>
        <v>0.995</v>
      </c>
      <c r="AH113" s="164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64"/>
      <c r="AO113" s="164"/>
      <c r="AP113" s="164"/>
      <c r="AQ113" s="164"/>
      <c r="AR113" s="38">
        <f>IFERROR(_xlfn.XLOOKUP($D113,'Modelling New'!$D:$D,'Modelling New'!$N:$N),"")</f>
        <v>10.507</v>
      </c>
      <c r="AS113" s="38"/>
      <c r="AT113" s="38">
        <f>IFERROR(_xlfn.XLOOKUP(Table13[[#This Row],[Date]],'Raw Data'!$G:$G,'Raw Data'!$AJ:$AJ),"")</f>
        <v>0</v>
      </c>
      <c r="AU113" s="38">
        <f>IFERROR(_xlfn.XLOOKUP(Table13[[#This Row],[Month Year]],'Modelling New'!$D:$D,'Modelling New'!$AN:$AN),"")</f>
        <v>10</v>
      </c>
      <c r="AV113" s="38">
        <f>SUMIF('Curtailment records'!$C:$C,Table13[[#This Row],[Date]],'Curtailment records'!$R:$R)/1000</f>
        <v>0</v>
      </c>
    </row>
    <row r="114" spans="1:48">
      <c r="A114" s="66">
        <f t="shared" si="10"/>
        <v>45857</v>
      </c>
      <c r="B114" s="38">
        <f>YEAR(Table13[[#This Row],[Date]])+IF(MONTH(Table13[[#This Row],[Date]])&gt;=4,1,0)</f>
        <v>2026</v>
      </c>
      <c r="C114" s="17">
        <f>YEAR(Table13[[#This Row],[Date]])</f>
        <v>2025</v>
      </c>
      <c r="D114" s="37">
        <f>Table13[[#This Row],[Date]]-DAY(Table13[[#This Row],[Date]])+1</f>
        <v>45839</v>
      </c>
      <c r="E114" s="17">
        <f t="shared" si="11"/>
        <v>31</v>
      </c>
      <c r="F114" s="135" cm="1">
        <f t="array" ref="F114">IFERROR(_xlfn.XLOOKUP(Table13[[#This Row],[Date]],Raw_Data[[#All],[Date]],Raw_Data[[#All],[Operating Hours]]),"")</f>
        <v>11.799999999999999</v>
      </c>
      <c r="G114" s="24">
        <f>IFERROR(_xlfn.XLOOKUP($A114,'Raw Data'!$G:$G,'Raw Data'!S:S)/1000,"")</f>
        <v>2.37</v>
      </c>
      <c r="H114" s="24"/>
      <c r="I114" s="24">
        <f>IFERROR(_xlfn.XLOOKUP($A114,'Raw Data'!$G:$G,'Raw Data'!AF:AF)/1000,"")</f>
        <v>2.23</v>
      </c>
      <c r="J114" s="24"/>
      <c r="K114" s="137">
        <f>IFERROR(_xlfn.XLOOKUP($A114,'Raw Data'!$G:$G,'Raw Data'!W:W),"")</f>
        <v>22.894583708364525</v>
      </c>
      <c r="L114" s="136">
        <f>IFERROR(_xlfn.XLOOKUP($A114,'Raw Data'!$G:$G,'Raw Data'!X:X),"")</f>
        <v>27.10678490700159</v>
      </c>
      <c r="M114" s="136">
        <f>IFERROR(_xlfn.XLOOKUP($A114,'Raw Data'!$G:$G,'Raw Data'!Y:Y),"")</f>
        <v>1.0777514555278271</v>
      </c>
      <c r="N114" s="136">
        <f>IFERROR(_xlfn.XLOOKUP($A114,'Raw Data'!$G:$G,'Raw Data'!Z:Z),"")</f>
        <v>3.7968192100524902</v>
      </c>
      <c r="O114" s="176">
        <f>IFERROR(1-SUMIF('Plant BD'!$B:$B,$A114,'Plant BD'!$AM:$AM)/($AA114+SUMIF('Plant BD'!$B:$B,$A114,'Plant BD'!$AM:$AM)),"")</f>
        <v>1</v>
      </c>
      <c r="P114" s="176"/>
      <c r="Q114" s="177"/>
      <c r="R114" s="179">
        <f>IFERROR(1-SUMIF('Grid BD'!$B:$B,$A114,'Grid BD'!$AE:$AE)/($AA114+SUMIF('Grid BD'!$B:$B,$A114,'Grid BD'!$AE:$AE)),"")</f>
        <v>1</v>
      </c>
      <c r="S114" s="17"/>
      <c r="T114" s="177">
        <f>IFERROR(1-SUMIF(Tracker_BD!H:H,$A114,Tracker_BD!AI:AI)/$F114,"")</f>
        <v>1</v>
      </c>
      <c r="U114" s="178">
        <f t="shared" si="7"/>
        <v>0.79099946608309502</v>
      </c>
      <c r="V114" s="17"/>
      <c r="W114" s="164">
        <f t="shared" si="8"/>
        <v>7.3497033723554248E-2</v>
      </c>
      <c r="X114" s="17">
        <f>IFERROR(_xlfn.XLOOKUP($A114,'Raw Data'!$G:$G,'Raw Data'!AB:AB),"")</f>
        <v>21286</v>
      </c>
      <c r="Y114" s="17">
        <f>IFERROR(_xlfn.XLOOKUP($A114,'Raw Data'!$G:$G,'Raw Data'!AC:AC),"")</f>
        <v>18845.000000001164</v>
      </c>
      <c r="Z114" s="38">
        <f>IFERROR(_xlfn.XLOOKUP($A114,'Raw Data'!$G:$G,'Raw Data'!AD:AD),"")</f>
        <v>311.39999999993506</v>
      </c>
      <c r="AA114" s="38">
        <f>IFERROR(_xlfn.XLOOKUP($A114,'Raw Data'!$G:$G,'Raw Data'!AE:AE)*(1+(_xlfn.XLOOKUP(Table13[[#This Row],[Month Year]],JMR!$A:$A,JMR!$J:$J))),"")</f>
        <v>18533.600000001228</v>
      </c>
      <c r="AB114" s="17">
        <f>_xlfn.XLOOKUP($D114,'Modelling New'!D:D,'Modelling New'!N:N)</f>
        <v>10.507</v>
      </c>
      <c r="AC114" s="24">
        <f>IFERROR(_xlfn.XLOOKUP($D114,'Modelling New'!$D:$D,'Modelling New'!P:P),"")</f>
        <v>4.2694462387096781</v>
      </c>
      <c r="AD114" s="38">
        <f>IFERROR(_xlfn.XLOOKUP($D114,'Modelling New'!$D:$D,'Modelling New'!T:T)*1000,"")</f>
        <v>31425.129045407131</v>
      </c>
      <c r="AE114" s="164">
        <f t="shared" si="9"/>
        <v>0.70053008017012453</v>
      </c>
      <c r="AF114" s="164">
        <f>IFERROR(_xlfn.XLOOKUP($D114,'Modelling New'!$D:$D,'Modelling New'!W:W),"")</f>
        <v>0.12461981316188862</v>
      </c>
      <c r="AG114" s="164">
        <f>IFERROR(_xlfn.XLOOKUP($D114,'Modelling New'!$D:$D,'Modelling New'!AD:AD),"")</f>
        <v>0.995</v>
      </c>
      <c r="AH114" s="164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64"/>
      <c r="AO114" s="164"/>
      <c r="AP114" s="164"/>
      <c r="AQ114" s="164"/>
      <c r="AR114" s="38">
        <f>IFERROR(_xlfn.XLOOKUP($D114,'Modelling New'!$D:$D,'Modelling New'!$N:$N),"")</f>
        <v>10.507</v>
      </c>
      <c r="AS114" s="38"/>
      <c r="AT114" s="38">
        <f>IFERROR(_xlfn.XLOOKUP(Table13[[#This Row],[Date]],'Raw Data'!$G:$G,'Raw Data'!$AJ:$AJ),"")</f>
        <v>0</v>
      </c>
      <c r="AU114" s="38">
        <f>IFERROR(_xlfn.XLOOKUP(Table13[[#This Row],[Month Year]],'Modelling New'!$D:$D,'Modelling New'!$AN:$AN),"")</f>
        <v>10</v>
      </c>
      <c r="AV114" s="38">
        <f>SUMIF('Curtailment records'!$C:$C,Table13[[#This Row],[Date]],'Curtailment records'!$R:$R)/1000</f>
        <v>0</v>
      </c>
    </row>
    <row r="115" spans="1:48">
      <c r="A115" s="66">
        <f t="shared" si="10"/>
        <v>45858</v>
      </c>
      <c r="B115" s="38">
        <f>YEAR(Table13[[#This Row],[Date]])+IF(MONTH(Table13[[#This Row],[Date]])&gt;=4,1,0)</f>
        <v>2026</v>
      </c>
      <c r="C115" s="17">
        <f>YEAR(Table13[[#This Row],[Date]])</f>
        <v>2025</v>
      </c>
      <c r="D115" s="37">
        <f>Table13[[#This Row],[Date]]-DAY(Table13[[#This Row],[Date]])+1</f>
        <v>45839</v>
      </c>
      <c r="E115" s="17">
        <f t="shared" si="11"/>
        <v>31</v>
      </c>
      <c r="F115" s="135" cm="1">
        <f t="array" ref="F115">IFERROR(_xlfn.XLOOKUP(Table13[[#This Row],[Date]],Raw_Data[[#All],[Date]],Raw_Data[[#All],[Operating Hours]]),"")</f>
        <v>12.366666666666665</v>
      </c>
      <c r="G115" s="136">
        <f>IFERROR(_xlfn.XLOOKUP($A115,'Raw Data'!$G:$G,'Raw Data'!S:S)/1000,"")</f>
        <v>4</v>
      </c>
      <c r="H115" s="136"/>
      <c r="I115" s="136">
        <f>IFERROR(_xlfn.XLOOKUP($A115,'Raw Data'!$G:$G,'Raw Data'!AF:AF)/1000,"")</f>
        <v>4.0750000000000002</v>
      </c>
      <c r="J115" s="136"/>
      <c r="K115" s="137">
        <f>IFERROR(_xlfn.XLOOKUP($A115,'Raw Data'!$G:$G,'Raw Data'!W:W),"")</f>
        <v>24.394212918732933</v>
      </c>
      <c r="L115" s="136">
        <f>IFERROR(_xlfn.XLOOKUP($A115,'Raw Data'!$G:$G,'Raw Data'!X:X),"")</f>
        <v>32.346537244753108</v>
      </c>
      <c r="M115" s="136">
        <f>IFERROR(_xlfn.XLOOKUP($A115,'Raw Data'!$G:$G,'Raw Data'!Y:Y),"")</f>
        <v>1.4379365662118686</v>
      </c>
      <c r="N115" s="136">
        <f>IFERROR(_xlfn.XLOOKUP($A115,'Raw Data'!$G:$G,'Raw Data'!Z:Z),"")</f>
        <v>5.9731965065002441</v>
      </c>
      <c r="O115" s="176">
        <f>IFERROR(1-SUMIF('Plant BD'!$B:$B,$A115,'Plant BD'!$AM:$AM)/($AA115+SUMIF('Plant BD'!$B:$B,$A115,'Plant BD'!$AM:$AM)),"")</f>
        <v>1</v>
      </c>
      <c r="P115" s="176"/>
      <c r="Q115" s="177"/>
      <c r="R115" s="176">
        <f>IFERROR(1-SUMIF('Grid BD'!$B:$B,$A115,'Grid BD'!$AE:$AE)/($AA115+SUMIF('Grid BD'!$B:$B,$A115,'Grid BD'!$AE:$AE)),"")</f>
        <v>1</v>
      </c>
      <c r="S115" s="17"/>
      <c r="T115" s="177">
        <f>IFERROR(1-SUMIF(Tracker_BD!H:H,$A115,Tracker_BD!AI:AI)/$F115,"")</f>
        <v>1</v>
      </c>
      <c r="U115" s="178">
        <f t="shared" si="7"/>
        <v>0.72766960501346667</v>
      </c>
      <c r="V115" s="17"/>
      <c r="W115" s="164">
        <f t="shared" si="8"/>
        <v>0.12355223501791153</v>
      </c>
      <c r="X115" s="17">
        <f>IFERROR(_xlfn.XLOOKUP($A115,'Raw Data'!$G:$G,'Raw Data'!AB:AB),"")</f>
        <v>32169</v>
      </c>
      <c r="Y115" s="17">
        <f>IFERROR(_xlfn.XLOOKUP($A115,'Raw Data'!$G:$G,'Raw Data'!AC:AC),"")</f>
        <v>31483.99999999674</v>
      </c>
      <c r="Z115" s="38">
        <f>IFERROR(_xlfn.XLOOKUP($A115,'Raw Data'!$G:$G,'Raw Data'!AD:AD),"")</f>
        <v>328.08000000002835</v>
      </c>
      <c r="AA115" s="38">
        <f>IFERROR(_xlfn.XLOOKUP($A115,'Raw Data'!$G:$G,'Raw Data'!AE:AE)*(1+(_xlfn.XLOOKUP(Table13[[#This Row],[Month Year]],JMR!$A:$A,JMR!$J:$J))),"")</f>
        <v>31155.919999996713</v>
      </c>
      <c r="AB115" s="17">
        <f>_xlfn.XLOOKUP($D115,'Modelling New'!D:D,'Modelling New'!N:N)</f>
        <v>10.507</v>
      </c>
      <c r="AC115" s="24">
        <f>IFERROR(_xlfn.XLOOKUP($D115,'Modelling New'!$D:$D,'Modelling New'!P:P),"")</f>
        <v>4.2694462387096781</v>
      </c>
      <c r="AD115" s="38">
        <f>IFERROR(_xlfn.XLOOKUP($D115,'Modelling New'!$D:$D,'Modelling New'!T:T)*1000,"")</f>
        <v>31425.129045407131</v>
      </c>
      <c r="AE115" s="164">
        <f t="shared" si="9"/>
        <v>0.70053008017012453</v>
      </c>
      <c r="AF115" s="164">
        <f>IFERROR(_xlfn.XLOOKUP($D115,'Modelling New'!$D:$D,'Modelling New'!W:W),"")</f>
        <v>0.12461981316188862</v>
      </c>
      <c r="AG115" s="164">
        <f>IFERROR(_xlfn.XLOOKUP($D115,'Modelling New'!$D:$D,'Modelling New'!AD:AD),"")</f>
        <v>0.995</v>
      </c>
      <c r="AH115" s="164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64"/>
      <c r="AO115" s="164"/>
      <c r="AP115" s="164"/>
      <c r="AQ115" s="164"/>
      <c r="AR115" s="38">
        <f>IFERROR(_xlfn.XLOOKUP($D115,'Modelling New'!$D:$D,'Modelling New'!$N:$N),"")</f>
        <v>10.507</v>
      </c>
      <c r="AS115" s="38"/>
      <c r="AT115" s="38">
        <f>IFERROR(_xlfn.XLOOKUP(Table13[[#This Row],[Date]],'Raw Data'!$G:$G,'Raw Data'!$AJ:$AJ),"")</f>
        <v>0</v>
      </c>
      <c r="AU115" s="38">
        <f>IFERROR(_xlfn.XLOOKUP(Table13[[#This Row],[Month Year]],'Modelling New'!$D:$D,'Modelling New'!$AN:$AN),"")</f>
        <v>10</v>
      </c>
      <c r="AV115" s="38">
        <f>SUMIF('Curtailment records'!$C:$C,Table13[[#This Row],[Date]],'Curtailment records'!$R:$R)/1000</f>
        <v>0</v>
      </c>
    </row>
    <row r="116" spans="1:48">
      <c r="A116" s="66">
        <f t="shared" si="10"/>
        <v>45859</v>
      </c>
      <c r="B116" s="38">
        <f>YEAR(Table13[[#This Row],[Date]])+IF(MONTH(Table13[[#This Row],[Date]])&gt;=4,1,0)</f>
        <v>2026</v>
      </c>
      <c r="C116" s="17">
        <f>YEAR(Table13[[#This Row],[Date]])</f>
        <v>2025</v>
      </c>
      <c r="D116" s="37">
        <f>Table13[[#This Row],[Date]]-DAY(Table13[[#This Row],[Date]])+1</f>
        <v>45839</v>
      </c>
      <c r="E116" s="17">
        <f t="shared" si="11"/>
        <v>31</v>
      </c>
      <c r="F116" s="135" cm="1">
        <f t="array" ref="F116">IFERROR(_xlfn.XLOOKUP(Table13[[#This Row],[Date]],Raw_Data[[#All],[Date]],Raw_Data[[#All],[Operating Hours]]),"")</f>
        <v>12.383333333333335</v>
      </c>
      <c r="G116" s="24">
        <f>IFERROR(_xlfn.XLOOKUP($A116,'Raw Data'!$G:$G,'Raw Data'!S:S)/1000,"")</f>
        <v>3.77</v>
      </c>
      <c r="H116" s="24"/>
      <c r="I116" s="24">
        <f>IFERROR(_xlfn.XLOOKUP($A116,'Raw Data'!$G:$G,'Raw Data'!AF:AF)/1000,"")</f>
        <v>3.69</v>
      </c>
      <c r="J116" s="24"/>
      <c r="K116" s="137">
        <f>IFERROR(_xlfn.XLOOKUP($A116,'Raw Data'!$G:$G,'Raw Data'!W:W),"")</f>
        <v>23.592323220758885</v>
      </c>
      <c r="L116" s="136">
        <f>IFERROR(_xlfn.XLOOKUP($A116,'Raw Data'!$G:$G,'Raw Data'!X:X),"")</f>
        <v>30.801243727450142</v>
      </c>
      <c r="M116" s="136">
        <f>IFERROR(_xlfn.XLOOKUP($A116,'Raw Data'!$G:$G,'Raw Data'!Y:Y),"")</f>
        <v>1.5523421283137995</v>
      </c>
      <c r="N116" s="136">
        <f>IFERROR(_xlfn.XLOOKUP($A116,'Raw Data'!$G:$G,'Raw Data'!Z:Z),"")</f>
        <v>4.8422064781188965</v>
      </c>
      <c r="O116" s="176">
        <f>IFERROR(1-SUMIF('Plant BD'!$B:$B,$A116,'Plant BD'!$AM:$AM)/($AA116+SUMIF('Plant BD'!$B:$B,$A116,'Plant BD'!$AM:$AM)),"")</f>
        <v>1</v>
      </c>
      <c r="P116" s="176"/>
      <c r="Q116" s="177"/>
      <c r="R116" s="179">
        <f>IFERROR(1-SUMIF('Grid BD'!$B:$B,$A116,'Grid BD'!$AE:$AE)/($AA116+SUMIF('Grid BD'!$B:$B,$A116,'Grid BD'!$AE:$AE)),"")</f>
        <v>1</v>
      </c>
      <c r="S116" s="17"/>
      <c r="T116" s="177">
        <f>IFERROR(1-SUMIF(Tracker_BD!H:H,$A116,Tracker_BD!AI:AI)/$F116,"")</f>
        <v>1</v>
      </c>
      <c r="U116" s="178">
        <f t="shared" si="7"/>
        <v>0.75221087606311965</v>
      </c>
      <c r="V116" s="17"/>
      <c r="W116" s="164">
        <f t="shared" si="8"/>
        <v>0.11565242219470465</v>
      </c>
      <c r="X116" s="17">
        <f>IFERROR(_xlfn.XLOOKUP($A116,'Raw Data'!$G:$G,'Raw Data'!AB:AB),"")</f>
        <v>30347</v>
      </c>
      <c r="Y116" s="17">
        <f>IFERROR(_xlfn.XLOOKUP($A116,'Raw Data'!$G:$G,'Raw Data'!AC:AC),"")</f>
        <v>29471.999999994296</v>
      </c>
      <c r="Z116" s="38">
        <f>IFERROR(_xlfn.XLOOKUP($A116,'Raw Data'!$G:$G,'Raw Data'!AD:AD),"")</f>
        <v>308.16000000001509</v>
      </c>
      <c r="AA116" s="38">
        <f>IFERROR(_xlfn.XLOOKUP($A116,'Raw Data'!$G:$G,'Raw Data'!AE:AE)*(1+(_xlfn.XLOOKUP(Table13[[#This Row],[Month Year]],JMR!$A:$A,JMR!$J:$J))),"")</f>
        <v>29163.839999994281</v>
      </c>
      <c r="AB116" s="17">
        <f>_xlfn.XLOOKUP($D116,'Modelling New'!D:D,'Modelling New'!N:N)</f>
        <v>10.507</v>
      </c>
      <c r="AC116" s="24">
        <f>IFERROR(_xlfn.XLOOKUP($D116,'Modelling New'!$D:$D,'Modelling New'!P:P),"")</f>
        <v>4.2694462387096781</v>
      </c>
      <c r="AD116" s="38">
        <f>IFERROR(_xlfn.XLOOKUP($D116,'Modelling New'!$D:$D,'Modelling New'!T:T)*1000,"")</f>
        <v>31425.129045407131</v>
      </c>
      <c r="AE116" s="164">
        <f t="shared" si="9"/>
        <v>0.70053008017012453</v>
      </c>
      <c r="AF116" s="164">
        <f>IFERROR(_xlfn.XLOOKUP($D116,'Modelling New'!$D:$D,'Modelling New'!W:W),"")</f>
        <v>0.12461981316188862</v>
      </c>
      <c r="AG116" s="164">
        <f>IFERROR(_xlfn.XLOOKUP($D116,'Modelling New'!$D:$D,'Modelling New'!AD:AD),"")</f>
        <v>0.995</v>
      </c>
      <c r="AH116" s="164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64"/>
      <c r="AO116" s="164"/>
      <c r="AP116" s="164"/>
      <c r="AQ116" s="164"/>
      <c r="AR116" s="38">
        <f>IFERROR(_xlfn.XLOOKUP($D116,'Modelling New'!$D:$D,'Modelling New'!$N:$N),"")</f>
        <v>10.507</v>
      </c>
      <c r="AS116" s="38"/>
      <c r="AT116" s="38">
        <f>IFERROR(_xlfn.XLOOKUP(Table13[[#This Row],[Date]],'Raw Data'!$G:$G,'Raw Data'!$AJ:$AJ),"")</f>
        <v>0</v>
      </c>
      <c r="AU116" s="38">
        <f>IFERROR(_xlfn.XLOOKUP(Table13[[#This Row],[Month Year]],'Modelling New'!$D:$D,'Modelling New'!$AN:$AN),"")</f>
        <v>10</v>
      </c>
      <c r="AV116" s="38">
        <f>SUMIF('Curtailment records'!$C:$C,Table13[[#This Row],[Date]],'Curtailment records'!$R:$R)/1000</f>
        <v>0</v>
      </c>
    </row>
    <row r="117" spans="1:48">
      <c r="A117" s="66">
        <f t="shared" si="10"/>
        <v>45860</v>
      </c>
      <c r="B117" s="38">
        <f>YEAR(Table13[[#This Row],[Date]])+IF(MONTH(Table13[[#This Row],[Date]])&gt;=4,1,0)</f>
        <v>2026</v>
      </c>
      <c r="C117" s="17">
        <f>YEAR(Table13[[#This Row],[Date]])</f>
        <v>2025</v>
      </c>
      <c r="D117" s="37">
        <f>Table13[[#This Row],[Date]]-DAY(Table13[[#This Row],[Date]])+1</f>
        <v>45839</v>
      </c>
      <c r="E117" s="17">
        <f t="shared" si="11"/>
        <v>31</v>
      </c>
      <c r="F117" s="135" cm="1">
        <f t="array" ref="F117">IFERROR(_xlfn.XLOOKUP(Table13[[#This Row],[Date]],Raw_Data[[#All],[Date]],Raw_Data[[#All],[Operating Hours]]),"")</f>
        <v>12.433333333333332</v>
      </c>
      <c r="G117" s="136">
        <f>IFERROR(_xlfn.XLOOKUP($A117,'Raw Data'!$G:$G,'Raw Data'!S:S)/1000,"")</f>
        <v>3.99</v>
      </c>
      <c r="H117" s="136"/>
      <c r="I117" s="136">
        <f>IFERROR(_xlfn.XLOOKUP($A117,'Raw Data'!$G:$G,'Raw Data'!AF:AF)/1000,"")</f>
        <v>3.875</v>
      </c>
      <c r="J117" s="136"/>
      <c r="K117" s="137">
        <f>IFERROR(_xlfn.XLOOKUP($A117,'Raw Data'!$G:$G,'Raw Data'!W:W),"")</f>
        <v>24.160546753479004</v>
      </c>
      <c r="L117" s="136">
        <f>IFERROR(_xlfn.XLOOKUP($A117,'Raw Data'!$G:$G,'Raw Data'!X:X),"")</f>
        <v>31.746793436339932</v>
      </c>
      <c r="M117" s="136">
        <f>IFERROR(_xlfn.XLOOKUP($A117,'Raw Data'!$G:$G,'Raw Data'!Y:Y),"")</f>
        <v>1.7008165226308973</v>
      </c>
      <c r="N117" s="136">
        <f>IFERROR(_xlfn.XLOOKUP($A117,'Raw Data'!$G:$G,'Raw Data'!Z:Z),"")</f>
        <v>6.5749797821044922</v>
      </c>
      <c r="O117" s="176">
        <f>IFERROR(1-SUMIF('Plant BD'!$B:$B,$A117,'Plant BD'!$AM:$AM)/($AA117+SUMIF('Plant BD'!$B:$B,$A117,'Plant BD'!$AM:$AM)),"")</f>
        <v>1</v>
      </c>
      <c r="P117" s="176"/>
      <c r="Q117" s="177"/>
      <c r="R117" s="176">
        <f>IFERROR(1-SUMIF('Grid BD'!$B:$B,$A117,'Grid BD'!$AE:$AE)/($AA117+SUMIF('Grid BD'!$B:$B,$A117,'Grid BD'!$AE:$AE)),"")</f>
        <v>1</v>
      </c>
      <c r="S117" s="17"/>
      <c r="T117" s="177">
        <f>IFERROR(1-SUMIF(Tracker_BD!H:H,$A117,Tracker_BD!AI:AI)/$F117,"")</f>
        <v>1</v>
      </c>
      <c r="U117" s="178">
        <f t="shared" si="7"/>
        <v>0.77294633071046515</v>
      </c>
      <c r="V117" s="17"/>
      <c r="W117" s="164">
        <f t="shared" si="8"/>
        <v>0.12479862631262717</v>
      </c>
      <c r="X117" s="17">
        <f>IFERROR(_xlfn.XLOOKUP($A117,'Raw Data'!$G:$G,'Raw Data'!AB:AB),"")</f>
        <v>31845</v>
      </c>
      <c r="Y117" s="17">
        <f>IFERROR(_xlfn.XLOOKUP($A117,'Raw Data'!$G:$G,'Raw Data'!AC:AC),"")</f>
        <v>31776.400000002468</v>
      </c>
      <c r="Z117" s="38">
        <f>IFERROR(_xlfn.XLOOKUP($A117,'Raw Data'!$G:$G,'Raw Data'!AD:AD),"")</f>
        <v>306.1799999998982</v>
      </c>
      <c r="AA117" s="38">
        <f>IFERROR(_xlfn.XLOOKUP($A117,'Raw Data'!$G:$G,'Raw Data'!AE:AE)*(1+(_xlfn.XLOOKUP(Table13[[#This Row],[Month Year]],JMR!$A:$A,JMR!$J:$J))),"")</f>
        <v>31470.22000000257</v>
      </c>
      <c r="AB117" s="17">
        <f>_xlfn.XLOOKUP($D117,'Modelling New'!D:D,'Modelling New'!N:N)</f>
        <v>10.507</v>
      </c>
      <c r="AC117" s="24">
        <f>IFERROR(_xlfn.XLOOKUP($D117,'Modelling New'!$D:$D,'Modelling New'!P:P),"")</f>
        <v>4.2694462387096781</v>
      </c>
      <c r="AD117" s="38">
        <f>IFERROR(_xlfn.XLOOKUP($D117,'Modelling New'!$D:$D,'Modelling New'!T:T)*1000,"")</f>
        <v>31425.129045407131</v>
      </c>
      <c r="AE117" s="164">
        <f t="shared" si="9"/>
        <v>0.70053008017012453</v>
      </c>
      <c r="AF117" s="164">
        <f>IFERROR(_xlfn.XLOOKUP($D117,'Modelling New'!$D:$D,'Modelling New'!W:W),"")</f>
        <v>0.12461981316188862</v>
      </c>
      <c r="AG117" s="164">
        <f>IFERROR(_xlfn.XLOOKUP($D117,'Modelling New'!$D:$D,'Modelling New'!AD:AD),"")</f>
        <v>0.995</v>
      </c>
      <c r="AH117" s="164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64"/>
      <c r="AO117" s="164"/>
      <c r="AP117" s="164"/>
      <c r="AQ117" s="164"/>
      <c r="AR117" s="38">
        <f>IFERROR(_xlfn.XLOOKUP($D117,'Modelling New'!$D:$D,'Modelling New'!$N:$N),"")</f>
        <v>10.507</v>
      </c>
      <c r="AS117" s="38"/>
      <c r="AT117" s="38">
        <f>IFERROR(_xlfn.XLOOKUP(Table13[[#This Row],[Date]],'Raw Data'!$G:$G,'Raw Data'!$AJ:$AJ),"")</f>
        <v>0</v>
      </c>
      <c r="AU117" s="38">
        <f>IFERROR(_xlfn.XLOOKUP(Table13[[#This Row],[Month Year]],'Modelling New'!$D:$D,'Modelling New'!$AN:$AN),"")</f>
        <v>10</v>
      </c>
      <c r="AV117" s="38">
        <f>SUMIF('Curtailment records'!$C:$C,Table13[[#This Row],[Date]],'Curtailment records'!$R:$R)/1000</f>
        <v>0</v>
      </c>
    </row>
    <row r="118" spans="1:48">
      <c r="A118" s="66">
        <f t="shared" si="10"/>
        <v>45861</v>
      </c>
      <c r="B118" s="38">
        <f>YEAR(Table13[[#This Row],[Date]])+IF(MONTH(Table13[[#This Row],[Date]])&gt;=4,1,0)</f>
        <v>2026</v>
      </c>
      <c r="C118" s="17">
        <f>YEAR(Table13[[#This Row],[Date]])</f>
        <v>2025</v>
      </c>
      <c r="D118" s="37">
        <f>Table13[[#This Row],[Date]]-DAY(Table13[[#This Row],[Date]])+1</f>
        <v>45839</v>
      </c>
      <c r="E118" s="17">
        <f t="shared" si="11"/>
        <v>31</v>
      </c>
      <c r="F118" s="135" cm="1">
        <f t="array" ref="F118">IFERROR(_xlfn.XLOOKUP(Table13[[#This Row],[Date]],Raw_Data[[#All],[Date]],Raw_Data[[#All],[Operating Hours]]),"")</f>
        <v>12.1</v>
      </c>
      <c r="G118" s="24">
        <f>IFERROR(_xlfn.XLOOKUP($A118,'Raw Data'!$G:$G,'Raw Data'!S:S)/1000,"")</f>
        <v>3.71</v>
      </c>
      <c r="H118" s="24"/>
      <c r="I118" s="24">
        <f>IFERROR(_xlfn.XLOOKUP($A118,'Raw Data'!$G:$G,'Raw Data'!AF:AF)/1000,"")</f>
        <v>3.64</v>
      </c>
      <c r="J118" s="24"/>
      <c r="K118" s="137">
        <f>IFERROR(_xlfn.XLOOKUP($A118,'Raw Data'!$G:$G,'Raw Data'!W:W),"")</f>
        <v>24.590077557972634</v>
      </c>
      <c r="L118" s="136">
        <f>IFERROR(_xlfn.XLOOKUP($A118,'Raw Data'!$G:$G,'Raw Data'!X:X),"")</f>
        <v>31.51842736021635</v>
      </c>
      <c r="M118" s="136">
        <f>IFERROR(_xlfn.XLOOKUP($A118,'Raw Data'!$G:$G,'Raw Data'!Y:Y),"")</f>
        <v>1.4443704917087001</v>
      </c>
      <c r="N118" s="136">
        <f>IFERROR(_xlfn.XLOOKUP($A118,'Raw Data'!$G:$G,'Raw Data'!Z:Z),"")</f>
        <v>7.7017226219177246</v>
      </c>
      <c r="O118" s="176">
        <f>IFERROR(1-SUMIF('Plant BD'!$B:$B,$A118,'Plant BD'!$AM:$AM)/($AA118+SUMIF('Plant BD'!$B:$B,$A118,'Plant BD'!$AM:$AM)),"")</f>
        <v>1</v>
      </c>
      <c r="P118" s="176"/>
      <c r="Q118" s="177"/>
      <c r="R118" s="179">
        <f>IFERROR(1-SUMIF('Grid BD'!$B:$B,$A118,'Grid BD'!$AE:$AE)/($AA118+SUMIF('Grid BD'!$B:$B,$A118,'Grid BD'!$AE:$AE)),"")</f>
        <v>1</v>
      </c>
      <c r="S118" s="17"/>
      <c r="T118" s="177">
        <f>IFERROR(1-SUMIF(Tracker_BD!H:H,$A118,Tracker_BD!AI:AI)/$F118,"")</f>
        <v>1</v>
      </c>
      <c r="U118" s="178">
        <f t="shared" si="7"/>
        <v>0.77293787396604519</v>
      </c>
      <c r="V118" s="17"/>
      <c r="W118" s="164">
        <f t="shared" si="8"/>
        <v>0.11722891088485018</v>
      </c>
      <c r="X118" s="17">
        <f>IFERROR(_xlfn.XLOOKUP($A118,'Raw Data'!$G:$G,'Raw Data'!AB:AB),"")</f>
        <v>30901</v>
      </c>
      <c r="Y118" s="17">
        <f>IFERROR(_xlfn.XLOOKUP($A118,'Raw Data'!$G:$G,'Raw Data'!AC:AC),"")</f>
        <v>29893.000000010943</v>
      </c>
      <c r="Z118" s="38">
        <f>IFERROR(_xlfn.XLOOKUP($A118,'Raw Data'!$G:$G,'Raw Data'!AD:AD),"")</f>
        <v>331.62000000004355</v>
      </c>
      <c r="AA118" s="38">
        <f>IFERROR(_xlfn.XLOOKUP($A118,'Raw Data'!$G:$G,'Raw Data'!AE:AE)*(1+(_xlfn.XLOOKUP(Table13[[#This Row],[Month Year]],JMR!$A:$A,JMR!$J:$J))),"")</f>
        <v>29561.3800000109</v>
      </c>
      <c r="AB118" s="17">
        <f>_xlfn.XLOOKUP($D118,'Modelling New'!D:D,'Modelling New'!N:N)</f>
        <v>10.507</v>
      </c>
      <c r="AC118" s="24">
        <f>IFERROR(_xlfn.XLOOKUP($D118,'Modelling New'!$D:$D,'Modelling New'!P:P),"")</f>
        <v>4.2694462387096781</v>
      </c>
      <c r="AD118" s="38">
        <f>IFERROR(_xlfn.XLOOKUP($D118,'Modelling New'!$D:$D,'Modelling New'!T:T)*1000,"")</f>
        <v>31425.129045407131</v>
      </c>
      <c r="AE118" s="164">
        <f t="shared" si="9"/>
        <v>0.70053008017012453</v>
      </c>
      <c r="AF118" s="164">
        <f>IFERROR(_xlfn.XLOOKUP($D118,'Modelling New'!$D:$D,'Modelling New'!W:W),"")</f>
        <v>0.12461981316188862</v>
      </c>
      <c r="AG118" s="164">
        <f>IFERROR(_xlfn.XLOOKUP($D118,'Modelling New'!$D:$D,'Modelling New'!AD:AD),"")</f>
        <v>0.995</v>
      </c>
      <c r="AH118" s="164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64"/>
      <c r="AO118" s="164"/>
      <c r="AP118" s="164"/>
      <c r="AQ118" s="164"/>
      <c r="AR118" s="38">
        <f>IFERROR(_xlfn.XLOOKUP($D118,'Modelling New'!$D:$D,'Modelling New'!$N:$N),"")</f>
        <v>10.507</v>
      </c>
      <c r="AS118" s="38"/>
      <c r="AT118" s="38">
        <f>IFERROR(_xlfn.XLOOKUP(Table13[[#This Row],[Date]],'Raw Data'!$G:$G,'Raw Data'!$AJ:$AJ),"")</f>
        <v>0</v>
      </c>
      <c r="AU118" s="38">
        <f>IFERROR(_xlfn.XLOOKUP(Table13[[#This Row],[Month Year]],'Modelling New'!$D:$D,'Modelling New'!$AN:$AN),"")</f>
        <v>10</v>
      </c>
      <c r="AV118" s="38">
        <f>SUMIF('Curtailment records'!$C:$C,Table13[[#This Row],[Date]],'Curtailment records'!$R:$R)/1000</f>
        <v>0</v>
      </c>
    </row>
    <row r="119" spans="1:48">
      <c r="A119" s="66">
        <f t="shared" si="10"/>
        <v>45862</v>
      </c>
      <c r="B119" s="38">
        <f>YEAR(Table13[[#This Row],[Date]])+IF(MONTH(Table13[[#This Row],[Date]])&gt;=4,1,0)</f>
        <v>2026</v>
      </c>
      <c r="C119" s="17">
        <f>YEAR(Table13[[#This Row],[Date]])</f>
        <v>2025</v>
      </c>
      <c r="D119" s="37">
        <f>Table13[[#This Row],[Date]]-DAY(Table13[[#This Row],[Date]])+1</f>
        <v>45839</v>
      </c>
      <c r="E119" s="17">
        <f t="shared" si="11"/>
        <v>31</v>
      </c>
      <c r="F119" s="135" cm="1">
        <f t="array" ref="F119">IFERROR(_xlfn.XLOOKUP(Table13[[#This Row],[Date]],Raw_Data[[#All],[Date]],Raw_Data[[#All],[Operating Hours]]),"")</f>
        <v>12.5</v>
      </c>
      <c r="G119" s="136">
        <f>IFERROR(_xlfn.XLOOKUP($A119,'Raw Data'!$G:$G,'Raw Data'!S:S)/1000,"")</f>
        <v>3.19</v>
      </c>
      <c r="H119" s="136"/>
      <c r="I119" s="136">
        <f>IFERROR(_xlfn.XLOOKUP($A119,'Raw Data'!$G:$G,'Raw Data'!AF:AF)/1000,"")</f>
        <v>3.0150000000000001</v>
      </c>
      <c r="J119" s="136"/>
      <c r="K119" s="137">
        <f>IFERROR(_xlfn.XLOOKUP($A119,'Raw Data'!$G:$G,'Raw Data'!W:W),"")</f>
        <v>23.801634208102804</v>
      </c>
      <c r="L119" s="136">
        <f>IFERROR(_xlfn.XLOOKUP($A119,'Raw Data'!$G:$G,'Raw Data'!X:X),"")</f>
        <v>28.671488472552333</v>
      </c>
      <c r="M119" s="136">
        <f>IFERROR(_xlfn.XLOOKUP($A119,'Raw Data'!$G:$G,'Raw Data'!Y:Y),"")</f>
        <v>0.66935573147367633</v>
      </c>
      <c r="N119" s="136">
        <f>IFERROR(_xlfn.XLOOKUP($A119,'Raw Data'!$G:$G,'Raw Data'!Z:Z),"")</f>
        <v>1.7071681718031566</v>
      </c>
      <c r="O119" s="176">
        <f>IFERROR(1-SUMIF('Plant BD'!$B:$B,$A119,'Plant BD'!$AM:$AM)/($AA119+SUMIF('Plant BD'!$B:$B,$A119,'Plant BD'!$AM:$AM)),"")</f>
        <v>1</v>
      </c>
      <c r="P119" s="176"/>
      <c r="Q119" s="177"/>
      <c r="R119" s="176">
        <f>IFERROR(1-SUMIF('Grid BD'!$B:$B,$A119,'Grid BD'!$AE:$AE)/($AA119+SUMIF('Grid BD'!$B:$B,$A119,'Grid BD'!$AE:$AE)),"")</f>
        <v>1</v>
      </c>
      <c r="S119" s="17"/>
      <c r="T119" s="177">
        <f>IFERROR(1-SUMIF(Tracker_BD!H:H,$A119,Tracker_BD!AI:AI)/$F119,"")</f>
        <v>1</v>
      </c>
      <c r="U119" s="178">
        <f t="shared" si="7"/>
        <v>0.80632527852765701</v>
      </c>
      <c r="V119" s="17"/>
      <c r="W119" s="164">
        <f t="shared" si="8"/>
        <v>0.10129461311503692</v>
      </c>
      <c r="X119" s="17">
        <f>IFERROR(_xlfn.XLOOKUP($A119,'Raw Data'!$G:$G,'Raw Data'!AB:AB),"")</f>
        <v>26106</v>
      </c>
      <c r="Y119" s="17">
        <f>IFERROR(_xlfn.XLOOKUP($A119,'Raw Data'!$G:$G,'Raw Data'!AC:AC),"")</f>
        <v>25838.999999992666</v>
      </c>
      <c r="Z119" s="38">
        <f>IFERROR(_xlfn.XLOOKUP($A119,'Raw Data'!$G:$G,'Raw Data'!AD:AD),"")</f>
        <v>295.74000000003764</v>
      </c>
      <c r="AA119" s="38">
        <f>IFERROR(_xlfn.XLOOKUP($A119,'Raw Data'!$G:$G,'Raw Data'!AE:AE)*(1+(_xlfn.XLOOKUP(Table13[[#This Row],[Month Year]],JMR!$A:$A,JMR!$J:$J))),"")</f>
        <v>25543.259999992628</v>
      </c>
      <c r="AB119" s="17">
        <f>_xlfn.XLOOKUP($D119,'Modelling New'!D:D,'Modelling New'!N:N)</f>
        <v>10.507</v>
      </c>
      <c r="AC119" s="24">
        <f>IFERROR(_xlfn.XLOOKUP($D119,'Modelling New'!$D:$D,'Modelling New'!P:P),"")</f>
        <v>4.2694462387096781</v>
      </c>
      <c r="AD119" s="38">
        <f>IFERROR(_xlfn.XLOOKUP($D119,'Modelling New'!$D:$D,'Modelling New'!T:T)*1000,"")</f>
        <v>31425.129045407131</v>
      </c>
      <c r="AE119" s="164">
        <f t="shared" si="9"/>
        <v>0.70053008017012453</v>
      </c>
      <c r="AF119" s="164">
        <f>IFERROR(_xlfn.XLOOKUP($D119,'Modelling New'!$D:$D,'Modelling New'!W:W),"")</f>
        <v>0.12461981316188862</v>
      </c>
      <c r="AG119" s="164">
        <f>IFERROR(_xlfn.XLOOKUP($D119,'Modelling New'!$D:$D,'Modelling New'!AD:AD),"")</f>
        <v>0.995</v>
      </c>
      <c r="AH119" s="164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64"/>
      <c r="AO119" s="164"/>
      <c r="AP119" s="164"/>
      <c r="AQ119" s="164"/>
      <c r="AR119" s="38">
        <f>IFERROR(_xlfn.XLOOKUP($D119,'Modelling New'!$D:$D,'Modelling New'!$N:$N),"")</f>
        <v>10.507</v>
      </c>
      <c r="AS119" s="38"/>
      <c r="AT119" s="38">
        <f>IFERROR(_xlfn.XLOOKUP(Table13[[#This Row],[Date]],'Raw Data'!$G:$G,'Raw Data'!$AJ:$AJ),"")</f>
        <v>0</v>
      </c>
      <c r="AU119" s="38">
        <f>IFERROR(_xlfn.XLOOKUP(Table13[[#This Row],[Month Year]],'Modelling New'!$D:$D,'Modelling New'!$AN:$AN),"")</f>
        <v>10</v>
      </c>
      <c r="AV119" s="38">
        <f>SUMIF('Curtailment records'!$C:$C,Table13[[#This Row],[Date]],'Curtailment records'!$R:$R)/1000</f>
        <v>0</v>
      </c>
    </row>
    <row r="120" spans="1:48">
      <c r="A120" s="66">
        <f t="shared" si="10"/>
        <v>45863</v>
      </c>
      <c r="B120" s="38">
        <f>YEAR(Table13[[#This Row],[Date]])+IF(MONTH(Table13[[#This Row],[Date]])&gt;=4,1,0)</f>
        <v>2026</v>
      </c>
      <c r="C120" s="17">
        <f>YEAR(Table13[[#This Row],[Date]])</f>
        <v>2025</v>
      </c>
      <c r="D120" s="37">
        <f>Table13[[#This Row],[Date]]-DAY(Table13[[#This Row],[Date]])+1</f>
        <v>45839</v>
      </c>
      <c r="E120" s="17">
        <f t="shared" si="11"/>
        <v>31</v>
      </c>
      <c r="F120" s="135" cm="1">
        <f t="array" ref="F120">IFERROR(_xlfn.XLOOKUP(Table13[[#This Row],[Date]],Raw_Data[[#All],[Date]],Raw_Data[[#All],[Operating Hours]]),"")</f>
        <v>11.616666666666667</v>
      </c>
      <c r="G120" s="24">
        <f>IFERROR(_xlfn.XLOOKUP($A120,'Raw Data'!$G:$G,'Raw Data'!S:S)/1000,"")</f>
        <v>2.16</v>
      </c>
      <c r="H120" s="24"/>
      <c r="I120" s="24">
        <f>IFERROR(_xlfn.XLOOKUP($A120,'Raw Data'!$G:$G,'Raw Data'!AF:AF)/1000,"")</f>
        <v>2.11</v>
      </c>
      <c r="J120" s="24"/>
      <c r="K120" s="137">
        <f>IFERROR(_xlfn.XLOOKUP($A120,'Raw Data'!$G:$G,'Raw Data'!W:W),"")</f>
        <v>23.556039542475649</v>
      </c>
      <c r="L120" s="136">
        <f>IFERROR(_xlfn.XLOOKUP($A120,'Raw Data'!$G:$G,'Raw Data'!X:X),"")</f>
        <v>28.270894481394951</v>
      </c>
      <c r="M120" s="136">
        <f>IFERROR(_xlfn.XLOOKUP($A120,'Raw Data'!$G:$G,'Raw Data'!Y:Y),"")</f>
        <v>1.2584473854254739</v>
      </c>
      <c r="N120" s="136">
        <f>IFERROR(_xlfn.XLOOKUP($A120,'Raw Data'!$G:$G,'Raw Data'!Z:Z),"")</f>
        <v>8.1664529641469326</v>
      </c>
      <c r="O120" s="176">
        <f>IFERROR(1-SUMIF('Plant BD'!$B:$B,$A120,'Plant BD'!$AM:$AM)/($AA120+SUMIF('Plant BD'!$B:$B,$A120,'Plant BD'!$AM:$AM)),"")</f>
        <v>0.98315514694776707</v>
      </c>
      <c r="P120" s="176"/>
      <c r="Q120" s="177"/>
      <c r="R120" s="179">
        <f>IFERROR(1-SUMIF('Grid BD'!$B:$B,$A120,'Grid BD'!$AE:$AE)/($AA120+SUMIF('Grid BD'!$B:$B,$A120,'Grid BD'!$AE:$AE)),"")</f>
        <v>0.99998286568831263</v>
      </c>
      <c r="S120" s="17"/>
      <c r="T120" s="177">
        <f>IFERROR(1-SUMIF(Tracker_BD!H:H,$A120,Tracker_BD!AI:AI)/$F120,"")</f>
        <v>1</v>
      </c>
      <c r="U120" s="178">
        <f t="shared" si="7"/>
        <v>0.77505089137144656</v>
      </c>
      <c r="V120" s="17"/>
      <c r="W120" s="164">
        <f t="shared" si="8"/>
        <v>6.8139890866406344E-2</v>
      </c>
      <c r="X120" s="17">
        <f>IFERROR(_xlfn.XLOOKUP($A120,'Raw Data'!$G:$G,'Raw Data'!AB:AB),"")</f>
        <v>17692</v>
      </c>
      <c r="Y120" s="17">
        <f>IFERROR(_xlfn.XLOOKUP($A120,'Raw Data'!$G:$G,'Raw Data'!AC:AC),"")</f>
        <v>17504.899999999907</v>
      </c>
      <c r="Z120" s="38">
        <f>IFERROR(_xlfn.XLOOKUP($A120,'Raw Data'!$G:$G,'Raw Data'!AD:AD),"")</f>
        <v>322.19999999995252</v>
      </c>
      <c r="AA120" s="38">
        <f>IFERROR(_xlfn.XLOOKUP($A120,'Raw Data'!$G:$G,'Raw Data'!AE:AE)*(1+(_xlfn.XLOOKUP(Table13[[#This Row],[Month Year]],JMR!$A:$A,JMR!$J:$J))),"")</f>
        <v>17182.699999999953</v>
      </c>
      <c r="AB120" s="17">
        <f>_xlfn.XLOOKUP($D120,'Modelling New'!D:D,'Modelling New'!N:N)</f>
        <v>10.507</v>
      </c>
      <c r="AC120" s="24">
        <f>IFERROR(_xlfn.XLOOKUP($D120,'Modelling New'!$D:$D,'Modelling New'!P:P),"")</f>
        <v>4.2694462387096781</v>
      </c>
      <c r="AD120" s="38">
        <f>IFERROR(_xlfn.XLOOKUP($D120,'Modelling New'!$D:$D,'Modelling New'!T:T)*1000,"")</f>
        <v>31425.129045407131</v>
      </c>
      <c r="AE120" s="164">
        <f t="shared" si="9"/>
        <v>0.70053008017012453</v>
      </c>
      <c r="AF120" s="164">
        <f>IFERROR(_xlfn.XLOOKUP($D120,'Modelling New'!$D:$D,'Modelling New'!W:W),"")</f>
        <v>0.12461981316188862</v>
      </c>
      <c r="AG120" s="164">
        <f>IFERROR(_xlfn.XLOOKUP($D120,'Modelling New'!$D:$D,'Modelling New'!AD:AD),"")</f>
        <v>0.995</v>
      </c>
      <c r="AH120" s="164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64"/>
      <c r="AO120" s="164"/>
      <c r="AP120" s="164"/>
      <c r="AQ120" s="164"/>
      <c r="AR120" s="38">
        <f>IFERROR(_xlfn.XLOOKUP($D120,'Modelling New'!$D:$D,'Modelling New'!$N:$N),"")</f>
        <v>10.507</v>
      </c>
      <c r="AS120" s="38"/>
      <c r="AT120" s="38">
        <f>IFERROR(_xlfn.XLOOKUP(Table13[[#This Row],[Date]],'Raw Data'!$G:$G,'Raw Data'!$AJ:$AJ),"")</f>
        <v>0</v>
      </c>
      <c r="AU120" s="38">
        <f>IFERROR(_xlfn.XLOOKUP(Table13[[#This Row],[Month Year]],'Modelling New'!$D:$D,'Modelling New'!$AN:$AN),"")</f>
        <v>10</v>
      </c>
      <c r="AV120" s="38">
        <f>SUMIF('Curtailment records'!$C:$C,Table13[[#This Row],[Date]],'Curtailment records'!$R:$R)/1000</f>
        <v>0</v>
      </c>
    </row>
    <row r="121" spans="1:48">
      <c r="A121" s="66">
        <f t="shared" si="10"/>
        <v>45864</v>
      </c>
      <c r="B121" s="38">
        <f>YEAR(Table13[[#This Row],[Date]])+IF(MONTH(Table13[[#This Row],[Date]])&gt;=4,1,0)</f>
        <v>2026</v>
      </c>
      <c r="C121" s="17">
        <f>YEAR(Table13[[#This Row],[Date]])</f>
        <v>2025</v>
      </c>
      <c r="D121" s="37">
        <f>Table13[[#This Row],[Date]]-DAY(Table13[[#This Row],[Date]])+1</f>
        <v>45839</v>
      </c>
      <c r="E121" s="17">
        <f t="shared" si="11"/>
        <v>31</v>
      </c>
      <c r="F121" s="135" cm="1">
        <f t="array" ref="F121">IFERROR(_xlfn.XLOOKUP(Table13[[#This Row],[Date]],Raw_Data[[#All],[Date]],Raw_Data[[#All],[Operating Hours]]),"")</f>
        <v>12.183333333333335</v>
      </c>
      <c r="G121" s="136">
        <f>IFERROR(_xlfn.XLOOKUP($A121,'Raw Data'!$G:$G,'Raw Data'!S:S)/1000,"")</f>
        <v>2.13</v>
      </c>
      <c r="H121" s="136"/>
      <c r="I121" s="136">
        <f>IFERROR(_xlfn.XLOOKUP($A121,'Raw Data'!$G:$G,'Raw Data'!AF:AF)/1000,"")</f>
        <v>1.9850000000000001</v>
      </c>
      <c r="J121" s="136"/>
      <c r="K121" s="137">
        <f>IFERROR(_xlfn.XLOOKUP($A121,'Raw Data'!$G:$G,'Raw Data'!W:W),"")</f>
        <v>23.597872939309578</v>
      </c>
      <c r="L121" s="136">
        <f>IFERROR(_xlfn.XLOOKUP($A121,'Raw Data'!$G:$G,'Raw Data'!X:X),"")</f>
        <v>26.896070844544564</v>
      </c>
      <c r="M121" s="136">
        <f>IFERROR(_xlfn.XLOOKUP($A121,'Raw Data'!$G:$G,'Raw Data'!Y:Y),"")</f>
        <v>1.8840445648513344</v>
      </c>
      <c r="N121" s="136">
        <f>IFERROR(_xlfn.XLOOKUP($A121,'Raw Data'!$G:$G,'Raw Data'!Z:Z),"")</f>
        <v>7.3513015111287432</v>
      </c>
      <c r="O121" s="176">
        <f>IFERROR(1-SUMIF('Plant BD'!$B:$B,$A121,'Plant BD'!$AM:$AM)/($AA121+SUMIF('Plant BD'!$B:$B,$A121,'Plant BD'!$AM:$AM)),"")</f>
        <v>1</v>
      </c>
      <c r="P121" s="176"/>
      <c r="Q121" s="177"/>
      <c r="R121" s="176">
        <f>IFERROR(1-SUMIF('Grid BD'!$B:$B,$A121,'Grid BD'!$AE:$AE)/($AA121+SUMIF('Grid BD'!$B:$B,$A121,'Grid BD'!$AE:$AE)),"")</f>
        <v>1</v>
      </c>
      <c r="S121" s="17"/>
      <c r="T121" s="177">
        <f>IFERROR(1-SUMIF(Tracker_BD!H:H,$A121,Tracker_BD!AI:AI)/$F121,"")</f>
        <v>1</v>
      </c>
      <c r="U121" s="178">
        <f t="shared" si="7"/>
        <v>0.78091443895246271</v>
      </c>
      <c r="V121" s="17"/>
      <c r="W121" s="164">
        <f t="shared" si="8"/>
        <v>6.4588131721693268E-2</v>
      </c>
      <c r="X121" s="17">
        <f>IFERROR(_xlfn.XLOOKUP($A121,'Raw Data'!$G:$G,'Raw Data'!AB:AB),"")</f>
        <v>16847</v>
      </c>
      <c r="Y121" s="17">
        <f>IFERROR(_xlfn.XLOOKUP($A121,'Raw Data'!$G:$G,'Raw Data'!AC:AC),"")</f>
        <v>16590.599999995902</v>
      </c>
      <c r="Z121" s="38">
        <f>IFERROR(_xlfn.XLOOKUP($A121,'Raw Data'!$G:$G,'Raw Data'!AD:AD),"")</f>
        <v>303.53999999995551</v>
      </c>
      <c r="AA121" s="38">
        <f>IFERROR(_xlfn.XLOOKUP($A121,'Raw Data'!$G:$G,'Raw Data'!AE:AE)*(1+(_xlfn.XLOOKUP(Table13[[#This Row],[Month Year]],JMR!$A:$A,JMR!$J:$J))),"")</f>
        <v>16287.059999995947</v>
      </c>
      <c r="AB121" s="17">
        <f>_xlfn.XLOOKUP($D121,'Modelling New'!D:D,'Modelling New'!N:N)</f>
        <v>10.507</v>
      </c>
      <c r="AC121" s="24">
        <f>IFERROR(_xlfn.XLOOKUP($D121,'Modelling New'!$D:$D,'Modelling New'!P:P),"")</f>
        <v>4.2694462387096781</v>
      </c>
      <c r="AD121" s="38">
        <f>IFERROR(_xlfn.XLOOKUP($D121,'Modelling New'!$D:$D,'Modelling New'!T:T)*1000,"")</f>
        <v>31425.129045407131</v>
      </c>
      <c r="AE121" s="164">
        <f t="shared" si="9"/>
        <v>0.70053008017012453</v>
      </c>
      <c r="AF121" s="164">
        <f>IFERROR(_xlfn.XLOOKUP($D121,'Modelling New'!$D:$D,'Modelling New'!W:W),"")</f>
        <v>0.12461981316188862</v>
      </c>
      <c r="AG121" s="164">
        <f>IFERROR(_xlfn.XLOOKUP($D121,'Modelling New'!$D:$D,'Modelling New'!AD:AD),"")</f>
        <v>0.995</v>
      </c>
      <c r="AH121" s="164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64"/>
      <c r="AO121" s="164"/>
      <c r="AP121" s="164"/>
      <c r="AQ121" s="164"/>
      <c r="AR121" s="38">
        <f>IFERROR(_xlfn.XLOOKUP($D121,'Modelling New'!$D:$D,'Modelling New'!$N:$N),"")</f>
        <v>10.507</v>
      </c>
      <c r="AS121" s="38"/>
      <c r="AT121" s="38">
        <f>IFERROR(_xlfn.XLOOKUP(Table13[[#This Row],[Date]],'Raw Data'!$G:$G,'Raw Data'!$AJ:$AJ),"")</f>
        <v>0</v>
      </c>
      <c r="AU121" s="38">
        <f>IFERROR(_xlfn.XLOOKUP(Table13[[#This Row],[Month Year]],'Modelling New'!$D:$D,'Modelling New'!$AN:$AN),"")</f>
        <v>10</v>
      </c>
      <c r="AV121" s="38">
        <f>SUMIF('Curtailment records'!$C:$C,Table13[[#This Row],[Date]],'Curtailment records'!$R:$R)/1000</f>
        <v>0</v>
      </c>
    </row>
    <row r="122" spans="1:48">
      <c r="A122" s="66">
        <f t="shared" si="10"/>
        <v>45865</v>
      </c>
      <c r="B122" s="38">
        <f>YEAR(Table13[[#This Row],[Date]])+IF(MONTH(Table13[[#This Row],[Date]])&gt;=4,1,0)</f>
        <v>2026</v>
      </c>
      <c r="C122" s="17">
        <f>YEAR(Table13[[#This Row],[Date]])</f>
        <v>2025</v>
      </c>
      <c r="D122" s="37">
        <f>Table13[[#This Row],[Date]]-DAY(Table13[[#This Row],[Date]])+1</f>
        <v>45839</v>
      </c>
      <c r="E122" s="17">
        <f t="shared" si="11"/>
        <v>31</v>
      </c>
      <c r="F122" s="135" cm="1">
        <f t="array" ref="F122">IFERROR(_xlfn.XLOOKUP(Table13[[#This Row],[Date]],Raw_Data[[#All],[Date]],Raw_Data[[#All],[Operating Hours]]),"")</f>
        <v>12.233333333333333</v>
      </c>
      <c r="G122" s="24">
        <f>IFERROR(_xlfn.XLOOKUP($A122,'Raw Data'!$G:$G,'Raw Data'!S:S)/1000,"")</f>
        <v>3.11</v>
      </c>
      <c r="H122" s="24"/>
      <c r="I122" s="24">
        <f>IFERROR(_xlfn.XLOOKUP($A122,'Raw Data'!$G:$G,'Raw Data'!AF:AF)/1000,"")</f>
        <v>3.0150000000000001</v>
      </c>
      <c r="J122" s="24"/>
      <c r="K122" s="137">
        <f>IFERROR(_xlfn.XLOOKUP($A122,'Raw Data'!$G:$G,'Raw Data'!W:W),"")</f>
        <v>23.693586571078342</v>
      </c>
      <c r="L122" s="136">
        <f>IFERROR(_xlfn.XLOOKUP($A122,'Raw Data'!$G:$G,'Raw Data'!X:X),"")</f>
        <v>29.005921083381764</v>
      </c>
      <c r="M122" s="136">
        <f>IFERROR(_xlfn.XLOOKUP($A122,'Raw Data'!$G:$G,'Raw Data'!Y:Y),"")</f>
        <v>2.5486496112881114</v>
      </c>
      <c r="N122" s="136">
        <f>IFERROR(_xlfn.XLOOKUP($A122,'Raw Data'!$G:$G,'Raw Data'!Z:Z),"")</f>
        <v>5.9443340301513672</v>
      </c>
      <c r="O122" s="176">
        <f>IFERROR(1-SUMIF('Plant BD'!$B:$B,$A122,'Plant BD'!$AM:$AM)/($AA122+SUMIF('Plant BD'!$B:$B,$A122,'Plant BD'!$AM:$AM)),"")</f>
        <v>1</v>
      </c>
      <c r="P122" s="176"/>
      <c r="Q122" s="177"/>
      <c r="R122" s="179">
        <f>IFERROR(1-SUMIF('Grid BD'!$B:$B,$A122,'Grid BD'!$AE:$AE)/($AA122+SUMIF('Grid BD'!$B:$B,$A122,'Grid BD'!$AE:$AE)),"")</f>
        <v>1</v>
      </c>
      <c r="S122" s="17"/>
      <c r="T122" s="177">
        <f>IFERROR(1-SUMIF(Tracker_BD!H:H,$A122,Tracker_BD!AI:AI)/$F122,"")</f>
        <v>1</v>
      </c>
      <c r="U122" s="178">
        <f t="shared" si="7"/>
        <v>0.76752117083458848</v>
      </c>
      <c r="V122" s="17"/>
      <c r="W122" s="164">
        <f t="shared" si="8"/>
        <v>9.6419847086095176E-2</v>
      </c>
      <c r="X122" s="17">
        <f>IFERROR(_xlfn.XLOOKUP($A122,'Raw Data'!$G:$G,'Raw Data'!AB:AB),"")</f>
        <v>24873</v>
      </c>
      <c r="Y122" s="17">
        <f>IFERROR(_xlfn.XLOOKUP($A122,'Raw Data'!$G:$G,'Raw Data'!AC:AC),"")</f>
        <v>24623.300000006566</v>
      </c>
      <c r="Z122" s="38">
        <f>IFERROR(_xlfn.XLOOKUP($A122,'Raw Data'!$G:$G,'Raw Data'!AD:AD),"")</f>
        <v>309.30000000012114</v>
      </c>
      <c r="AA122" s="38">
        <f>IFERROR(_xlfn.XLOOKUP($A122,'Raw Data'!$G:$G,'Raw Data'!AE:AE)*(1+(_xlfn.XLOOKUP(Table13[[#This Row],[Month Year]],JMR!$A:$A,JMR!$J:$J))),"")</f>
        <v>24314.000000006446</v>
      </c>
      <c r="AB122" s="17">
        <f>_xlfn.XLOOKUP($D122,'Modelling New'!D:D,'Modelling New'!N:N)</f>
        <v>10.507</v>
      </c>
      <c r="AC122" s="24">
        <f>IFERROR(_xlfn.XLOOKUP($D122,'Modelling New'!$D:$D,'Modelling New'!P:P),"")</f>
        <v>4.2694462387096781</v>
      </c>
      <c r="AD122" s="38">
        <f>IFERROR(_xlfn.XLOOKUP($D122,'Modelling New'!$D:$D,'Modelling New'!T:T)*1000,"")</f>
        <v>31425.129045407131</v>
      </c>
      <c r="AE122" s="164">
        <f t="shared" si="9"/>
        <v>0.70053008017012453</v>
      </c>
      <c r="AF122" s="164">
        <f>IFERROR(_xlfn.XLOOKUP($D122,'Modelling New'!$D:$D,'Modelling New'!W:W),"")</f>
        <v>0.12461981316188862</v>
      </c>
      <c r="AG122" s="164">
        <f>IFERROR(_xlfn.XLOOKUP($D122,'Modelling New'!$D:$D,'Modelling New'!AD:AD),"")</f>
        <v>0.995</v>
      </c>
      <c r="AH122" s="164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64"/>
      <c r="AO122" s="164"/>
      <c r="AP122" s="164"/>
      <c r="AQ122" s="164"/>
      <c r="AR122" s="38">
        <f>IFERROR(_xlfn.XLOOKUP($D122,'Modelling New'!$D:$D,'Modelling New'!$N:$N),"")</f>
        <v>10.507</v>
      </c>
      <c r="AS122" s="38"/>
      <c r="AT122" s="38">
        <f>IFERROR(_xlfn.XLOOKUP(Table13[[#This Row],[Date]],'Raw Data'!$G:$G,'Raw Data'!$AJ:$AJ),"")</f>
        <v>0</v>
      </c>
      <c r="AU122" s="38">
        <f>IFERROR(_xlfn.XLOOKUP(Table13[[#This Row],[Month Year]],'Modelling New'!$D:$D,'Modelling New'!$AN:$AN),"")</f>
        <v>10</v>
      </c>
      <c r="AV122" s="38">
        <f>SUMIF('Curtailment records'!$C:$C,Table13[[#This Row],[Date]],'Curtailment records'!$R:$R)/1000</f>
        <v>0</v>
      </c>
    </row>
    <row r="123" spans="1:48">
      <c r="A123" s="66">
        <f t="shared" si="10"/>
        <v>45866</v>
      </c>
      <c r="B123" s="38">
        <f>YEAR(Table13[[#This Row],[Date]])+IF(MONTH(Table13[[#This Row],[Date]])&gt;=4,1,0)</f>
        <v>2026</v>
      </c>
      <c r="C123" s="17">
        <f>YEAR(Table13[[#This Row],[Date]])</f>
        <v>2025</v>
      </c>
      <c r="D123" s="37">
        <f>Table13[[#This Row],[Date]]-DAY(Table13[[#This Row],[Date]])+1</f>
        <v>45839</v>
      </c>
      <c r="E123" s="17">
        <f t="shared" si="11"/>
        <v>31</v>
      </c>
      <c r="F123" s="135" cm="1">
        <f t="array" ref="F123">IFERROR(_xlfn.XLOOKUP(Table13[[#This Row],[Date]],Raw_Data[[#All],[Date]],Raw_Data[[#All],[Operating Hours]]),"")</f>
        <v>12.133333333333333</v>
      </c>
      <c r="G123" s="136">
        <f>IFERROR(_xlfn.XLOOKUP($A123,'Raw Data'!$G:$G,'Raw Data'!S:S)/1000,"")</f>
        <v>3.16</v>
      </c>
      <c r="H123" s="136"/>
      <c r="I123" s="136">
        <f>IFERROR(_xlfn.XLOOKUP($A123,'Raw Data'!$G:$G,'Raw Data'!AF:AF)/1000,"")</f>
        <v>3.085</v>
      </c>
      <c r="J123" s="136"/>
      <c r="K123" s="137">
        <f>IFERROR(_xlfn.XLOOKUP($A123,'Raw Data'!$G:$G,'Raw Data'!W:W),"")</f>
        <v>23.692757682294449</v>
      </c>
      <c r="L123" s="136">
        <f>IFERROR(_xlfn.XLOOKUP($A123,'Raw Data'!$G:$G,'Raw Data'!X:X),"")</f>
        <v>29.367971473637549</v>
      </c>
      <c r="M123" s="136">
        <f>IFERROR(_xlfn.XLOOKUP($A123,'Raw Data'!$G:$G,'Raw Data'!Y:Y),"")</f>
        <v>1.6724957968741097</v>
      </c>
      <c r="N123" s="136">
        <f>IFERROR(_xlfn.XLOOKUP($A123,'Raw Data'!$G:$G,'Raw Data'!Z:Z),"")</f>
        <v>5.5520343780517578</v>
      </c>
      <c r="O123" s="176">
        <f>IFERROR(1-SUMIF('Plant BD'!$B:$B,$A123,'Plant BD'!$AM:$AM)/($AA123+SUMIF('Plant BD'!$B:$B,$A123,'Plant BD'!$AM:$AM)),"")</f>
        <v>0.99329943427589218</v>
      </c>
      <c r="P123" s="176"/>
      <c r="Q123" s="177"/>
      <c r="R123" s="176">
        <f>IFERROR(1-SUMIF('Grid BD'!$B:$B,$A123,'Grid BD'!$AE:$AE)/($AA123+SUMIF('Grid BD'!$B:$B,$A123,'Grid BD'!$AE:$AE)),"")</f>
        <v>1</v>
      </c>
      <c r="S123" s="17"/>
      <c r="T123" s="177">
        <f>IFERROR(1-SUMIF(Tracker_BD!H:H,$A123,Tracker_BD!AI:AI)/$F123,"")</f>
        <v>1</v>
      </c>
      <c r="U123" s="178">
        <f t="shared" si="7"/>
        <v>0.76355178202580776</v>
      </c>
      <c r="V123" s="17"/>
      <c r="W123" s="164">
        <f t="shared" si="8"/>
        <v>9.8148218647900715E-2</v>
      </c>
      <c r="X123" s="17">
        <f>IFERROR(_xlfn.XLOOKUP($A123,'Raw Data'!$G:$G,'Raw Data'!AB:AB),"")</f>
        <v>25317</v>
      </c>
      <c r="Y123" s="17">
        <f>IFERROR(_xlfn.XLOOKUP($A123,'Raw Data'!$G:$G,'Raw Data'!AC:AC),"")</f>
        <v>25087.700000003679</v>
      </c>
      <c r="Z123" s="38">
        <f>IFERROR(_xlfn.XLOOKUP($A123,'Raw Data'!$G:$G,'Raw Data'!AD:AD),"")</f>
        <v>337.85999999984995</v>
      </c>
      <c r="AA123" s="38">
        <f>IFERROR(_xlfn.XLOOKUP($A123,'Raw Data'!$G:$G,'Raw Data'!AE:AE)*(1+(_xlfn.XLOOKUP(Table13[[#This Row],[Month Year]],JMR!$A:$A,JMR!$J:$J))),"")</f>
        <v>24749.840000003827</v>
      </c>
      <c r="AB123" s="17">
        <f>_xlfn.XLOOKUP($D123,'Modelling New'!D:D,'Modelling New'!N:N)</f>
        <v>10.507</v>
      </c>
      <c r="AC123" s="24">
        <f>IFERROR(_xlfn.XLOOKUP($D123,'Modelling New'!$D:$D,'Modelling New'!P:P),"")</f>
        <v>4.2694462387096781</v>
      </c>
      <c r="AD123" s="38">
        <f>IFERROR(_xlfn.XLOOKUP($D123,'Modelling New'!$D:$D,'Modelling New'!T:T)*1000,"")</f>
        <v>31425.129045407131</v>
      </c>
      <c r="AE123" s="164">
        <f t="shared" si="9"/>
        <v>0.70053008017012453</v>
      </c>
      <c r="AF123" s="164">
        <f>IFERROR(_xlfn.XLOOKUP($D123,'Modelling New'!$D:$D,'Modelling New'!W:W),"")</f>
        <v>0.12461981316188862</v>
      </c>
      <c r="AG123" s="164">
        <f>IFERROR(_xlfn.XLOOKUP($D123,'Modelling New'!$D:$D,'Modelling New'!AD:AD),"")</f>
        <v>0.995</v>
      </c>
      <c r="AH123" s="164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64"/>
      <c r="AO123" s="164"/>
      <c r="AP123" s="164"/>
      <c r="AQ123" s="164"/>
      <c r="AR123" s="38">
        <f>IFERROR(_xlfn.XLOOKUP($D123,'Modelling New'!$D:$D,'Modelling New'!$N:$N),"")</f>
        <v>10.507</v>
      </c>
      <c r="AS123" s="38"/>
      <c r="AT123" s="38">
        <f>IFERROR(_xlfn.XLOOKUP(Table13[[#This Row],[Date]],'Raw Data'!$G:$G,'Raw Data'!$AJ:$AJ),"")</f>
        <v>0</v>
      </c>
      <c r="AU123" s="38">
        <f>IFERROR(_xlfn.XLOOKUP(Table13[[#This Row],[Month Year]],'Modelling New'!$D:$D,'Modelling New'!$AN:$AN),"")</f>
        <v>10</v>
      </c>
      <c r="AV123" s="38">
        <f>SUMIF('Curtailment records'!$C:$C,Table13[[#This Row],[Date]],'Curtailment records'!$R:$R)/1000</f>
        <v>0</v>
      </c>
    </row>
    <row r="124" spans="1:48">
      <c r="A124" s="66">
        <f t="shared" si="10"/>
        <v>45867</v>
      </c>
      <c r="B124" s="38">
        <f>YEAR(Table13[[#This Row],[Date]])+IF(MONTH(Table13[[#This Row],[Date]])&gt;=4,1,0)</f>
        <v>2026</v>
      </c>
      <c r="C124" s="17">
        <f>YEAR(Table13[[#This Row],[Date]])</f>
        <v>2025</v>
      </c>
      <c r="D124" s="37">
        <f>Table13[[#This Row],[Date]]-DAY(Table13[[#This Row],[Date]])+1</f>
        <v>45839</v>
      </c>
      <c r="E124" s="17">
        <f t="shared" si="11"/>
        <v>31</v>
      </c>
      <c r="F124" s="135" cm="1">
        <f t="array" ref="F124">IFERROR(_xlfn.XLOOKUP(Table13[[#This Row],[Date]],Raw_Data[[#All],[Date]],Raw_Data[[#All],[Operating Hours]]),"")</f>
        <v>12.250000000000002</v>
      </c>
      <c r="G124" s="24">
        <f>IFERROR(_xlfn.XLOOKUP($A124,'Raw Data'!$G:$G,'Raw Data'!S:S)/1000,"")</f>
        <v>3.2</v>
      </c>
      <c r="H124" s="24"/>
      <c r="I124" s="24">
        <f>IFERROR(_xlfn.XLOOKUP($A124,'Raw Data'!$G:$G,'Raw Data'!AF:AF)/1000,"")</f>
        <v>3.1</v>
      </c>
      <c r="J124" s="24"/>
      <c r="K124" s="137">
        <f>IFERROR(_xlfn.XLOOKUP($A124,'Raw Data'!$G:$G,'Raw Data'!W:W),"")</f>
        <v>23.410125150844678</v>
      </c>
      <c r="L124" s="136">
        <f>IFERROR(_xlfn.XLOOKUP($A124,'Raw Data'!$G:$G,'Raw Data'!X:X),"")</f>
        <v>29.602864794405356</v>
      </c>
      <c r="M124" s="136">
        <f>IFERROR(_xlfn.XLOOKUP($A124,'Raw Data'!$G:$G,'Raw Data'!Y:Y),"")</f>
        <v>1.6463438026553059</v>
      </c>
      <c r="N124" s="136">
        <f>IFERROR(_xlfn.XLOOKUP($A124,'Raw Data'!$G:$G,'Raw Data'!Z:Z),"")</f>
        <v>5.0612964630126953</v>
      </c>
      <c r="O124" s="176">
        <f>IFERROR(1-SUMIF('Plant BD'!$B:$B,$A124,'Plant BD'!$AM:$AM)/($AA124+SUMIF('Plant BD'!$B:$B,$A124,'Plant BD'!$AM:$AM)),"")</f>
        <v>1</v>
      </c>
      <c r="P124" s="176"/>
      <c r="Q124" s="177"/>
      <c r="R124" s="179">
        <f>IFERROR(1-SUMIF('Grid BD'!$B:$B,$A124,'Grid BD'!$AE:$AE)/($AA124+SUMIF('Grid BD'!$B:$B,$A124,'Grid BD'!$AE:$AE)),"")</f>
        <v>1</v>
      </c>
      <c r="S124" s="17"/>
      <c r="T124" s="177">
        <f>IFERROR(1-SUMIF(Tracker_BD!H:H,$A124,Tracker_BD!AI:AI)/$F124,"")</f>
        <v>1</v>
      </c>
      <c r="U124" s="178">
        <f t="shared" si="7"/>
        <v>0.77059963096772044</v>
      </c>
      <c r="V124" s="17"/>
      <c r="W124" s="164">
        <f t="shared" si="8"/>
        <v>9.9535785666663892E-2</v>
      </c>
      <c r="X124" s="17">
        <f>IFERROR(_xlfn.XLOOKUP($A124,'Raw Data'!$G:$G,'Raw Data'!AB:AB),"")</f>
        <v>25614</v>
      </c>
      <c r="Y124" s="17">
        <f>IFERROR(_xlfn.XLOOKUP($A124,'Raw Data'!$G:$G,'Raw Data'!AC:AC),"")</f>
        <v>25393.199999991339</v>
      </c>
      <c r="Z124" s="38">
        <f>IFERROR(_xlfn.XLOOKUP($A124,'Raw Data'!$G:$G,'Raw Data'!AD:AD),"")</f>
        <v>293.46000000003869</v>
      </c>
      <c r="AA124" s="38">
        <f>IFERROR(_xlfn.XLOOKUP($A124,'Raw Data'!$G:$G,'Raw Data'!AE:AE)*(1+(_xlfn.XLOOKUP(Table13[[#This Row],[Month Year]],JMR!$A:$A,JMR!$J:$J))),"")</f>
        <v>25099.7399999913</v>
      </c>
      <c r="AB124" s="17">
        <f>_xlfn.XLOOKUP($D124,'Modelling New'!D:D,'Modelling New'!N:N)</f>
        <v>10.507</v>
      </c>
      <c r="AC124" s="24">
        <f>IFERROR(_xlfn.XLOOKUP($D124,'Modelling New'!$D:$D,'Modelling New'!P:P),"")</f>
        <v>4.2694462387096781</v>
      </c>
      <c r="AD124" s="38">
        <f>IFERROR(_xlfn.XLOOKUP($D124,'Modelling New'!$D:$D,'Modelling New'!T:T)*1000,"")</f>
        <v>31425.129045407131</v>
      </c>
      <c r="AE124" s="164">
        <f t="shared" si="9"/>
        <v>0.70053008017012453</v>
      </c>
      <c r="AF124" s="164">
        <f>IFERROR(_xlfn.XLOOKUP($D124,'Modelling New'!$D:$D,'Modelling New'!W:W),"")</f>
        <v>0.12461981316188862</v>
      </c>
      <c r="AG124" s="164">
        <f>IFERROR(_xlfn.XLOOKUP($D124,'Modelling New'!$D:$D,'Modelling New'!AD:AD),"")</f>
        <v>0.995</v>
      </c>
      <c r="AH124" s="164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64"/>
      <c r="AO124" s="164"/>
      <c r="AP124" s="164"/>
      <c r="AQ124" s="164"/>
      <c r="AR124" s="38">
        <f>IFERROR(_xlfn.XLOOKUP($D124,'Modelling New'!$D:$D,'Modelling New'!$N:$N),"")</f>
        <v>10.507</v>
      </c>
      <c r="AS124" s="38"/>
      <c r="AT124" s="38">
        <f>IFERROR(_xlfn.XLOOKUP(Table13[[#This Row],[Date]],'Raw Data'!$G:$G,'Raw Data'!$AJ:$AJ),"")</f>
        <v>0</v>
      </c>
      <c r="AU124" s="38">
        <f>IFERROR(_xlfn.XLOOKUP(Table13[[#This Row],[Month Year]],'Modelling New'!$D:$D,'Modelling New'!$AN:$AN),"")</f>
        <v>10</v>
      </c>
      <c r="AV124" s="38">
        <f>SUMIF('Curtailment records'!$C:$C,Table13[[#This Row],[Date]],'Curtailment records'!$R:$R)/1000</f>
        <v>0</v>
      </c>
    </row>
    <row r="125" spans="1:48">
      <c r="A125" s="66">
        <f t="shared" si="10"/>
        <v>45868</v>
      </c>
      <c r="B125" s="38">
        <f>YEAR(Table13[[#This Row],[Date]])+IF(MONTH(Table13[[#This Row],[Date]])&gt;=4,1,0)</f>
        <v>2026</v>
      </c>
      <c r="C125" s="17">
        <f>YEAR(Table13[[#This Row],[Date]])</f>
        <v>2025</v>
      </c>
      <c r="D125" s="37">
        <f>Table13[[#This Row],[Date]]-DAY(Table13[[#This Row],[Date]])+1</f>
        <v>45839</v>
      </c>
      <c r="E125" s="17">
        <f t="shared" si="11"/>
        <v>31</v>
      </c>
      <c r="F125" s="135" cm="1">
        <f t="array" ref="F125">IFERROR(_xlfn.XLOOKUP(Table13[[#This Row],[Date]],Raw_Data[[#All],[Date]],Raw_Data[[#All],[Operating Hours]]),"")</f>
        <v>12.433333333333332</v>
      </c>
      <c r="G125" s="136">
        <f>IFERROR(_xlfn.XLOOKUP($A125,'Raw Data'!$G:$G,'Raw Data'!S:S)/1000,"")</f>
        <v>4.17</v>
      </c>
      <c r="H125" s="136"/>
      <c r="I125" s="136">
        <f>IFERROR(_xlfn.XLOOKUP($A125,'Raw Data'!$G:$G,'Raw Data'!AF:AF)/1000,"")</f>
        <v>4.3600000000000003</v>
      </c>
      <c r="J125" s="136"/>
      <c r="K125" s="137">
        <f>IFERROR(_xlfn.XLOOKUP($A125,'Raw Data'!$G:$G,'Raw Data'!W:W),"")</f>
        <v>25.228924563361627</v>
      </c>
      <c r="L125" s="136">
        <f>IFERROR(_xlfn.XLOOKUP($A125,'Raw Data'!$G:$G,'Raw Data'!X:X),"")</f>
        <v>33.634501396700067</v>
      </c>
      <c r="M125" s="136">
        <f>IFERROR(_xlfn.XLOOKUP($A125,'Raw Data'!$G:$G,'Raw Data'!Y:Y),"")</f>
        <v>2.072489955559464</v>
      </c>
      <c r="N125" s="136">
        <f>IFERROR(_xlfn.XLOOKUP($A125,'Raw Data'!$G:$G,'Raw Data'!Z:Z),"")</f>
        <v>5.3553002902439664</v>
      </c>
      <c r="O125" s="176">
        <f>IFERROR(1-SUMIF('Plant BD'!$B:$B,$A125,'Plant BD'!$AM:$AM)/($AA125+SUMIF('Plant BD'!$B:$B,$A125,'Plant BD'!$AM:$AM)),"")</f>
        <v>1</v>
      </c>
      <c r="P125" s="176"/>
      <c r="Q125" s="177"/>
      <c r="R125" s="176">
        <f>IFERROR(1-SUMIF('Grid BD'!$B:$B,$A125,'Grid BD'!$AE:$AE)/($AA125+SUMIF('Grid BD'!$B:$B,$A125,'Grid BD'!$AE:$AE)),"")</f>
        <v>1</v>
      </c>
      <c r="S125" s="17"/>
      <c r="T125" s="177">
        <f>IFERROR(1-SUMIF(Tracker_BD!H:H,$A125,Tracker_BD!AI:AI)/$F125,"")</f>
        <v>1</v>
      </c>
      <c r="U125" s="178">
        <f t="shared" ref="U125:U188" si="12">IFERROR(AA125/(I125*1000)/AB125,"")</f>
        <v>0.72393022388758799</v>
      </c>
      <c r="V125" s="17"/>
      <c r="W125" s="164">
        <f t="shared" ref="W125:W188" si="13">IFERROR(AA125/(24*1000*AR125),"")</f>
        <v>0.13151399067291181</v>
      </c>
      <c r="X125" s="17">
        <f>IFERROR(_xlfn.XLOOKUP($A125,'Raw Data'!$G:$G,'Raw Data'!AB:AB),"")</f>
        <v>33717</v>
      </c>
      <c r="Y125" s="17">
        <f>IFERROR(_xlfn.XLOOKUP($A125,'Raw Data'!$G:$G,'Raw Data'!AC:AC),"")</f>
        <v>33483.600000006845</v>
      </c>
      <c r="Z125" s="38">
        <f>IFERROR(_xlfn.XLOOKUP($A125,'Raw Data'!$G:$G,'Raw Data'!AD:AD),"")</f>
        <v>319.98000000001525</v>
      </c>
      <c r="AA125" s="38">
        <f>IFERROR(_xlfn.XLOOKUP($A125,'Raw Data'!$G:$G,'Raw Data'!AE:AE)*(1+(_xlfn.XLOOKUP(Table13[[#This Row],[Month Year]],JMR!$A:$A,JMR!$J:$J))),"")</f>
        <v>33163.620000006827</v>
      </c>
      <c r="AB125" s="17">
        <f>_xlfn.XLOOKUP($D125,'Modelling New'!D:D,'Modelling New'!N:N)</f>
        <v>10.507</v>
      </c>
      <c r="AC125" s="24">
        <f>IFERROR(_xlfn.XLOOKUP($D125,'Modelling New'!$D:$D,'Modelling New'!P:P),"")</f>
        <v>4.2694462387096781</v>
      </c>
      <c r="AD125" s="38">
        <f>IFERROR(_xlfn.XLOOKUP($D125,'Modelling New'!$D:$D,'Modelling New'!T:T)*1000,"")</f>
        <v>31425.129045407131</v>
      </c>
      <c r="AE125" s="164">
        <f t="shared" ref="AE125:AE188" si="14">IFERROR(AD125/AC125/AB125/1000,"")</f>
        <v>0.70053008017012453</v>
      </c>
      <c r="AF125" s="164">
        <f>IFERROR(_xlfn.XLOOKUP($D125,'Modelling New'!$D:$D,'Modelling New'!W:W),"")</f>
        <v>0.12461981316188862</v>
      </c>
      <c r="AG125" s="164">
        <f>IFERROR(_xlfn.XLOOKUP($D125,'Modelling New'!$D:$D,'Modelling New'!AD:AD),"")</f>
        <v>0.995</v>
      </c>
      <c r="AH125" s="164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64"/>
      <c r="AO125" s="164"/>
      <c r="AP125" s="164"/>
      <c r="AQ125" s="164"/>
      <c r="AR125" s="38">
        <f>IFERROR(_xlfn.XLOOKUP($D125,'Modelling New'!$D:$D,'Modelling New'!$N:$N),"")</f>
        <v>10.507</v>
      </c>
      <c r="AS125" s="38"/>
      <c r="AT125" s="38">
        <f>IFERROR(_xlfn.XLOOKUP(Table13[[#This Row],[Date]],'Raw Data'!$G:$G,'Raw Data'!$AJ:$AJ),"")</f>
        <v>0</v>
      </c>
      <c r="AU125" s="38">
        <f>IFERROR(_xlfn.XLOOKUP(Table13[[#This Row],[Month Year]],'Modelling New'!$D:$D,'Modelling New'!$AN:$AN),"")</f>
        <v>10</v>
      </c>
      <c r="AV125" s="38">
        <f>SUMIF('Curtailment records'!$C:$C,Table13[[#This Row],[Date]],'Curtailment records'!$R:$R)/1000</f>
        <v>0</v>
      </c>
    </row>
    <row r="126" spans="1:48">
      <c r="A126" s="66">
        <f t="shared" si="10"/>
        <v>45869</v>
      </c>
      <c r="B126" s="38">
        <f>YEAR(Table13[[#This Row],[Date]])+IF(MONTH(Table13[[#This Row],[Date]])&gt;=4,1,0)</f>
        <v>2026</v>
      </c>
      <c r="C126" s="17">
        <f>YEAR(Table13[[#This Row],[Date]])</f>
        <v>2025</v>
      </c>
      <c r="D126" s="37">
        <f>Table13[[#This Row],[Date]]-DAY(Table13[[#This Row],[Date]])+1</f>
        <v>45839</v>
      </c>
      <c r="E126" s="17">
        <f t="shared" si="11"/>
        <v>31</v>
      </c>
      <c r="F126" s="135" cm="1">
        <f t="array" ref="F126">IFERROR(_xlfn.XLOOKUP(Table13[[#This Row],[Date]],Raw_Data[[#All],[Date]],Raw_Data[[#All],[Operating Hours]]),"")</f>
        <v>12.233333333333333</v>
      </c>
      <c r="G126" s="24">
        <f>IFERROR(_xlfn.XLOOKUP($A126,'Raw Data'!$G:$G,'Raw Data'!S:S)/1000,"")</f>
        <v>2.67</v>
      </c>
      <c r="H126" s="24"/>
      <c r="I126" s="24">
        <f>IFERROR(_xlfn.XLOOKUP($A126,'Raw Data'!$G:$G,'Raw Data'!AF:AF)/1000,"")</f>
        <v>2.68</v>
      </c>
      <c r="J126" s="24"/>
      <c r="K126" s="137">
        <f>IFERROR(_xlfn.XLOOKUP($A126,'Raw Data'!$G:$G,'Raw Data'!W:W),"")</f>
        <v>24.861137308025501</v>
      </c>
      <c r="L126" s="136">
        <f>IFERROR(_xlfn.XLOOKUP($A126,'Raw Data'!$G:$G,'Raw Data'!X:X),"")</f>
        <v>30.490538785439391</v>
      </c>
      <c r="M126" s="136">
        <f>IFERROR(_xlfn.XLOOKUP($A126,'Raw Data'!$G:$G,'Raw Data'!Y:Y),"")</f>
        <v>1.2598552584098459</v>
      </c>
      <c r="N126" s="136">
        <f>IFERROR(_xlfn.XLOOKUP($A126,'Raw Data'!$G:$G,'Raw Data'!Z:Z),"")</f>
        <v>3.4329144954681396</v>
      </c>
      <c r="O126" s="176">
        <f>IFERROR(1-SUMIF('Plant BD'!$B:$B,$A126,'Plant BD'!$AM:$AM)/($AA126+SUMIF('Plant BD'!$B:$B,$A126,'Plant BD'!$AM:$AM)),"")</f>
        <v>1</v>
      </c>
      <c r="P126" s="176"/>
      <c r="Q126" s="177"/>
      <c r="R126" s="179">
        <f>IFERROR(1-SUMIF('Grid BD'!$B:$B,$A126,'Grid BD'!$AE:$AE)/($AA126+SUMIF('Grid BD'!$B:$B,$A126,'Grid BD'!$AE:$AE)),"")</f>
        <v>1</v>
      </c>
      <c r="S126" s="17"/>
      <c r="T126" s="177">
        <f>IFERROR(1-SUMIF(Tracker_BD!H:H,$A126,Tracker_BD!AI:AI)/$F126,"")</f>
        <v>1</v>
      </c>
      <c r="U126" s="178">
        <f t="shared" si="12"/>
        <v>0.75522501701069267</v>
      </c>
      <c r="V126" s="17"/>
      <c r="W126" s="164">
        <f t="shared" si="13"/>
        <v>8.4333460232860674E-2</v>
      </c>
      <c r="X126" s="17">
        <f>IFERROR(_xlfn.XLOOKUP($A126,'Raw Data'!$G:$G,'Raw Data'!AB:AB),"")</f>
        <v>21842</v>
      </c>
      <c r="Y126" s="17">
        <f>IFERROR(_xlfn.XLOOKUP($A126,'Raw Data'!$G:$G,'Raw Data'!AC:AC),"")</f>
        <v>21610.599999999977</v>
      </c>
      <c r="Z126" s="38">
        <f>IFERROR(_xlfn.XLOOKUP($A126,'Raw Data'!$G:$G,'Raw Data'!AD:AD),"")</f>
        <v>344.39999999996473</v>
      </c>
      <c r="AA126" s="38">
        <f>IFERROR(_xlfn.XLOOKUP($A126,'Raw Data'!$G:$G,'Raw Data'!AE:AE)*(1+(_xlfn.XLOOKUP(Table13[[#This Row],[Month Year]],JMR!$A:$A,JMR!$J:$J))),"")</f>
        <v>21266.200000000012</v>
      </c>
      <c r="AB126" s="17">
        <f>_xlfn.XLOOKUP($D126,'Modelling New'!D:D,'Modelling New'!N:N)</f>
        <v>10.507</v>
      </c>
      <c r="AC126" s="24">
        <f>IFERROR(_xlfn.XLOOKUP($D126,'Modelling New'!$D:$D,'Modelling New'!P:P),"")</f>
        <v>4.2694462387096781</v>
      </c>
      <c r="AD126" s="38">
        <f>IFERROR(_xlfn.XLOOKUP($D126,'Modelling New'!$D:$D,'Modelling New'!T:T)*1000,"")</f>
        <v>31425.129045407131</v>
      </c>
      <c r="AE126" s="164">
        <f t="shared" si="14"/>
        <v>0.70053008017012453</v>
      </c>
      <c r="AF126" s="164">
        <f>IFERROR(_xlfn.XLOOKUP($D126,'Modelling New'!$D:$D,'Modelling New'!W:W),"")</f>
        <v>0.12461981316188862</v>
      </c>
      <c r="AG126" s="164">
        <f>IFERROR(_xlfn.XLOOKUP($D126,'Modelling New'!$D:$D,'Modelling New'!AD:AD),"")</f>
        <v>0.995</v>
      </c>
      <c r="AH126" s="164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64"/>
      <c r="AO126" s="164"/>
      <c r="AP126" s="164"/>
      <c r="AQ126" s="164"/>
      <c r="AR126" s="38">
        <f>IFERROR(_xlfn.XLOOKUP($D126,'Modelling New'!$D:$D,'Modelling New'!$N:$N),"")</f>
        <v>10.507</v>
      </c>
      <c r="AS126" s="38"/>
      <c r="AT126" s="38">
        <f>IFERROR(_xlfn.XLOOKUP(Table13[[#This Row],[Date]],'Raw Data'!$G:$G,'Raw Data'!$AJ:$AJ),"")</f>
        <v>0</v>
      </c>
      <c r="AU126" s="38">
        <f>IFERROR(_xlfn.XLOOKUP(Table13[[#This Row],[Month Year]],'Modelling New'!$D:$D,'Modelling New'!$AN:$AN),"")</f>
        <v>10</v>
      </c>
      <c r="AV126" s="38">
        <f>SUMIF('Curtailment records'!$C:$C,Table13[[#This Row],[Date]],'Curtailment records'!$R:$R)/1000</f>
        <v>0</v>
      </c>
    </row>
    <row r="127" spans="1:48">
      <c r="A127" s="66">
        <f t="shared" si="10"/>
        <v>45870</v>
      </c>
      <c r="B127" s="38">
        <f>YEAR(Table13[[#This Row],[Date]])+IF(MONTH(Table13[[#This Row],[Date]])&gt;=4,1,0)</f>
        <v>2026</v>
      </c>
      <c r="C127" s="17">
        <f>YEAR(Table13[[#This Row],[Date]])</f>
        <v>2025</v>
      </c>
      <c r="D127" s="37">
        <f>Table13[[#This Row],[Date]]-DAY(Table13[[#This Row],[Date]])+1</f>
        <v>45870</v>
      </c>
      <c r="E127" s="17">
        <f t="shared" si="11"/>
        <v>31</v>
      </c>
      <c r="F127" s="135" cm="1">
        <f t="array" ref="F127">IFERROR(_xlfn.XLOOKUP(Table13[[#This Row],[Date]],Raw_Data[[#All],[Date]],Raw_Data[[#All],[Operating Hours]]),"")</f>
        <v>12.433333333333332</v>
      </c>
      <c r="G127" s="136">
        <f>IFERROR(_xlfn.XLOOKUP($A127,'Raw Data'!$G:$G,'Raw Data'!S:S)/1000,"")</f>
        <v>3.69</v>
      </c>
      <c r="H127" s="136"/>
      <c r="I127" s="136">
        <f>IFERROR(_xlfn.XLOOKUP($A127,'Raw Data'!$G:$G,'Raw Data'!AF:AF)/1000,"")</f>
        <v>3.8450000000000002</v>
      </c>
      <c r="J127" s="136"/>
      <c r="K127" s="137">
        <f>IFERROR(_xlfn.XLOOKUP($A127,'Raw Data'!$G:$G,'Raw Data'!W:W),"")</f>
        <v>25.453637110809307</v>
      </c>
      <c r="L127" s="136">
        <f>IFERROR(_xlfn.XLOOKUP($A127,'Raw Data'!$G:$G,'Raw Data'!X:X),"")</f>
        <v>34.600852832853825</v>
      </c>
      <c r="M127" s="136">
        <f>IFERROR(_xlfn.XLOOKUP($A127,'Raw Data'!$G:$G,'Raw Data'!Y:Y),"")</f>
        <v>0.84527492234745183</v>
      </c>
      <c r="N127" s="136">
        <f>IFERROR(_xlfn.XLOOKUP($A127,'Raw Data'!$G:$G,'Raw Data'!Z:Z),"")</f>
        <v>3.9557331403096518</v>
      </c>
      <c r="O127" s="176">
        <f>IFERROR(1-SUMIF('Plant BD'!$B:$B,$A127,'Plant BD'!$AM:$AM)/($AA127+SUMIF('Plant BD'!$B:$B,$A127,'Plant BD'!$AM:$AM)),"")</f>
        <v>0.98956957987081129</v>
      </c>
      <c r="P127" s="176"/>
      <c r="Q127" s="177"/>
      <c r="R127" s="176">
        <f>IFERROR(1-SUMIF('Grid BD'!$B:$B,$A127,'Grid BD'!$AE:$AE)/($AA127+SUMIF('Grid BD'!$B:$B,$A127,'Grid BD'!$AE:$AE)),"")</f>
        <v>1</v>
      </c>
      <c r="S127" s="17"/>
      <c r="T127" s="177">
        <f>IFERROR(1-SUMIF(Tracker_BD!H:H,$A127,Tracker_BD!AI:AI)/$F127,"")</f>
        <v>1</v>
      </c>
      <c r="U127" s="178">
        <f t="shared" si="12"/>
        <v>0.72015745772559003</v>
      </c>
      <c r="V127" s="17"/>
      <c r="W127" s="164">
        <f t="shared" si="13"/>
        <v>0.11537522603978724</v>
      </c>
      <c r="X127" s="17">
        <f>IFERROR(_xlfn.XLOOKUP($A127,'Raw Data'!$G:$G,'Raw Data'!AB:AB),"")</f>
        <v>29573</v>
      </c>
      <c r="Y127" s="17">
        <f>IFERROR(_xlfn.XLOOKUP($A127,'Raw Data'!$G:$G,'Raw Data'!AC:AC),"")</f>
        <v>29335.500000001048</v>
      </c>
      <c r="Z127" s="38">
        <f>IFERROR(_xlfn.XLOOKUP($A127,'Raw Data'!$G:$G,'Raw Data'!AD:AD),"")</f>
        <v>241.55999999997846</v>
      </c>
      <c r="AA127" s="38">
        <f>IFERROR(_xlfn.XLOOKUP($A127,'Raw Data'!$G:$G,'Raw Data'!AE:AE)*(1+(_xlfn.XLOOKUP(Table13[[#This Row],[Month Year]],JMR!$A:$A,JMR!$J:$J))),"")</f>
        <v>29093.940000001068</v>
      </c>
      <c r="AB127" s="17">
        <f>_xlfn.XLOOKUP($D127,'Modelling New'!D:D,'Modelling New'!N:N)</f>
        <v>10.507</v>
      </c>
      <c r="AC127" s="24">
        <f>IFERROR(_xlfn.XLOOKUP($D127,'Modelling New'!$D:$D,'Modelling New'!P:P),"")</f>
        <v>4.4467592536129033</v>
      </c>
      <c r="AD127" s="38">
        <f>IFERROR(_xlfn.XLOOKUP($D127,'Modelling New'!$D:$D,'Modelling New'!T:T)*1000,"")</f>
        <v>33012.256774973161</v>
      </c>
      <c r="AE127" s="164">
        <f t="shared" si="14"/>
        <v>0.70656621050862611</v>
      </c>
      <c r="AF127" s="164">
        <f>IFERROR(_xlfn.XLOOKUP($D127,'Modelling New'!$D:$D,'Modelling New'!W:W),"")</f>
        <v>0.13091374311955981</v>
      </c>
      <c r="AG127" s="164">
        <f>IFERROR(_xlfn.XLOOKUP($D127,'Modelling New'!$D:$D,'Modelling New'!AD:AD),"")</f>
        <v>0.995</v>
      </c>
      <c r="AH127" s="164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64"/>
      <c r="AO127" s="164"/>
      <c r="AP127" s="164"/>
      <c r="AQ127" s="164"/>
      <c r="AR127" s="38">
        <f>IFERROR(_xlfn.XLOOKUP($D127,'Modelling New'!$D:$D,'Modelling New'!$N:$N),"")</f>
        <v>10.507</v>
      </c>
      <c r="AS127" s="38"/>
      <c r="AT127" s="38">
        <f>IFERROR(_xlfn.XLOOKUP(Table13[[#This Row],[Date]],'Raw Data'!$G:$G,'Raw Data'!$AJ:$AJ),"")</f>
        <v>0</v>
      </c>
      <c r="AU127" s="38">
        <f>IFERROR(_xlfn.XLOOKUP(Table13[[#This Row],[Month Year]],'Modelling New'!$D:$D,'Modelling New'!$AN:$AN),"")</f>
        <v>10</v>
      </c>
      <c r="AV127" s="38">
        <f>SUMIF('Curtailment records'!$C:$C,Table13[[#This Row],[Date]],'Curtailment records'!$R:$R)/1000</f>
        <v>0</v>
      </c>
    </row>
    <row r="128" spans="1:48">
      <c r="A128" s="66">
        <f t="shared" si="10"/>
        <v>45871</v>
      </c>
      <c r="B128" s="38">
        <f>YEAR(Table13[[#This Row],[Date]])+IF(MONTH(Table13[[#This Row],[Date]])&gt;=4,1,0)</f>
        <v>2026</v>
      </c>
      <c r="C128" s="17">
        <f>YEAR(Table13[[#This Row],[Date]])</f>
        <v>2025</v>
      </c>
      <c r="D128" s="37">
        <f>Table13[[#This Row],[Date]]-DAY(Table13[[#This Row],[Date]])+1</f>
        <v>45870</v>
      </c>
      <c r="E128" s="17">
        <f t="shared" si="11"/>
        <v>31</v>
      </c>
      <c r="F128" s="135" cm="1">
        <f t="array" ref="F128">IFERROR(_xlfn.XLOOKUP(Table13[[#This Row],[Date]],Raw_Data[[#All],[Date]],Raw_Data[[#All],[Operating Hours]]),"")</f>
        <v>12.2</v>
      </c>
      <c r="G128" s="24">
        <f>IFERROR(_xlfn.XLOOKUP($A128,'Raw Data'!$G:$G,'Raw Data'!S:S)/1000,"")</f>
        <v>5.38</v>
      </c>
      <c r="H128" s="24"/>
      <c r="I128" s="24">
        <f>IFERROR(_xlfn.XLOOKUP($A128,'Raw Data'!$G:$G,'Raw Data'!AF:AF)/1000,"")</f>
        <v>5.6349999999999998</v>
      </c>
      <c r="J128" s="24"/>
      <c r="K128" s="137">
        <f>IFERROR(_xlfn.XLOOKUP($A128,'Raw Data'!$G:$G,'Raw Data'!W:W),"")</f>
        <v>26.793818419648606</v>
      </c>
      <c r="L128" s="136">
        <f>IFERROR(_xlfn.XLOOKUP($A128,'Raw Data'!$G:$G,'Raw Data'!X:X),"")</f>
        <v>39.362695685816455</v>
      </c>
      <c r="M128" s="136">
        <f>IFERROR(_xlfn.XLOOKUP($A128,'Raw Data'!$G:$G,'Raw Data'!Y:Y),"")</f>
        <v>0.67056341117189455</v>
      </c>
      <c r="N128" s="136">
        <f>IFERROR(_xlfn.XLOOKUP($A128,'Raw Data'!$G:$G,'Raw Data'!Z:Z),"")</f>
        <v>1.9223519762357075</v>
      </c>
      <c r="O128" s="176">
        <f>IFERROR(1-SUMIF('Plant BD'!$B:$B,$A128,'Plant BD'!$AM:$AM)/($AA128+SUMIF('Plant BD'!$B:$B,$A128,'Plant BD'!$AM:$AM)),"")</f>
        <v>1</v>
      </c>
      <c r="P128" s="176"/>
      <c r="Q128" s="177"/>
      <c r="R128" s="179">
        <f>IFERROR(1-SUMIF('Grid BD'!$B:$B,$A128,'Grid BD'!$AE:$AE)/($AA128+SUMIF('Grid BD'!$B:$B,$A128,'Grid BD'!$AE:$AE)),"")</f>
        <v>1</v>
      </c>
      <c r="S128" s="17"/>
      <c r="T128" s="177">
        <f>IFERROR(1-SUMIF(Tracker_BD!H:H,$A128,Tracker_BD!AI:AI)/$F128,"")</f>
        <v>1</v>
      </c>
      <c r="U128" s="178">
        <f t="shared" si="12"/>
        <v>0.71501780745489063</v>
      </c>
      <c r="V128" s="17"/>
      <c r="W128" s="164">
        <f t="shared" si="13"/>
        <v>0.16788022270867953</v>
      </c>
      <c r="X128" s="17">
        <f>IFERROR(_xlfn.XLOOKUP($A128,'Raw Data'!$G:$G,'Raw Data'!AB:AB),"")</f>
        <v>42889</v>
      </c>
      <c r="Y128" s="17">
        <f>IFERROR(_xlfn.XLOOKUP($A128,'Raw Data'!$G:$G,'Raw Data'!AC:AC),"")</f>
        <v>42574.500000002445</v>
      </c>
      <c r="Z128" s="38">
        <f>IFERROR(_xlfn.XLOOKUP($A128,'Raw Data'!$G:$G,'Raw Data'!AD:AD),"")</f>
        <v>240.48000000014724</v>
      </c>
      <c r="AA128" s="38">
        <f>IFERROR(_xlfn.XLOOKUP($A128,'Raw Data'!$G:$G,'Raw Data'!AE:AE)*(1+(_xlfn.XLOOKUP(Table13[[#This Row],[Month Year]],JMR!$A:$A,JMR!$J:$J))),"")</f>
        <v>42334.020000002296</v>
      </c>
      <c r="AB128" s="17">
        <f>_xlfn.XLOOKUP($D128,'Modelling New'!D:D,'Modelling New'!N:N)</f>
        <v>10.507</v>
      </c>
      <c r="AC128" s="24">
        <f>IFERROR(_xlfn.XLOOKUP($D128,'Modelling New'!$D:$D,'Modelling New'!P:P),"")</f>
        <v>4.4467592536129033</v>
      </c>
      <c r="AD128" s="38">
        <f>IFERROR(_xlfn.XLOOKUP($D128,'Modelling New'!$D:$D,'Modelling New'!T:T)*1000,"")</f>
        <v>33012.256774973161</v>
      </c>
      <c r="AE128" s="164">
        <f t="shared" si="14"/>
        <v>0.70656621050862611</v>
      </c>
      <c r="AF128" s="164">
        <f>IFERROR(_xlfn.XLOOKUP($D128,'Modelling New'!$D:$D,'Modelling New'!W:W),"")</f>
        <v>0.13091374311955981</v>
      </c>
      <c r="AG128" s="164">
        <f>IFERROR(_xlfn.XLOOKUP($D128,'Modelling New'!$D:$D,'Modelling New'!AD:AD),"")</f>
        <v>0.995</v>
      </c>
      <c r="AH128" s="164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64"/>
      <c r="AO128" s="164"/>
      <c r="AP128" s="164"/>
      <c r="AQ128" s="164"/>
      <c r="AR128" s="38">
        <f>IFERROR(_xlfn.XLOOKUP($D128,'Modelling New'!$D:$D,'Modelling New'!$N:$N),"")</f>
        <v>10.507</v>
      </c>
      <c r="AS128" s="38"/>
      <c r="AT128" s="38">
        <f>IFERROR(_xlfn.XLOOKUP(Table13[[#This Row],[Date]],'Raw Data'!$G:$G,'Raw Data'!$AJ:$AJ),"")</f>
        <v>0</v>
      </c>
      <c r="AU128" s="38">
        <f>IFERROR(_xlfn.XLOOKUP(Table13[[#This Row],[Month Year]],'Modelling New'!$D:$D,'Modelling New'!$AN:$AN),"")</f>
        <v>10</v>
      </c>
      <c r="AV128" s="38">
        <f>SUMIF('Curtailment records'!$C:$C,Table13[[#This Row],[Date]],'Curtailment records'!$R:$R)/1000</f>
        <v>0</v>
      </c>
    </row>
    <row r="129" spans="1:48">
      <c r="A129" s="66">
        <f t="shared" si="10"/>
        <v>45872</v>
      </c>
      <c r="B129" s="38">
        <f>YEAR(Table13[[#This Row],[Date]])+IF(MONTH(Table13[[#This Row],[Date]])&gt;=4,1,0)</f>
        <v>2026</v>
      </c>
      <c r="C129" s="17">
        <f>YEAR(Table13[[#This Row],[Date]])</f>
        <v>2025</v>
      </c>
      <c r="D129" s="37">
        <f>Table13[[#This Row],[Date]]-DAY(Table13[[#This Row],[Date]])+1</f>
        <v>45870</v>
      </c>
      <c r="E129" s="17">
        <f t="shared" si="11"/>
        <v>31</v>
      </c>
      <c r="F129" s="135" cm="1">
        <f t="array" ref="F129">IFERROR(_xlfn.XLOOKUP(Table13[[#This Row],[Date]],Raw_Data[[#All],[Date]],Raw_Data[[#All],[Operating Hours]]),"")</f>
        <v>12.1</v>
      </c>
      <c r="G129" s="136">
        <f>IFERROR(_xlfn.XLOOKUP($A129,'Raw Data'!$G:$G,'Raw Data'!S:S)/1000,"")</f>
        <v>4.5199999999999996</v>
      </c>
      <c r="H129" s="136"/>
      <c r="I129" s="136">
        <f>IFERROR(_xlfn.XLOOKUP($A129,'Raw Data'!$G:$G,'Raw Data'!AF:AF)/1000,"")</f>
        <v>4.51</v>
      </c>
      <c r="J129" s="136"/>
      <c r="K129" s="137">
        <f>IFERROR(_xlfn.XLOOKUP($A129,'Raw Data'!$G:$G,'Raw Data'!W:W),"")</f>
        <v>25.688179442018519</v>
      </c>
      <c r="L129" s="136">
        <f>IFERROR(_xlfn.XLOOKUP($A129,'Raw Data'!$G:$G,'Raw Data'!X:X),"")</f>
        <v>37.208408508162186</v>
      </c>
      <c r="M129" s="136">
        <f>IFERROR(_xlfn.XLOOKUP($A129,'Raw Data'!$G:$G,'Raw Data'!Y:Y),"")</f>
        <v>0.65506575528217614</v>
      </c>
      <c r="N129" s="136">
        <f>IFERROR(_xlfn.XLOOKUP($A129,'Raw Data'!$G:$G,'Raw Data'!Z:Z),"")</f>
        <v>0.69990665713946021</v>
      </c>
      <c r="O129" s="176">
        <f>IFERROR(1-SUMIF('Plant BD'!$B:$B,$A129,'Plant BD'!$AM:$AM)/($AA129+SUMIF('Plant BD'!$B:$B,$A129,'Plant BD'!$AM:$AM)),"")</f>
        <v>0.98903601197326718</v>
      </c>
      <c r="P129" s="176"/>
      <c r="Q129" s="177"/>
      <c r="R129" s="176">
        <f>IFERROR(1-SUMIF('Grid BD'!$B:$B,$A129,'Grid BD'!$AE:$AE)/($AA129+SUMIF('Grid BD'!$B:$B,$A129,'Grid BD'!$AE:$AE)),"")</f>
        <v>1</v>
      </c>
      <c r="S129" s="17"/>
      <c r="T129" s="177">
        <f>IFERROR(1-SUMIF(Tracker_BD!H:H,$A129,Tracker_BD!AI:AI)/$F129,"")</f>
        <v>1</v>
      </c>
      <c r="U129" s="178">
        <f t="shared" si="12"/>
        <v>0.73976867285372139</v>
      </c>
      <c r="V129" s="17"/>
      <c r="W129" s="164">
        <f t="shared" si="13"/>
        <v>0.13901486310709513</v>
      </c>
      <c r="X129" s="17">
        <f>IFERROR(_xlfn.XLOOKUP($A129,'Raw Data'!$G:$G,'Raw Data'!AB:AB),"")</f>
        <v>35646</v>
      </c>
      <c r="Y129" s="17">
        <f>IFERROR(_xlfn.XLOOKUP($A129,'Raw Data'!$G:$G,'Raw Data'!AC:AC),"")</f>
        <v>35423.499999989872</v>
      </c>
      <c r="Z129" s="38">
        <f>IFERROR(_xlfn.XLOOKUP($A129,'Raw Data'!$G:$G,'Raw Data'!AD:AD),"")</f>
        <v>368.3999999999088</v>
      </c>
      <c r="AA129" s="38">
        <f>IFERROR(_xlfn.XLOOKUP($A129,'Raw Data'!$G:$G,'Raw Data'!AE:AE)*(1+(_xlfn.XLOOKUP(Table13[[#This Row],[Month Year]],JMR!$A:$A,JMR!$J:$J))),"")</f>
        <v>35055.099999989965</v>
      </c>
      <c r="AB129" s="17">
        <f>_xlfn.XLOOKUP($D129,'Modelling New'!D:D,'Modelling New'!N:N)</f>
        <v>10.507</v>
      </c>
      <c r="AC129" s="24">
        <f>IFERROR(_xlfn.XLOOKUP($D129,'Modelling New'!$D:$D,'Modelling New'!P:P),"")</f>
        <v>4.4467592536129033</v>
      </c>
      <c r="AD129" s="38">
        <f>IFERROR(_xlfn.XLOOKUP($D129,'Modelling New'!$D:$D,'Modelling New'!T:T)*1000,"")</f>
        <v>33012.256774973161</v>
      </c>
      <c r="AE129" s="164">
        <f t="shared" si="14"/>
        <v>0.70656621050862611</v>
      </c>
      <c r="AF129" s="164">
        <f>IFERROR(_xlfn.XLOOKUP($D129,'Modelling New'!$D:$D,'Modelling New'!W:W),"")</f>
        <v>0.13091374311955981</v>
      </c>
      <c r="AG129" s="164">
        <f>IFERROR(_xlfn.XLOOKUP($D129,'Modelling New'!$D:$D,'Modelling New'!AD:AD),"")</f>
        <v>0.995</v>
      </c>
      <c r="AH129" s="164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64"/>
      <c r="AO129" s="164"/>
      <c r="AP129" s="164"/>
      <c r="AQ129" s="164"/>
      <c r="AR129" s="38">
        <f>IFERROR(_xlfn.XLOOKUP($D129,'Modelling New'!$D:$D,'Modelling New'!$N:$N),"")</f>
        <v>10.507</v>
      </c>
      <c r="AS129" s="38"/>
      <c r="AT129" s="38">
        <f>IFERROR(_xlfn.XLOOKUP(Table13[[#This Row],[Date]],'Raw Data'!$G:$G,'Raw Data'!$AJ:$AJ),"")</f>
        <v>0</v>
      </c>
      <c r="AU129" s="38">
        <f>IFERROR(_xlfn.XLOOKUP(Table13[[#This Row],[Month Year]],'Modelling New'!$D:$D,'Modelling New'!$AN:$AN),"")</f>
        <v>10</v>
      </c>
      <c r="AV129" s="38">
        <f>SUMIF('Curtailment records'!$C:$C,Table13[[#This Row],[Date]],'Curtailment records'!$R:$R)/1000</f>
        <v>0</v>
      </c>
    </row>
    <row r="130" spans="1:48">
      <c r="A130" s="66">
        <f t="shared" si="10"/>
        <v>45873</v>
      </c>
      <c r="B130" s="38">
        <f>YEAR(Table13[[#This Row],[Date]])+IF(MONTH(Table13[[#This Row],[Date]])&gt;=4,1,0)</f>
        <v>2026</v>
      </c>
      <c r="C130" s="17">
        <f>YEAR(Table13[[#This Row],[Date]])</f>
        <v>2025</v>
      </c>
      <c r="D130" s="37">
        <f>Table13[[#This Row],[Date]]-DAY(Table13[[#This Row],[Date]])+1</f>
        <v>45870</v>
      </c>
      <c r="E130" s="17">
        <f t="shared" si="11"/>
        <v>31</v>
      </c>
      <c r="F130" s="135" cm="1">
        <f t="array" ref="F130">IFERROR(_xlfn.XLOOKUP(Table13[[#This Row],[Date]],Raw_Data[[#All],[Date]],Raw_Data[[#All],[Operating Hours]]),"")</f>
        <v>11.950000000000001</v>
      </c>
      <c r="G130" s="24">
        <f>IFERROR(_xlfn.XLOOKUP($A130,'Raw Data'!$G:$G,'Raw Data'!S:S)/1000,"")</f>
        <v>5.5</v>
      </c>
      <c r="H130" s="24"/>
      <c r="I130" s="24">
        <f>IFERROR(_xlfn.XLOOKUP($A130,'Raw Data'!$G:$G,'Raw Data'!AF:AF)/1000,"")</f>
        <v>5.65</v>
      </c>
      <c r="J130" s="24"/>
      <c r="K130" s="137">
        <f>IFERROR(_xlfn.XLOOKUP($A130,'Raw Data'!$G:$G,'Raw Data'!W:W),"")</f>
        <v>26.703522956426657</v>
      </c>
      <c r="L130" s="136">
        <f>IFERROR(_xlfn.XLOOKUP($A130,'Raw Data'!$G:$G,'Raw Data'!X:X),"")</f>
        <v>41.206289847217448</v>
      </c>
      <c r="M130" s="136">
        <f>IFERROR(_xlfn.XLOOKUP($A130,'Raw Data'!$G:$G,'Raw Data'!Y:Y),"")</f>
        <v>0.67251322340239494</v>
      </c>
      <c r="N130" s="136">
        <f>IFERROR(_xlfn.XLOOKUP($A130,'Raw Data'!$G:$G,'Raw Data'!Z:Z),"")</f>
        <v>0.74122503399848938</v>
      </c>
      <c r="O130" s="176">
        <f>IFERROR(1-SUMIF('Plant BD'!$B:$B,$A130,'Plant BD'!$AM:$AM)/($AA130+SUMIF('Plant BD'!$B:$B,$A130,'Plant BD'!$AM:$AM)),"")</f>
        <v>0.99143214903279719</v>
      </c>
      <c r="P130" s="176"/>
      <c r="Q130" s="177"/>
      <c r="R130" s="179">
        <f>IFERROR(1-SUMIF('Grid BD'!$B:$B,$A130,'Grid BD'!$AE:$AE)/($AA130+SUMIF('Grid BD'!$B:$B,$A130,'Grid BD'!$AE:$AE)),"")</f>
        <v>1</v>
      </c>
      <c r="S130" s="17"/>
      <c r="T130" s="177">
        <f>IFERROR(1-SUMIF(Tracker_BD!H:H,$A130,Tracker_BD!AI:AI)/$F130,"")</f>
        <v>1</v>
      </c>
      <c r="U130" s="178">
        <f t="shared" si="12"/>
        <v>0.71228435151957448</v>
      </c>
      <c r="V130" s="17"/>
      <c r="W130" s="164">
        <f t="shared" si="13"/>
        <v>0.1676836077535665</v>
      </c>
      <c r="X130" s="17">
        <f>IFERROR(_xlfn.XLOOKUP($A130,'Raw Data'!$G:$G,'Raw Data'!AB:AB),"")</f>
        <v>42933</v>
      </c>
      <c r="Y130" s="17">
        <f>IFERROR(_xlfn.XLOOKUP($A130,'Raw Data'!$G:$G,'Raw Data'!AC:AC),"")</f>
        <v>42609.10000000149</v>
      </c>
      <c r="Z130" s="38">
        <f>IFERROR(_xlfn.XLOOKUP($A130,'Raw Data'!$G:$G,'Raw Data'!AD:AD),"")</f>
        <v>324.66000000013651</v>
      </c>
      <c r="AA130" s="38">
        <f>IFERROR(_xlfn.XLOOKUP($A130,'Raw Data'!$G:$G,'Raw Data'!AE:AE)*(1+(_xlfn.XLOOKUP(Table13[[#This Row],[Month Year]],JMR!$A:$A,JMR!$J:$J))),"")</f>
        <v>42284.440000001356</v>
      </c>
      <c r="AB130" s="17">
        <f>_xlfn.XLOOKUP($D130,'Modelling New'!D:D,'Modelling New'!N:N)</f>
        <v>10.507</v>
      </c>
      <c r="AC130" s="24">
        <f>IFERROR(_xlfn.XLOOKUP($D130,'Modelling New'!$D:$D,'Modelling New'!P:P),"")</f>
        <v>4.4467592536129033</v>
      </c>
      <c r="AD130" s="38">
        <f>IFERROR(_xlfn.XLOOKUP($D130,'Modelling New'!$D:$D,'Modelling New'!T:T)*1000,"")</f>
        <v>33012.256774973161</v>
      </c>
      <c r="AE130" s="164">
        <f t="shared" si="14"/>
        <v>0.70656621050862611</v>
      </c>
      <c r="AF130" s="164">
        <f>IFERROR(_xlfn.XLOOKUP($D130,'Modelling New'!$D:$D,'Modelling New'!W:W),"")</f>
        <v>0.13091374311955981</v>
      </c>
      <c r="AG130" s="164">
        <f>IFERROR(_xlfn.XLOOKUP($D130,'Modelling New'!$D:$D,'Modelling New'!AD:AD),"")</f>
        <v>0.995</v>
      </c>
      <c r="AH130" s="164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64"/>
      <c r="AO130" s="164"/>
      <c r="AP130" s="164"/>
      <c r="AQ130" s="164"/>
      <c r="AR130" s="38">
        <f>IFERROR(_xlfn.XLOOKUP($D130,'Modelling New'!$D:$D,'Modelling New'!$N:$N),"")</f>
        <v>10.507</v>
      </c>
      <c r="AS130" s="38"/>
      <c r="AT130" s="38">
        <f>IFERROR(_xlfn.XLOOKUP(Table13[[#This Row],[Date]],'Raw Data'!$G:$G,'Raw Data'!$AJ:$AJ),"")</f>
        <v>0</v>
      </c>
      <c r="AU130" s="38">
        <f>IFERROR(_xlfn.XLOOKUP(Table13[[#This Row],[Month Year]],'Modelling New'!$D:$D,'Modelling New'!$AN:$AN),"")</f>
        <v>10</v>
      </c>
      <c r="AV130" s="38">
        <f>SUMIF('Curtailment records'!$C:$C,Table13[[#This Row],[Date]],'Curtailment records'!$R:$R)/1000</f>
        <v>0</v>
      </c>
    </row>
    <row r="131" spans="1:48">
      <c r="A131" s="66">
        <f t="shared" si="10"/>
        <v>45874</v>
      </c>
      <c r="B131" s="38">
        <f>YEAR(Table13[[#This Row],[Date]])+IF(MONTH(Table13[[#This Row],[Date]])&gt;=4,1,0)</f>
        <v>2026</v>
      </c>
      <c r="C131" s="17">
        <f>YEAR(Table13[[#This Row],[Date]])</f>
        <v>2025</v>
      </c>
      <c r="D131" s="37">
        <f>Table13[[#This Row],[Date]]-DAY(Table13[[#This Row],[Date]])+1</f>
        <v>45870</v>
      </c>
      <c r="E131" s="17">
        <f t="shared" si="11"/>
        <v>31</v>
      </c>
      <c r="F131" s="135" t="str" cm="1">
        <f t="array" ref="F131">IFERROR(_xlfn.XLOOKUP(Table13[[#This Row],[Date]],Raw_Data[[#All],[Date]],Raw_Data[[#All],[Operating Hours]]),"")</f>
        <v/>
      </c>
      <c r="G131" s="136" t="str">
        <f>IFERROR(_xlfn.XLOOKUP($A131,'Raw Data'!$G:$G,'Raw Data'!S:S)/1000,"")</f>
        <v/>
      </c>
      <c r="H131" s="136"/>
      <c r="I131" s="136" t="str">
        <f>IFERROR(_xlfn.XLOOKUP($A131,'Raw Data'!$G:$G,'Raw Data'!AF:AF)/1000,"")</f>
        <v/>
      </c>
      <c r="J131" s="136"/>
      <c r="K131" s="137" t="str">
        <f>IFERROR(_xlfn.XLOOKUP($A131,'Raw Data'!$G:$G,'Raw Data'!W:W),"")</f>
        <v/>
      </c>
      <c r="L131" s="136" t="str">
        <f>IFERROR(_xlfn.XLOOKUP($A131,'Raw Data'!$G:$G,'Raw Data'!X:X),"")</f>
        <v/>
      </c>
      <c r="M131" s="136" t="str">
        <f>IFERROR(_xlfn.XLOOKUP($A131,'Raw Data'!$G:$G,'Raw Data'!Y:Y),"")</f>
        <v/>
      </c>
      <c r="N131" s="136" t="str">
        <f>IFERROR(_xlfn.XLOOKUP($A131,'Raw Data'!$G:$G,'Raw Data'!Z:Z),"")</f>
        <v/>
      </c>
      <c r="O131" s="176" t="str">
        <f>IFERROR(1-SUMIF('Plant BD'!$B:$B,$A131,'Plant BD'!$AM:$AM)/($AA131+SUMIF('Plant BD'!$B:$B,$A131,'Plant BD'!$AM:$AM)),"")</f>
        <v/>
      </c>
      <c r="P131" s="176"/>
      <c r="Q131" s="177"/>
      <c r="R131" s="176" t="str">
        <f>IFERROR(1-SUMIF('Grid BD'!$B:$B,$A131,'Grid BD'!$AE:$AE)/($AA131+SUMIF('Grid BD'!$B:$B,$A131,'Grid BD'!$AE:$AE)),"")</f>
        <v/>
      </c>
      <c r="S131" s="17"/>
      <c r="T131" s="177" t="str">
        <f>IFERROR(1-SUMIF(Tracker_BD!H:H,$A131,Tracker_BD!AI:AI)/$F131,"")</f>
        <v/>
      </c>
      <c r="U131" s="178" t="str">
        <f t="shared" si="12"/>
        <v/>
      </c>
      <c r="V131" s="17"/>
      <c r="W131" s="164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38" t="str">
        <f>IFERROR(_xlfn.XLOOKUP($A131,'Raw Data'!$G:$G,'Raw Data'!AD:AD),"")</f>
        <v/>
      </c>
      <c r="AA131" s="38" t="str">
        <f>IFERROR(_xlfn.XLOOKUP($A131,'Raw Data'!$G:$G,'Raw Data'!AE:AE)*(1+(_xlfn.XLOOKUP(Table13[[#This Row],[Month Year]],JMR!$A:$A,JMR!$J:$J))),"")</f>
        <v/>
      </c>
      <c r="AB131" s="17">
        <f>_xlfn.XLOOKUP($D131,'Modelling New'!D:D,'Modelling New'!N:N)</f>
        <v>10.507</v>
      </c>
      <c r="AC131" s="24">
        <f>IFERROR(_xlfn.XLOOKUP($D131,'Modelling New'!$D:$D,'Modelling New'!P:P),"")</f>
        <v>4.4467592536129033</v>
      </c>
      <c r="AD131" s="38">
        <f>IFERROR(_xlfn.XLOOKUP($D131,'Modelling New'!$D:$D,'Modelling New'!T:T)*1000,"")</f>
        <v>33012.256774973161</v>
      </c>
      <c r="AE131" s="164">
        <f t="shared" si="14"/>
        <v>0.70656621050862611</v>
      </c>
      <c r="AF131" s="164">
        <f>IFERROR(_xlfn.XLOOKUP($D131,'Modelling New'!$D:$D,'Modelling New'!W:W),"")</f>
        <v>0.13091374311955981</v>
      </c>
      <c r="AG131" s="164">
        <f>IFERROR(_xlfn.XLOOKUP($D131,'Modelling New'!$D:$D,'Modelling New'!AD:AD),"")</f>
        <v>0.995</v>
      </c>
      <c r="AH131" s="164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64"/>
      <c r="AO131" s="164"/>
      <c r="AP131" s="164"/>
      <c r="AQ131" s="164"/>
      <c r="AR131" s="38">
        <f>IFERROR(_xlfn.XLOOKUP($D131,'Modelling New'!$D:$D,'Modelling New'!$N:$N),"")</f>
        <v>10.507</v>
      </c>
      <c r="AS131" s="38"/>
      <c r="AT131" s="38" t="str">
        <f>IFERROR(_xlfn.XLOOKUP(Table13[[#This Row],[Date]],'Raw Data'!$G:$G,'Raw Data'!$AJ:$AJ),"")</f>
        <v/>
      </c>
      <c r="AU131" s="38">
        <f>IFERROR(_xlfn.XLOOKUP(Table13[[#This Row],[Month Year]],'Modelling New'!$D:$D,'Modelling New'!$AN:$AN),"")</f>
        <v>10</v>
      </c>
      <c r="AV131" s="38">
        <f>SUMIF('Curtailment records'!$C:$C,Table13[[#This Row],[Date]],'Curtailment records'!$R:$R)/1000</f>
        <v>0</v>
      </c>
    </row>
    <row r="132" spans="1:48">
      <c r="A132" s="66">
        <f t="shared" si="10"/>
        <v>45875</v>
      </c>
      <c r="B132" s="38">
        <f>YEAR(Table13[[#This Row],[Date]])+IF(MONTH(Table13[[#This Row],[Date]])&gt;=4,1,0)</f>
        <v>2026</v>
      </c>
      <c r="C132" s="17">
        <f>YEAR(Table13[[#This Row],[Date]])</f>
        <v>2025</v>
      </c>
      <c r="D132" s="37">
        <f>Table13[[#This Row],[Date]]-DAY(Table13[[#This Row],[Date]])+1</f>
        <v>45870</v>
      </c>
      <c r="E132" s="17">
        <f t="shared" si="11"/>
        <v>31</v>
      </c>
      <c r="F132" s="135" t="str" cm="1">
        <f t="array" ref="F132">IFERROR(_xlfn.XLOOKUP(Table13[[#This Row],[Date]],Raw_Data[[#All],[Date]],Raw_Data[[#All],[Operating Hours]]),"")</f>
        <v/>
      </c>
      <c r="G132" s="24" t="str">
        <f>IFERROR(_xlfn.XLOOKUP($A132,'Raw Data'!$G:$G,'Raw Data'!S:S)/1000,"")</f>
        <v/>
      </c>
      <c r="H132" s="24"/>
      <c r="I132" s="24" t="str">
        <f>IFERROR(_xlfn.XLOOKUP($A132,'Raw Data'!$G:$G,'Raw Data'!AF:AF)/1000,"")</f>
        <v/>
      </c>
      <c r="J132" s="24"/>
      <c r="K132" s="137" t="str">
        <f>IFERROR(_xlfn.XLOOKUP($A132,'Raw Data'!$G:$G,'Raw Data'!W:W),"")</f>
        <v/>
      </c>
      <c r="L132" s="136" t="str">
        <f>IFERROR(_xlfn.XLOOKUP($A132,'Raw Data'!$G:$G,'Raw Data'!X:X),"")</f>
        <v/>
      </c>
      <c r="M132" s="136" t="str">
        <f>IFERROR(_xlfn.XLOOKUP($A132,'Raw Data'!$G:$G,'Raw Data'!Y:Y),"")</f>
        <v/>
      </c>
      <c r="N132" s="136" t="str">
        <f>IFERROR(_xlfn.XLOOKUP($A132,'Raw Data'!$G:$G,'Raw Data'!Z:Z),"")</f>
        <v/>
      </c>
      <c r="O132" s="176" t="str">
        <f>IFERROR(1-SUMIF('Plant BD'!$B:$B,$A132,'Plant BD'!$AM:$AM)/($AA132+SUMIF('Plant BD'!$B:$B,$A132,'Plant BD'!$AM:$AM)),"")</f>
        <v/>
      </c>
      <c r="P132" s="176"/>
      <c r="Q132" s="177"/>
      <c r="R132" s="179" t="str">
        <f>IFERROR(1-SUMIF('Grid BD'!$B:$B,$A132,'Grid BD'!$AE:$AE)/($AA132+SUMIF('Grid BD'!$B:$B,$A132,'Grid BD'!$AE:$AE)),"")</f>
        <v/>
      </c>
      <c r="S132" s="17"/>
      <c r="T132" s="177" t="str">
        <f>IFERROR(1-SUMIF(Tracker_BD!H:H,$A132,Tracker_BD!AI:AI)/$F132,"")</f>
        <v/>
      </c>
      <c r="U132" s="178" t="str">
        <f t="shared" si="12"/>
        <v/>
      </c>
      <c r="V132" s="17"/>
      <c r="W132" s="164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38" t="str">
        <f>IFERROR(_xlfn.XLOOKUP($A132,'Raw Data'!$G:$G,'Raw Data'!AD:AD),"")</f>
        <v/>
      </c>
      <c r="AA132" s="38" t="str">
        <f>IFERROR(_xlfn.XLOOKUP($A132,'Raw Data'!$G:$G,'Raw Data'!AE:AE)*(1+(_xlfn.XLOOKUP(Table13[[#This Row],[Month Year]],JMR!$A:$A,JMR!$J:$J))),"")</f>
        <v/>
      </c>
      <c r="AB132" s="17">
        <f>_xlfn.XLOOKUP($D132,'Modelling New'!D:D,'Modelling New'!N:N)</f>
        <v>10.507</v>
      </c>
      <c r="AC132" s="24">
        <f>IFERROR(_xlfn.XLOOKUP($D132,'Modelling New'!$D:$D,'Modelling New'!P:P),"")</f>
        <v>4.4467592536129033</v>
      </c>
      <c r="AD132" s="38">
        <f>IFERROR(_xlfn.XLOOKUP($D132,'Modelling New'!$D:$D,'Modelling New'!T:T)*1000,"")</f>
        <v>33012.256774973161</v>
      </c>
      <c r="AE132" s="164">
        <f t="shared" si="14"/>
        <v>0.70656621050862611</v>
      </c>
      <c r="AF132" s="164">
        <f>IFERROR(_xlfn.XLOOKUP($D132,'Modelling New'!$D:$D,'Modelling New'!W:W),"")</f>
        <v>0.13091374311955981</v>
      </c>
      <c r="AG132" s="164">
        <f>IFERROR(_xlfn.XLOOKUP($D132,'Modelling New'!$D:$D,'Modelling New'!AD:AD),"")</f>
        <v>0.995</v>
      </c>
      <c r="AH132" s="164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64"/>
      <c r="AO132" s="164"/>
      <c r="AP132" s="164"/>
      <c r="AQ132" s="164"/>
      <c r="AR132" s="38">
        <f>IFERROR(_xlfn.XLOOKUP($D132,'Modelling New'!$D:$D,'Modelling New'!$N:$N),"")</f>
        <v>10.507</v>
      </c>
      <c r="AS132" s="38"/>
      <c r="AT132" s="38" t="str">
        <f>IFERROR(_xlfn.XLOOKUP(Table13[[#This Row],[Date]],'Raw Data'!$G:$G,'Raw Data'!$AJ:$AJ),"")</f>
        <v/>
      </c>
      <c r="AU132" s="38">
        <f>IFERROR(_xlfn.XLOOKUP(Table13[[#This Row],[Month Year]],'Modelling New'!$D:$D,'Modelling New'!$AN:$AN),"")</f>
        <v>10</v>
      </c>
      <c r="AV132" s="38">
        <f>SUMIF('Curtailment records'!$C:$C,Table13[[#This Row],[Date]],'Curtailment records'!$R:$R)/1000</f>
        <v>0</v>
      </c>
    </row>
    <row r="133" spans="1:48">
      <c r="A133" s="66">
        <f t="shared" si="10"/>
        <v>45876</v>
      </c>
      <c r="B133" s="38">
        <f>YEAR(Table13[[#This Row],[Date]])+IF(MONTH(Table13[[#This Row],[Date]])&gt;=4,1,0)</f>
        <v>2026</v>
      </c>
      <c r="C133" s="17">
        <f>YEAR(Table13[[#This Row],[Date]])</f>
        <v>2025</v>
      </c>
      <c r="D133" s="37">
        <f>Table13[[#This Row],[Date]]-DAY(Table13[[#This Row],[Date]])+1</f>
        <v>45870</v>
      </c>
      <c r="E133" s="17">
        <f t="shared" si="11"/>
        <v>31</v>
      </c>
      <c r="F133" s="135" t="str" cm="1">
        <f t="array" ref="F133">IFERROR(_xlfn.XLOOKUP(Table13[[#This Row],[Date]],Raw_Data[[#All],[Date]],Raw_Data[[#All],[Operating Hours]]),"")</f>
        <v/>
      </c>
      <c r="G133" s="136" t="str">
        <f>IFERROR(_xlfn.XLOOKUP($A133,'Raw Data'!$G:$G,'Raw Data'!S:S)/1000,"")</f>
        <v/>
      </c>
      <c r="H133" s="136"/>
      <c r="I133" s="136" t="str">
        <f>IFERROR(_xlfn.XLOOKUP($A133,'Raw Data'!$G:$G,'Raw Data'!AF:AF)/1000,"")</f>
        <v/>
      </c>
      <c r="J133" s="136"/>
      <c r="K133" s="137" t="str">
        <f>IFERROR(_xlfn.XLOOKUP($A133,'Raw Data'!$G:$G,'Raw Data'!W:W),"")</f>
        <v/>
      </c>
      <c r="L133" s="136" t="str">
        <f>IFERROR(_xlfn.XLOOKUP($A133,'Raw Data'!$G:$G,'Raw Data'!X:X),"")</f>
        <v/>
      </c>
      <c r="M133" s="136" t="str">
        <f>IFERROR(_xlfn.XLOOKUP($A133,'Raw Data'!$G:$G,'Raw Data'!Y:Y),"")</f>
        <v/>
      </c>
      <c r="N133" s="136" t="str">
        <f>IFERROR(_xlfn.XLOOKUP($A133,'Raw Data'!$G:$G,'Raw Data'!Z:Z),"")</f>
        <v/>
      </c>
      <c r="O133" s="176" t="str">
        <f>IFERROR(1-SUMIF('Plant BD'!$B:$B,$A133,'Plant BD'!$AM:$AM)/($AA133+SUMIF('Plant BD'!$B:$B,$A133,'Plant BD'!$AM:$AM)),"")</f>
        <v/>
      </c>
      <c r="P133" s="176"/>
      <c r="Q133" s="177"/>
      <c r="R133" s="176" t="str">
        <f>IFERROR(1-SUMIF('Grid BD'!$B:$B,$A133,'Grid BD'!$AE:$AE)/($AA133+SUMIF('Grid BD'!$B:$B,$A133,'Grid BD'!$AE:$AE)),"")</f>
        <v/>
      </c>
      <c r="S133" s="17"/>
      <c r="T133" s="177" t="str">
        <f>IFERROR(1-SUMIF(Tracker_BD!H:H,$A133,Tracker_BD!AI:AI)/$F133,"")</f>
        <v/>
      </c>
      <c r="U133" s="178" t="str">
        <f t="shared" si="12"/>
        <v/>
      </c>
      <c r="V133" s="17"/>
      <c r="W133" s="164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38" t="str">
        <f>IFERROR(_xlfn.XLOOKUP($A133,'Raw Data'!$G:$G,'Raw Data'!AD:AD),"")</f>
        <v/>
      </c>
      <c r="AA133" s="38" t="str">
        <f>IFERROR(_xlfn.XLOOKUP($A133,'Raw Data'!$G:$G,'Raw Data'!AE:AE)*(1+(_xlfn.XLOOKUP(Table13[[#This Row],[Month Year]],JMR!$A:$A,JMR!$J:$J))),"")</f>
        <v/>
      </c>
      <c r="AB133" s="17">
        <f>_xlfn.XLOOKUP($D133,'Modelling New'!D:D,'Modelling New'!N:N)</f>
        <v>10.507</v>
      </c>
      <c r="AC133" s="24">
        <f>IFERROR(_xlfn.XLOOKUP($D133,'Modelling New'!$D:$D,'Modelling New'!P:P),"")</f>
        <v>4.4467592536129033</v>
      </c>
      <c r="AD133" s="38">
        <f>IFERROR(_xlfn.XLOOKUP($D133,'Modelling New'!$D:$D,'Modelling New'!T:T)*1000,"")</f>
        <v>33012.256774973161</v>
      </c>
      <c r="AE133" s="164">
        <f t="shared" si="14"/>
        <v>0.70656621050862611</v>
      </c>
      <c r="AF133" s="164">
        <f>IFERROR(_xlfn.XLOOKUP($D133,'Modelling New'!$D:$D,'Modelling New'!W:W),"")</f>
        <v>0.13091374311955981</v>
      </c>
      <c r="AG133" s="164">
        <f>IFERROR(_xlfn.XLOOKUP($D133,'Modelling New'!$D:$D,'Modelling New'!AD:AD),"")</f>
        <v>0.995</v>
      </c>
      <c r="AH133" s="164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64"/>
      <c r="AO133" s="164"/>
      <c r="AP133" s="164"/>
      <c r="AQ133" s="164"/>
      <c r="AR133" s="38">
        <f>IFERROR(_xlfn.XLOOKUP($D133,'Modelling New'!$D:$D,'Modelling New'!$N:$N),"")</f>
        <v>10.507</v>
      </c>
      <c r="AS133" s="38"/>
      <c r="AT133" s="38" t="str">
        <f>IFERROR(_xlfn.XLOOKUP(Table13[[#This Row],[Date]],'Raw Data'!$G:$G,'Raw Data'!$AJ:$AJ),"")</f>
        <v/>
      </c>
      <c r="AU133" s="38">
        <f>IFERROR(_xlfn.XLOOKUP(Table13[[#This Row],[Month Year]],'Modelling New'!$D:$D,'Modelling New'!$AN:$AN),"")</f>
        <v>10</v>
      </c>
      <c r="AV133" s="38">
        <f>SUMIF('Curtailment records'!$C:$C,Table13[[#This Row],[Date]],'Curtailment records'!$R:$R)/1000</f>
        <v>0</v>
      </c>
    </row>
    <row r="134" spans="1:48">
      <c r="A134" s="66">
        <f t="shared" ref="A134:A197" si="15">A133+1</f>
        <v>45877</v>
      </c>
      <c r="B134" s="38">
        <f>YEAR(Table13[[#This Row],[Date]])+IF(MONTH(Table13[[#This Row],[Date]])&gt;=4,1,0)</f>
        <v>2026</v>
      </c>
      <c r="C134" s="17">
        <f>YEAR(Table13[[#This Row],[Date]])</f>
        <v>2025</v>
      </c>
      <c r="D134" s="37">
        <f>Table13[[#This Row],[Date]]-DAY(Table13[[#This Row],[Date]])+1</f>
        <v>45870</v>
      </c>
      <c r="E134" s="17">
        <f t="shared" ref="E134:E197" si="16">DAY(EOMONTH(A134,0))</f>
        <v>31</v>
      </c>
      <c r="F134" s="135" t="str" cm="1">
        <f t="array" ref="F134">IFERROR(_xlfn.XLOOKUP(Table13[[#This Row],[Date]],Raw_Data[[#All],[Date]],Raw_Data[[#All],[Operating Hours]]),"")</f>
        <v/>
      </c>
      <c r="G134" s="24" t="str">
        <f>IFERROR(_xlfn.XLOOKUP($A134,'Raw Data'!$G:$G,'Raw Data'!S:S)/1000,"")</f>
        <v/>
      </c>
      <c r="H134" s="24"/>
      <c r="I134" s="24" t="str">
        <f>IFERROR(_xlfn.XLOOKUP($A134,'Raw Data'!$G:$G,'Raw Data'!AF:AF)/1000,"")</f>
        <v/>
      </c>
      <c r="J134" s="24"/>
      <c r="K134" s="137" t="str">
        <f>IFERROR(_xlfn.XLOOKUP($A134,'Raw Data'!$G:$G,'Raw Data'!W:W),"")</f>
        <v/>
      </c>
      <c r="L134" s="136" t="str">
        <f>IFERROR(_xlfn.XLOOKUP($A134,'Raw Data'!$G:$G,'Raw Data'!X:X),"")</f>
        <v/>
      </c>
      <c r="M134" s="136" t="str">
        <f>IFERROR(_xlfn.XLOOKUP($A134,'Raw Data'!$G:$G,'Raw Data'!Y:Y),"")</f>
        <v/>
      </c>
      <c r="N134" s="136" t="str">
        <f>IFERROR(_xlfn.XLOOKUP($A134,'Raw Data'!$G:$G,'Raw Data'!Z:Z),"")</f>
        <v/>
      </c>
      <c r="O134" s="176" t="str">
        <f>IFERROR(1-SUMIF('Plant BD'!$B:$B,$A134,'Plant BD'!$AM:$AM)/($AA134+SUMIF('Plant BD'!$B:$B,$A134,'Plant BD'!$AM:$AM)),"")</f>
        <v/>
      </c>
      <c r="P134" s="176"/>
      <c r="Q134" s="177"/>
      <c r="R134" s="179" t="str">
        <f>IFERROR(1-SUMIF('Grid BD'!$B:$B,$A134,'Grid BD'!$AE:$AE)/($AA134+SUMIF('Grid BD'!$B:$B,$A134,'Grid BD'!$AE:$AE)),"")</f>
        <v/>
      </c>
      <c r="S134" s="17"/>
      <c r="T134" s="177" t="str">
        <f>IFERROR(1-SUMIF(Tracker_BD!H:H,$A134,Tracker_BD!AI:AI)/$F134,"")</f>
        <v/>
      </c>
      <c r="U134" s="178" t="str">
        <f t="shared" si="12"/>
        <v/>
      </c>
      <c r="V134" s="17"/>
      <c r="W134" s="164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38" t="str">
        <f>IFERROR(_xlfn.XLOOKUP($A134,'Raw Data'!$G:$G,'Raw Data'!AD:AD),"")</f>
        <v/>
      </c>
      <c r="AA134" s="38" t="str">
        <f>IFERROR(_xlfn.XLOOKUP($A134,'Raw Data'!$G:$G,'Raw Data'!AE:AE)*(1+(_xlfn.XLOOKUP(Table13[[#This Row],[Month Year]],JMR!$A:$A,JMR!$J:$J))),"")</f>
        <v/>
      </c>
      <c r="AB134" s="17">
        <f>_xlfn.XLOOKUP($D134,'Modelling New'!D:D,'Modelling New'!N:N)</f>
        <v>10.507</v>
      </c>
      <c r="AC134" s="24">
        <f>IFERROR(_xlfn.XLOOKUP($D134,'Modelling New'!$D:$D,'Modelling New'!P:P),"")</f>
        <v>4.4467592536129033</v>
      </c>
      <c r="AD134" s="38">
        <f>IFERROR(_xlfn.XLOOKUP($D134,'Modelling New'!$D:$D,'Modelling New'!T:T)*1000,"")</f>
        <v>33012.256774973161</v>
      </c>
      <c r="AE134" s="164">
        <f t="shared" si="14"/>
        <v>0.70656621050862611</v>
      </c>
      <c r="AF134" s="164">
        <f>IFERROR(_xlfn.XLOOKUP($D134,'Modelling New'!$D:$D,'Modelling New'!W:W),"")</f>
        <v>0.13091374311955981</v>
      </c>
      <c r="AG134" s="164">
        <f>IFERROR(_xlfn.XLOOKUP($D134,'Modelling New'!$D:$D,'Modelling New'!AD:AD),"")</f>
        <v>0.995</v>
      </c>
      <c r="AH134" s="164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64"/>
      <c r="AO134" s="164"/>
      <c r="AP134" s="164"/>
      <c r="AQ134" s="164"/>
      <c r="AR134" s="38">
        <f>IFERROR(_xlfn.XLOOKUP($D134,'Modelling New'!$D:$D,'Modelling New'!$N:$N),"")</f>
        <v>10.507</v>
      </c>
      <c r="AS134" s="38"/>
      <c r="AT134" s="38" t="str">
        <f>IFERROR(_xlfn.XLOOKUP(Table13[[#This Row],[Date]],'Raw Data'!$G:$G,'Raw Data'!$AJ:$AJ),"")</f>
        <v/>
      </c>
      <c r="AU134" s="38">
        <f>IFERROR(_xlfn.XLOOKUP(Table13[[#This Row],[Month Year]],'Modelling New'!$D:$D,'Modelling New'!$AN:$AN),"")</f>
        <v>10</v>
      </c>
      <c r="AV134" s="38">
        <f>SUMIF('Curtailment records'!$C:$C,Table13[[#This Row],[Date]],'Curtailment records'!$R:$R)/1000</f>
        <v>0</v>
      </c>
    </row>
    <row r="135" spans="1:48">
      <c r="A135" s="66">
        <f t="shared" si="15"/>
        <v>45878</v>
      </c>
      <c r="B135" s="38">
        <f>YEAR(Table13[[#This Row],[Date]])+IF(MONTH(Table13[[#This Row],[Date]])&gt;=4,1,0)</f>
        <v>2026</v>
      </c>
      <c r="C135" s="17">
        <f>YEAR(Table13[[#This Row],[Date]])</f>
        <v>2025</v>
      </c>
      <c r="D135" s="37">
        <f>Table13[[#This Row],[Date]]-DAY(Table13[[#This Row],[Date]])+1</f>
        <v>45870</v>
      </c>
      <c r="E135" s="17">
        <f t="shared" si="16"/>
        <v>31</v>
      </c>
      <c r="F135" s="135" t="str" cm="1">
        <f t="array" ref="F135">IFERROR(_xlfn.XLOOKUP(Table13[[#This Row],[Date]],Raw_Data[[#All],[Date]],Raw_Data[[#All],[Operating Hours]]),"")</f>
        <v/>
      </c>
      <c r="G135" s="136" t="str">
        <f>IFERROR(_xlfn.XLOOKUP($A135,'Raw Data'!$G:$G,'Raw Data'!S:S)/1000,"")</f>
        <v/>
      </c>
      <c r="H135" s="136"/>
      <c r="I135" s="136" t="str">
        <f>IFERROR(_xlfn.XLOOKUP($A135,'Raw Data'!$G:$G,'Raw Data'!AF:AF)/1000,"")</f>
        <v/>
      </c>
      <c r="J135" s="136"/>
      <c r="K135" s="137" t="str">
        <f>IFERROR(_xlfn.XLOOKUP($A135,'Raw Data'!$G:$G,'Raw Data'!W:W),"")</f>
        <v/>
      </c>
      <c r="L135" s="136" t="str">
        <f>IFERROR(_xlfn.XLOOKUP($A135,'Raw Data'!$G:$G,'Raw Data'!X:X),"")</f>
        <v/>
      </c>
      <c r="M135" s="136" t="str">
        <f>IFERROR(_xlfn.XLOOKUP($A135,'Raw Data'!$G:$G,'Raw Data'!Y:Y),"")</f>
        <v/>
      </c>
      <c r="N135" s="136" t="str">
        <f>IFERROR(_xlfn.XLOOKUP($A135,'Raw Data'!$G:$G,'Raw Data'!Z:Z),"")</f>
        <v/>
      </c>
      <c r="O135" s="176" t="str">
        <f>IFERROR(1-SUMIF('Plant BD'!$B:$B,$A135,'Plant BD'!$AM:$AM)/($AA135+SUMIF('Plant BD'!$B:$B,$A135,'Plant BD'!$AM:$AM)),"")</f>
        <v/>
      </c>
      <c r="P135" s="176"/>
      <c r="Q135" s="177"/>
      <c r="R135" s="176" t="str">
        <f>IFERROR(1-SUMIF('Grid BD'!$B:$B,$A135,'Grid BD'!$AE:$AE)/($AA135+SUMIF('Grid BD'!$B:$B,$A135,'Grid BD'!$AE:$AE)),"")</f>
        <v/>
      </c>
      <c r="S135" s="17"/>
      <c r="T135" s="177" t="str">
        <f>IFERROR(1-SUMIF(Tracker_BD!H:H,$A135,Tracker_BD!AI:AI)/$F135,"")</f>
        <v/>
      </c>
      <c r="U135" s="178" t="str">
        <f t="shared" si="12"/>
        <v/>
      </c>
      <c r="V135" s="17"/>
      <c r="W135" s="164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38" t="str">
        <f>IFERROR(_xlfn.XLOOKUP($A135,'Raw Data'!$G:$G,'Raw Data'!AD:AD),"")</f>
        <v/>
      </c>
      <c r="AA135" s="38" t="str">
        <f>IFERROR(_xlfn.XLOOKUP($A135,'Raw Data'!$G:$G,'Raw Data'!AE:AE)*(1+(_xlfn.XLOOKUP(Table13[[#This Row],[Month Year]],JMR!$A:$A,JMR!$J:$J))),"")</f>
        <v/>
      </c>
      <c r="AB135" s="17">
        <f>_xlfn.XLOOKUP($D135,'Modelling New'!D:D,'Modelling New'!N:N)</f>
        <v>10.507</v>
      </c>
      <c r="AC135" s="24">
        <f>IFERROR(_xlfn.XLOOKUP($D135,'Modelling New'!$D:$D,'Modelling New'!P:P),"")</f>
        <v>4.4467592536129033</v>
      </c>
      <c r="AD135" s="38">
        <f>IFERROR(_xlfn.XLOOKUP($D135,'Modelling New'!$D:$D,'Modelling New'!T:T)*1000,"")</f>
        <v>33012.256774973161</v>
      </c>
      <c r="AE135" s="164">
        <f t="shared" si="14"/>
        <v>0.70656621050862611</v>
      </c>
      <c r="AF135" s="164">
        <f>IFERROR(_xlfn.XLOOKUP($D135,'Modelling New'!$D:$D,'Modelling New'!W:W),"")</f>
        <v>0.13091374311955981</v>
      </c>
      <c r="AG135" s="164">
        <f>IFERROR(_xlfn.XLOOKUP($D135,'Modelling New'!$D:$D,'Modelling New'!AD:AD),"")</f>
        <v>0.995</v>
      </c>
      <c r="AH135" s="164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64"/>
      <c r="AO135" s="164"/>
      <c r="AP135" s="164"/>
      <c r="AQ135" s="164"/>
      <c r="AR135" s="38">
        <f>IFERROR(_xlfn.XLOOKUP($D135,'Modelling New'!$D:$D,'Modelling New'!$N:$N),"")</f>
        <v>10.507</v>
      </c>
      <c r="AS135" s="38"/>
      <c r="AT135" s="38" t="str">
        <f>IFERROR(_xlfn.XLOOKUP(Table13[[#This Row],[Date]],'Raw Data'!$G:$G,'Raw Data'!$AJ:$AJ),"")</f>
        <v/>
      </c>
      <c r="AU135" s="38">
        <f>IFERROR(_xlfn.XLOOKUP(Table13[[#This Row],[Month Year]],'Modelling New'!$D:$D,'Modelling New'!$AN:$AN),"")</f>
        <v>10</v>
      </c>
      <c r="AV135" s="38">
        <f>SUMIF('Curtailment records'!$C:$C,Table13[[#This Row],[Date]],'Curtailment records'!$R:$R)/1000</f>
        <v>0</v>
      </c>
    </row>
    <row r="136" spans="1:48">
      <c r="A136" s="66">
        <f t="shared" si="15"/>
        <v>45879</v>
      </c>
      <c r="B136" s="38">
        <f>YEAR(Table13[[#This Row],[Date]])+IF(MONTH(Table13[[#This Row],[Date]])&gt;=4,1,0)</f>
        <v>2026</v>
      </c>
      <c r="C136" s="17">
        <f>YEAR(Table13[[#This Row],[Date]])</f>
        <v>2025</v>
      </c>
      <c r="D136" s="37">
        <f>Table13[[#This Row],[Date]]-DAY(Table13[[#This Row],[Date]])+1</f>
        <v>45870</v>
      </c>
      <c r="E136" s="17">
        <f t="shared" si="16"/>
        <v>31</v>
      </c>
      <c r="F136" s="135" t="str" cm="1">
        <f t="array" ref="F136">IFERROR(_xlfn.XLOOKUP(Table13[[#This Row],[Date]],Raw_Data[[#All],[Date]],Raw_Data[[#All],[Operating Hours]]),"")</f>
        <v/>
      </c>
      <c r="G136" s="24" t="str">
        <f>IFERROR(_xlfn.XLOOKUP($A136,'Raw Data'!$G:$G,'Raw Data'!S:S)/1000,"")</f>
        <v/>
      </c>
      <c r="H136" s="24"/>
      <c r="I136" s="24" t="str">
        <f>IFERROR(_xlfn.XLOOKUP($A136,'Raw Data'!$G:$G,'Raw Data'!AF:AF)/1000,"")</f>
        <v/>
      </c>
      <c r="J136" s="24"/>
      <c r="K136" s="137" t="str">
        <f>IFERROR(_xlfn.XLOOKUP($A136,'Raw Data'!$G:$G,'Raw Data'!W:W),"")</f>
        <v/>
      </c>
      <c r="L136" s="136" t="str">
        <f>IFERROR(_xlfn.XLOOKUP($A136,'Raw Data'!$G:$G,'Raw Data'!X:X),"")</f>
        <v/>
      </c>
      <c r="M136" s="136" t="str">
        <f>IFERROR(_xlfn.XLOOKUP($A136,'Raw Data'!$G:$G,'Raw Data'!Y:Y),"")</f>
        <v/>
      </c>
      <c r="N136" s="136" t="str">
        <f>IFERROR(_xlfn.XLOOKUP($A136,'Raw Data'!$G:$G,'Raw Data'!Z:Z),"")</f>
        <v/>
      </c>
      <c r="O136" s="176" t="str">
        <f>IFERROR(1-SUMIF('Plant BD'!$B:$B,$A136,'Plant BD'!$AM:$AM)/($AA136+SUMIF('Plant BD'!$B:$B,$A136,'Plant BD'!$AM:$AM)),"")</f>
        <v/>
      </c>
      <c r="P136" s="176"/>
      <c r="Q136" s="177"/>
      <c r="R136" s="179" t="str">
        <f>IFERROR(1-SUMIF('Grid BD'!$B:$B,$A136,'Grid BD'!$AE:$AE)/($AA136+SUMIF('Grid BD'!$B:$B,$A136,'Grid BD'!$AE:$AE)),"")</f>
        <v/>
      </c>
      <c r="S136" s="17"/>
      <c r="T136" s="177" t="str">
        <f>IFERROR(1-SUMIF(Tracker_BD!H:H,$A136,Tracker_BD!AI:AI)/$F136,"")</f>
        <v/>
      </c>
      <c r="U136" s="178" t="str">
        <f t="shared" si="12"/>
        <v/>
      </c>
      <c r="V136" s="17"/>
      <c r="W136" s="164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38" t="str">
        <f>IFERROR(_xlfn.XLOOKUP($A136,'Raw Data'!$G:$G,'Raw Data'!AD:AD),"")</f>
        <v/>
      </c>
      <c r="AA136" s="38" t="str">
        <f>IFERROR(_xlfn.XLOOKUP($A136,'Raw Data'!$G:$G,'Raw Data'!AE:AE)*(1+(_xlfn.XLOOKUP(Table13[[#This Row],[Month Year]],JMR!$A:$A,JMR!$J:$J))),"")</f>
        <v/>
      </c>
      <c r="AB136" s="17">
        <f>_xlfn.XLOOKUP($D136,'Modelling New'!D:D,'Modelling New'!N:N)</f>
        <v>10.507</v>
      </c>
      <c r="AC136" s="24">
        <f>IFERROR(_xlfn.XLOOKUP($D136,'Modelling New'!$D:$D,'Modelling New'!P:P),"")</f>
        <v>4.4467592536129033</v>
      </c>
      <c r="AD136" s="38">
        <f>IFERROR(_xlfn.XLOOKUP($D136,'Modelling New'!$D:$D,'Modelling New'!T:T)*1000,"")</f>
        <v>33012.256774973161</v>
      </c>
      <c r="AE136" s="164">
        <f t="shared" si="14"/>
        <v>0.70656621050862611</v>
      </c>
      <c r="AF136" s="164">
        <f>IFERROR(_xlfn.XLOOKUP($D136,'Modelling New'!$D:$D,'Modelling New'!W:W),"")</f>
        <v>0.13091374311955981</v>
      </c>
      <c r="AG136" s="164">
        <f>IFERROR(_xlfn.XLOOKUP($D136,'Modelling New'!$D:$D,'Modelling New'!AD:AD),"")</f>
        <v>0.995</v>
      </c>
      <c r="AH136" s="164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64"/>
      <c r="AO136" s="164"/>
      <c r="AP136" s="164"/>
      <c r="AQ136" s="164"/>
      <c r="AR136" s="38">
        <f>IFERROR(_xlfn.XLOOKUP($D136,'Modelling New'!$D:$D,'Modelling New'!$N:$N),"")</f>
        <v>10.507</v>
      </c>
      <c r="AS136" s="38"/>
      <c r="AT136" s="38" t="str">
        <f>IFERROR(_xlfn.XLOOKUP(Table13[[#This Row],[Date]],'Raw Data'!$G:$G,'Raw Data'!$AJ:$AJ),"")</f>
        <v/>
      </c>
      <c r="AU136" s="38">
        <f>IFERROR(_xlfn.XLOOKUP(Table13[[#This Row],[Month Year]],'Modelling New'!$D:$D,'Modelling New'!$AN:$AN),"")</f>
        <v>10</v>
      </c>
      <c r="AV136" s="38">
        <f>SUMIF('Curtailment records'!$C:$C,Table13[[#This Row],[Date]],'Curtailment records'!$R:$R)/1000</f>
        <v>0</v>
      </c>
    </row>
    <row r="137" spans="1:48">
      <c r="A137" s="66">
        <f t="shared" si="15"/>
        <v>45880</v>
      </c>
      <c r="B137" s="38">
        <f>YEAR(Table13[[#This Row],[Date]])+IF(MONTH(Table13[[#This Row],[Date]])&gt;=4,1,0)</f>
        <v>2026</v>
      </c>
      <c r="C137" s="17">
        <f>YEAR(Table13[[#This Row],[Date]])</f>
        <v>2025</v>
      </c>
      <c r="D137" s="37">
        <f>Table13[[#This Row],[Date]]-DAY(Table13[[#This Row],[Date]])+1</f>
        <v>45870</v>
      </c>
      <c r="E137" s="17">
        <f t="shared" si="16"/>
        <v>31</v>
      </c>
      <c r="F137" s="135" t="str" cm="1">
        <f t="array" ref="F137">IFERROR(_xlfn.XLOOKUP(Table13[[#This Row],[Date]],Raw_Data[[#All],[Date]],Raw_Data[[#All],[Operating Hours]]),"")</f>
        <v/>
      </c>
      <c r="G137" s="136" t="str">
        <f>IFERROR(_xlfn.XLOOKUP($A137,'Raw Data'!$G:$G,'Raw Data'!S:S)/1000,"")</f>
        <v/>
      </c>
      <c r="H137" s="136"/>
      <c r="I137" s="136" t="str">
        <f>IFERROR(_xlfn.XLOOKUP($A137,'Raw Data'!$G:$G,'Raw Data'!AF:AF)/1000,"")</f>
        <v/>
      </c>
      <c r="J137" s="136"/>
      <c r="K137" s="137" t="str">
        <f>IFERROR(_xlfn.XLOOKUP($A137,'Raw Data'!$G:$G,'Raw Data'!W:W),"")</f>
        <v/>
      </c>
      <c r="L137" s="136" t="str">
        <f>IFERROR(_xlfn.XLOOKUP($A137,'Raw Data'!$G:$G,'Raw Data'!X:X),"")</f>
        <v/>
      </c>
      <c r="M137" s="136" t="str">
        <f>IFERROR(_xlfn.XLOOKUP($A137,'Raw Data'!$G:$G,'Raw Data'!Y:Y),"")</f>
        <v/>
      </c>
      <c r="N137" s="136" t="str">
        <f>IFERROR(_xlfn.XLOOKUP($A137,'Raw Data'!$G:$G,'Raw Data'!Z:Z),"")</f>
        <v/>
      </c>
      <c r="O137" s="176" t="str">
        <f>IFERROR(1-SUMIF('Plant BD'!$B:$B,$A137,'Plant BD'!$AM:$AM)/($AA137+SUMIF('Plant BD'!$B:$B,$A137,'Plant BD'!$AM:$AM)),"")</f>
        <v/>
      </c>
      <c r="P137" s="176"/>
      <c r="Q137" s="177"/>
      <c r="R137" s="176" t="str">
        <f>IFERROR(1-SUMIF('Grid BD'!$B:$B,$A137,'Grid BD'!$AE:$AE)/($AA137+SUMIF('Grid BD'!$B:$B,$A137,'Grid BD'!$AE:$AE)),"")</f>
        <v/>
      </c>
      <c r="S137" s="17"/>
      <c r="T137" s="177" t="str">
        <f>IFERROR(1-SUMIF(Tracker_BD!H:H,$A137,Tracker_BD!AI:AI)/$F137,"")</f>
        <v/>
      </c>
      <c r="U137" s="178" t="str">
        <f t="shared" si="12"/>
        <v/>
      </c>
      <c r="V137" s="17"/>
      <c r="W137" s="164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38" t="str">
        <f>IFERROR(_xlfn.XLOOKUP($A137,'Raw Data'!$G:$G,'Raw Data'!AD:AD),"")</f>
        <v/>
      </c>
      <c r="AA137" s="38" t="str">
        <f>IFERROR(_xlfn.XLOOKUP($A137,'Raw Data'!$G:$G,'Raw Data'!AE:AE)*(1+(_xlfn.XLOOKUP(Table13[[#This Row],[Month Year]],JMR!$A:$A,JMR!$J:$J))),"")</f>
        <v/>
      </c>
      <c r="AB137" s="17">
        <f>_xlfn.XLOOKUP($D137,'Modelling New'!D:D,'Modelling New'!N:N)</f>
        <v>10.507</v>
      </c>
      <c r="AC137" s="24">
        <f>IFERROR(_xlfn.XLOOKUP($D137,'Modelling New'!$D:$D,'Modelling New'!P:P),"")</f>
        <v>4.4467592536129033</v>
      </c>
      <c r="AD137" s="38">
        <f>IFERROR(_xlfn.XLOOKUP($D137,'Modelling New'!$D:$D,'Modelling New'!T:T)*1000,"")</f>
        <v>33012.256774973161</v>
      </c>
      <c r="AE137" s="164">
        <f t="shared" si="14"/>
        <v>0.70656621050862611</v>
      </c>
      <c r="AF137" s="164">
        <f>IFERROR(_xlfn.XLOOKUP($D137,'Modelling New'!$D:$D,'Modelling New'!W:W),"")</f>
        <v>0.13091374311955981</v>
      </c>
      <c r="AG137" s="164">
        <f>IFERROR(_xlfn.XLOOKUP($D137,'Modelling New'!$D:$D,'Modelling New'!AD:AD),"")</f>
        <v>0.995</v>
      </c>
      <c r="AH137" s="164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64"/>
      <c r="AO137" s="164"/>
      <c r="AP137" s="164"/>
      <c r="AQ137" s="164"/>
      <c r="AR137" s="38">
        <f>IFERROR(_xlfn.XLOOKUP($D137,'Modelling New'!$D:$D,'Modelling New'!$N:$N),"")</f>
        <v>10.507</v>
      </c>
      <c r="AS137" s="38"/>
      <c r="AT137" s="38" t="str">
        <f>IFERROR(_xlfn.XLOOKUP(Table13[[#This Row],[Date]],'Raw Data'!$G:$G,'Raw Data'!$AJ:$AJ),"")</f>
        <v/>
      </c>
      <c r="AU137" s="38">
        <f>IFERROR(_xlfn.XLOOKUP(Table13[[#This Row],[Month Year]],'Modelling New'!$D:$D,'Modelling New'!$AN:$AN),"")</f>
        <v>10</v>
      </c>
      <c r="AV137" s="38">
        <f>SUMIF('Curtailment records'!$C:$C,Table13[[#This Row],[Date]],'Curtailment records'!$R:$R)/1000</f>
        <v>0</v>
      </c>
    </row>
    <row r="138" spans="1:48">
      <c r="A138" s="66">
        <f t="shared" si="15"/>
        <v>45881</v>
      </c>
      <c r="B138" s="38">
        <f>YEAR(Table13[[#This Row],[Date]])+IF(MONTH(Table13[[#This Row],[Date]])&gt;=4,1,0)</f>
        <v>2026</v>
      </c>
      <c r="C138" s="17">
        <f>YEAR(Table13[[#This Row],[Date]])</f>
        <v>2025</v>
      </c>
      <c r="D138" s="37">
        <f>Table13[[#This Row],[Date]]-DAY(Table13[[#This Row],[Date]])+1</f>
        <v>45870</v>
      </c>
      <c r="E138" s="17">
        <f t="shared" si="16"/>
        <v>31</v>
      </c>
      <c r="F138" s="135" t="str" cm="1">
        <f t="array" ref="F138">IFERROR(_xlfn.XLOOKUP(Table13[[#This Row],[Date]],Raw_Data[[#All],[Date]],Raw_Data[[#All],[Operating Hours]]),"")</f>
        <v/>
      </c>
      <c r="G138" s="24" t="str">
        <f>IFERROR(_xlfn.XLOOKUP($A138,'Raw Data'!$G:$G,'Raw Data'!S:S)/1000,"")</f>
        <v/>
      </c>
      <c r="H138" s="24"/>
      <c r="I138" s="24" t="str">
        <f>IFERROR(_xlfn.XLOOKUP($A138,'Raw Data'!$G:$G,'Raw Data'!AF:AF)/1000,"")</f>
        <v/>
      </c>
      <c r="J138" s="24"/>
      <c r="K138" s="137" t="str">
        <f>IFERROR(_xlfn.XLOOKUP($A138,'Raw Data'!$G:$G,'Raw Data'!W:W),"")</f>
        <v/>
      </c>
      <c r="L138" s="136" t="str">
        <f>IFERROR(_xlfn.XLOOKUP($A138,'Raw Data'!$G:$G,'Raw Data'!X:X),"")</f>
        <v/>
      </c>
      <c r="M138" s="136" t="str">
        <f>IFERROR(_xlfn.XLOOKUP($A138,'Raw Data'!$G:$G,'Raw Data'!Y:Y),"")</f>
        <v/>
      </c>
      <c r="N138" s="136" t="str">
        <f>IFERROR(_xlfn.XLOOKUP($A138,'Raw Data'!$G:$G,'Raw Data'!Z:Z),"")</f>
        <v/>
      </c>
      <c r="O138" s="176" t="str">
        <f>IFERROR(1-SUMIF('Plant BD'!$B:$B,$A138,'Plant BD'!$AM:$AM)/($AA138+SUMIF('Plant BD'!$B:$B,$A138,'Plant BD'!$AM:$AM)),"")</f>
        <v/>
      </c>
      <c r="P138" s="176"/>
      <c r="Q138" s="177"/>
      <c r="R138" s="179" t="str">
        <f>IFERROR(1-SUMIF('Grid BD'!$B:$B,$A138,'Grid BD'!$AE:$AE)/($AA138+SUMIF('Grid BD'!$B:$B,$A138,'Grid BD'!$AE:$AE)),"")</f>
        <v/>
      </c>
      <c r="S138" s="17"/>
      <c r="T138" s="177" t="str">
        <f>IFERROR(1-SUMIF(Tracker_BD!H:H,$A138,Tracker_BD!AI:AI)/$F138,"")</f>
        <v/>
      </c>
      <c r="U138" s="178" t="str">
        <f t="shared" si="12"/>
        <v/>
      </c>
      <c r="V138" s="17"/>
      <c r="W138" s="164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38" t="str">
        <f>IFERROR(_xlfn.XLOOKUP($A138,'Raw Data'!$G:$G,'Raw Data'!AD:AD),"")</f>
        <v/>
      </c>
      <c r="AA138" s="38" t="str">
        <f>IFERROR(_xlfn.XLOOKUP($A138,'Raw Data'!$G:$G,'Raw Data'!AE:AE)*(1+(_xlfn.XLOOKUP(Table13[[#This Row],[Month Year]],JMR!$A:$A,JMR!$J:$J))),"")</f>
        <v/>
      </c>
      <c r="AB138" s="17">
        <f>_xlfn.XLOOKUP($D138,'Modelling New'!D:D,'Modelling New'!N:N)</f>
        <v>10.507</v>
      </c>
      <c r="AC138" s="24">
        <f>IFERROR(_xlfn.XLOOKUP($D138,'Modelling New'!$D:$D,'Modelling New'!P:P),"")</f>
        <v>4.4467592536129033</v>
      </c>
      <c r="AD138" s="38">
        <f>IFERROR(_xlfn.XLOOKUP($D138,'Modelling New'!$D:$D,'Modelling New'!T:T)*1000,"")</f>
        <v>33012.256774973161</v>
      </c>
      <c r="AE138" s="164">
        <f t="shared" si="14"/>
        <v>0.70656621050862611</v>
      </c>
      <c r="AF138" s="164">
        <f>IFERROR(_xlfn.XLOOKUP($D138,'Modelling New'!$D:$D,'Modelling New'!W:W),"")</f>
        <v>0.13091374311955981</v>
      </c>
      <c r="AG138" s="164">
        <f>IFERROR(_xlfn.XLOOKUP($D138,'Modelling New'!$D:$D,'Modelling New'!AD:AD),"")</f>
        <v>0.995</v>
      </c>
      <c r="AH138" s="164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64"/>
      <c r="AO138" s="164"/>
      <c r="AP138" s="164"/>
      <c r="AQ138" s="164"/>
      <c r="AR138" s="38">
        <f>IFERROR(_xlfn.XLOOKUP($D138,'Modelling New'!$D:$D,'Modelling New'!$N:$N),"")</f>
        <v>10.507</v>
      </c>
      <c r="AS138" s="38"/>
      <c r="AT138" s="38" t="str">
        <f>IFERROR(_xlfn.XLOOKUP(Table13[[#This Row],[Date]],'Raw Data'!$G:$G,'Raw Data'!$AJ:$AJ),"")</f>
        <v/>
      </c>
      <c r="AU138" s="38">
        <f>IFERROR(_xlfn.XLOOKUP(Table13[[#This Row],[Month Year]],'Modelling New'!$D:$D,'Modelling New'!$AN:$AN),"")</f>
        <v>10</v>
      </c>
      <c r="AV138" s="38">
        <f>SUMIF('Curtailment records'!$C:$C,Table13[[#This Row],[Date]],'Curtailment records'!$R:$R)/1000</f>
        <v>0</v>
      </c>
    </row>
    <row r="139" spans="1:48">
      <c r="A139" s="66">
        <f t="shared" si="15"/>
        <v>45882</v>
      </c>
      <c r="B139" s="38">
        <f>YEAR(Table13[[#This Row],[Date]])+IF(MONTH(Table13[[#This Row],[Date]])&gt;=4,1,0)</f>
        <v>2026</v>
      </c>
      <c r="C139" s="17">
        <f>YEAR(Table13[[#This Row],[Date]])</f>
        <v>2025</v>
      </c>
      <c r="D139" s="37">
        <f>Table13[[#This Row],[Date]]-DAY(Table13[[#This Row],[Date]])+1</f>
        <v>45870</v>
      </c>
      <c r="E139" s="17">
        <f t="shared" si="16"/>
        <v>31</v>
      </c>
      <c r="F139" s="135" t="str" cm="1">
        <f t="array" ref="F139">IFERROR(_xlfn.XLOOKUP(Table13[[#This Row],[Date]],Raw_Data[[#All],[Date]],Raw_Data[[#All],[Operating Hours]]),"")</f>
        <v/>
      </c>
      <c r="G139" s="136" t="str">
        <f>IFERROR(_xlfn.XLOOKUP($A139,'Raw Data'!$G:$G,'Raw Data'!S:S)/1000,"")</f>
        <v/>
      </c>
      <c r="H139" s="136"/>
      <c r="I139" s="136" t="str">
        <f>IFERROR(_xlfn.XLOOKUP($A139,'Raw Data'!$G:$G,'Raw Data'!AF:AF)/1000,"")</f>
        <v/>
      </c>
      <c r="J139" s="136"/>
      <c r="K139" s="137" t="str">
        <f>IFERROR(_xlfn.XLOOKUP($A139,'Raw Data'!$G:$G,'Raw Data'!W:W),"")</f>
        <v/>
      </c>
      <c r="L139" s="136" t="str">
        <f>IFERROR(_xlfn.XLOOKUP($A139,'Raw Data'!$G:$G,'Raw Data'!X:X),"")</f>
        <v/>
      </c>
      <c r="M139" s="136" t="str">
        <f>IFERROR(_xlfn.XLOOKUP($A139,'Raw Data'!$G:$G,'Raw Data'!Y:Y),"")</f>
        <v/>
      </c>
      <c r="N139" s="136" t="str">
        <f>IFERROR(_xlfn.XLOOKUP($A139,'Raw Data'!$G:$G,'Raw Data'!Z:Z),"")</f>
        <v/>
      </c>
      <c r="O139" s="176" t="str">
        <f>IFERROR(1-SUMIF('Plant BD'!$B:$B,$A139,'Plant BD'!$AM:$AM)/($AA139+SUMIF('Plant BD'!$B:$B,$A139,'Plant BD'!$AM:$AM)),"")</f>
        <v/>
      </c>
      <c r="P139" s="176"/>
      <c r="Q139" s="177"/>
      <c r="R139" s="176" t="str">
        <f>IFERROR(1-SUMIF('Grid BD'!$B:$B,$A139,'Grid BD'!$AE:$AE)/($AA139+SUMIF('Grid BD'!$B:$B,$A139,'Grid BD'!$AE:$AE)),"")</f>
        <v/>
      </c>
      <c r="S139" s="17"/>
      <c r="T139" s="177" t="str">
        <f>IFERROR(1-SUMIF(Tracker_BD!H:H,$A139,Tracker_BD!AI:AI)/$F139,"")</f>
        <v/>
      </c>
      <c r="U139" s="178" t="str">
        <f t="shared" si="12"/>
        <v/>
      </c>
      <c r="V139" s="17"/>
      <c r="W139" s="164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38" t="str">
        <f>IFERROR(_xlfn.XLOOKUP($A139,'Raw Data'!$G:$G,'Raw Data'!AD:AD),"")</f>
        <v/>
      </c>
      <c r="AA139" s="38" t="str">
        <f>IFERROR(_xlfn.XLOOKUP($A139,'Raw Data'!$G:$G,'Raw Data'!AE:AE)*(1+(_xlfn.XLOOKUP(Table13[[#This Row],[Month Year]],JMR!$A:$A,JMR!$J:$J))),"")</f>
        <v/>
      </c>
      <c r="AB139" s="17">
        <f>_xlfn.XLOOKUP($D139,'Modelling New'!D:D,'Modelling New'!N:N)</f>
        <v>10.507</v>
      </c>
      <c r="AC139" s="24">
        <f>IFERROR(_xlfn.XLOOKUP($D139,'Modelling New'!$D:$D,'Modelling New'!P:P),"")</f>
        <v>4.4467592536129033</v>
      </c>
      <c r="AD139" s="38">
        <f>IFERROR(_xlfn.XLOOKUP($D139,'Modelling New'!$D:$D,'Modelling New'!T:T)*1000,"")</f>
        <v>33012.256774973161</v>
      </c>
      <c r="AE139" s="164">
        <f t="shared" si="14"/>
        <v>0.70656621050862611</v>
      </c>
      <c r="AF139" s="164">
        <f>IFERROR(_xlfn.XLOOKUP($D139,'Modelling New'!$D:$D,'Modelling New'!W:W),"")</f>
        <v>0.13091374311955981</v>
      </c>
      <c r="AG139" s="164">
        <f>IFERROR(_xlfn.XLOOKUP($D139,'Modelling New'!$D:$D,'Modelling New'!AD:AD),"")</f>
        <v>0.995</v>
      </c>
      <c r="AH139" s="164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64"/>
      <c r="AO139" s="164"/>
      <c r="AP139" s="164"/>
      <c r="AQ139" s="164"/>
      <c r="AR139" s="38">
        <f>IFERROR(_xlfn.XLOOKUP($D139,'Modelling New'!$D:$D,'Modelling New'!$N:$N),"")</f>
        <v>10.507</v>
      </c>
      <c r="AS139" s="38"/>
      <c r="AT139" s="38" t="str">
        <f>IFERROR(_xlfn.XLOOKUP(Table13[[#This Row],[Date]],'Raw Data'!$G:$G,'Raw Data'!$AJ:$AJ),"")</f>
        <v/>
      </c>
      <c r="AU139" s="38">
        <f>IFERROR(_xlfn.XLOOKUP(Table13[[#This Row],[Month Year]],'Modelling New'!$D:$D,'Modelling New'!$AN:$AN),"")</f>
        <v>10</v>
      </c>
      <c r="AV139" s="38">
        <f>SUMIF('Curtailment records'!$C:$C,Table13[[#This Row],[Date]],'Curtailment records'!$R:$R)/1000</f>
        <v>0</v>
      </c>
    </row>
    <row r="140" spans="1:48">
      <c r="A140" s="66">
        <f t="shared" si="15"/>
        <v>45883</v>
      </c>
      <c r="B140" s="38">
        <f>YEAR(Table13[[#This Row],[Date]])+IF(MONTH(Table13[[#This Row],[Date]])&gt;=4,1,0)</f>
        <v>2026</v>
      </c>
      <c r="C140" s="17">
        <f>YEAR(Table13[[#This Row],[Date]])</f>
        <v>2025</v>
      </c>
      <c r="D140" s="37">
        <f>Table13[[#This Row],[Date]]-DAY(Table13[[#This Row],[Date]])+1</f>
        <v>45870</v>
      </c>
      <c r="E140" s="17">
        <f t="shared" si="16"/>
        <v>31</v>
      </c>
      <c r="F140" s="135" t="str" cm="1">
        <f t="array" ref="F140">IFERROR(_xlfn.XLOOKUP(Table13[[#This Row],[Date]],Raw_Data[[#All],[Date]],Raw_Data[[#All],[Operating Hours]]),"")</f>
        <v/>
      </c>
      <c r="G140" s="24" t="str">
        <f>IFERROR(_xlfn.XLOOKUP($A140,'Raw Data'!$G:$G,'Raw Data'!S:S)/1000,"")</f>
        <v/>
      </c>
      <c r="H140" s="24"/>
      <c r="I140" s="24" t="str">
        <f>IFERROR(_xlfn.XLOOKUP($A140,'Raw Data'!$G:$G,'Raw Data'!AF:AF)/1000,"")</f>
        <v/>
      </c>
      <c r="J140" s="24"/>
      <c r="K140" s="137" t="str">
        <f>IFERROR(_xlfn.XLOOKUP($A140,'Raw Data'!$G:$G,'Raw Data'!W:W),"")</f>
        <v/>
      </c>
      <c r="L140" s="136" t="str">
        <f>IFERROR(_xlfn.XLOOKUP($A140,'Raw Data'!$G:$G,'Raw Data'!X:X),"")</f>
        <v/>
      </c>
      <c r="M140" s="136" t="str">
        <f>IFERROR(_xlfn.XLOOKUP($A140,'Raw Data'!$G:$G,'Raw Data'!Y:Y),"")</f>
        <v/>
      </c>
      <c r="N140" s="136" t="str">
        <f>IFERROR(_xlfn.XLOOKUP($A140,'Raw Data'!$G:$G,'Raw Data'!Z:Z),"")</f>
        <v/>
      </c>
      <c r="O140" s="176" t="str">
        <f>IFERROR(1-SUMIF('Plant BD'!$B:$B,$A140,'Plant BD'!$AM:$AM)/($AA140+SUMIF('Plant BD'!$B:$B,$A140,'Plant BD'!$AM:$AM)),"")</f>
        <v/>
      </c>
      <c r="P140" s="176"/>
      <c r="Q140" s="177"/>
      <c r="R140" s="179" t="str">
        <f>IFERROR(1-SUMIF('Grid BD'!$B:$B,$A140,'Grid BD'!$AE:$AE)/($AA140+SUMIF('Grid BD'!$B:$B,$A140,'Grid BD'!$AE:$AE)),"")</f>
        <v/>
      </c>
      <c r="S140" s="17"/>
      <c r="T140" s="177" t="str">
        <f>IFERROR(1-SUMIF(Tracker_BD!H:H,$A140,Tracker_BD!AI:AI)/$F140,"")</f>
        <v/>
      </c>
      <c r="U140" s="178" t="str">
        <f t="shared" si="12"/>
        <v/>
      </c>
      <c r="V140" s="17"/>
      <c r="W140" s="164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38" t="str">
        <f>IFERROR(_xlfn.XLOOKUP($A140,'Raw Data'!$G:$G,'Raw Data'!AD:AD),"")</f>
        <v/>
      </c>
      <c r="AA140" s="38" t="str">
        <f>IFERROR(_xlfn.XLOOKUP($A140,'Raw Data'!$G:$G,'Raw Data'!AE:AE)*(1+(_xlfn.XLOOKUP(Table13[[#This Row],[Month Year]],JMR!$A:$A,JMR!$J:$J))),"")</f>
        <v/>
      </c>
      <c r="AB140" s="17">
        <f>_xlfn.XLOOKUP($D140,'Modelling New'!D:D,'Modelling New'!N:N)</f>
        <v>10.507</v>
      </c>
      <c r="AC140" s="24">
        <f>IFERROR(_xlfn.XLOOKUP($D140,'Modelling New'!$D:$D,'Modelling New'!P:P),"")</f>
        <v>4.4467592536129033</v>
      </c>
      <c r="AD140" s="38">
        <f>IFERROR(_xlfn.XLOOKUP($D140,'Modelling New'!$D:$D,'Modelling New'!T:T)*1000,"")</f>
        <v>33012.256774973161</v>
      </c>
      <c r="AE140" s="164">
        <f t="shared" si="14"/>
        <v>0.70656621050862611</v>
      </c>
      <c r="AF140" s="164">
        <f>IFERROR(_xlfn.XLOOKUP($D140,'Modelling New'!$D:$D,'Modelling New'!W:W),"")</f>
        <v>0.13091374311955981</v>
      </c>
      <c r="AG140" s="164">
        <f>IFERROR(_xlfn.XLOOKUP($D140,'Modelling New'!$D:$D,'Modelling New'!AD:AD),"")</f>
        <v>0.995</v>
      </c>
      <c r="AH140" s="164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64"/>
      <c r="AO140" s="164"/>
      <c r="AP140" s="164"/>
      <c r="AQ140" s="164"/>
      <c r="AR140" s="38">
        <f>IFERROR(_xlfn.XLOOKUP($D140,'Modelling New'!$D:$D,'Modelling New'!$N:$N),"")</f>
        <v>10.507</v>
      </c>
      <c r="AS140" s="38"/>
      <c r="AT140" s="38" t="str">
        <f>IFERROR(_xlfn.XLOOKUP(Table13[[#This Row],[Date]],'Raw Data'!$G:$G,'Raw Data'!$AJ:$AJ),"")</f>
        <v/>
      </c>
      <c r="AU140" s="38">
        <f>IFERROR(_xlfn.XLOOKUP(Table13[[#This Row],[Month Year]],'Modelling New'!$D:$D,'Modelling New'!$AN:$AN),"")</f>
        <v>10</v>
      </c>
      <c r="AV140" s="38">
        <f>SUMIF('Curtailment records'!$C:$C,Table13[[#This Row],[Date]],'Curtailment records'!$R:$R)/1000</f>
        <v>0</v>
      </c>
    </row>
    <row r="141" spans="1:48">
      <c r="A141" s="66">
        <f t="shared" si="15"/>
        <v>45884</v>
      </c>
      <c r="B141" s="38">
        <f>YEAR(Table13[[#This Row],[Date]])+IF(MONTH(Table13[[#This Row],[Date]])&gt;=4,1,0)</f>
        <v>2026</v>
      </c>
      <c r="C141" s="17">
        <f>YEAR(Table13[[#This Row],[Date]])</f>
        <v>2025</v>
      </c>
      <c r="D141" s="37">
        <f>Table13[[#This Row],[Date]]-DAY(Table13[[#This Row],[Date]])+1</f>
        <v>45870</v>
      </c>
      <c r="E141" s="17">
        <f t="shared" si="16"/>
        <v>31</v>
      </c>
      <c r="F141" s="135" t="str" cm="1">
        <f t="array" ref="F141">IFERROR(_xlfn.XLOOKUP(Table13[[#This Row],[Date]],Raw_Data[[#All],[Date]],Raw_Data[[#All],[Operating Hours]]),"")</f>
        <v/>
      </c>
      <c r="G141" s="136" t="str">
        <f>IFERROR(_xlfn.XLOOKUP($A141,'Raw Data'!$G:$G,'Raw Data'!S:S)/1000,"")</f>
        <v/>
      </c>
      <c r="H141" s="136"/>
      <c r="I141" s="136" t="str">
        <f>IFERROR(_xlfn.XLOOKUP($A141,'Raw Data'!$G:$G,'Raw Data'!AF:AF)/1000,"")</f>
        <v/>
      </c>
      <c r="J141" s="136"/>
      <c r="K141" s="137" t="str">
        <f>IFERROR(_xlfn.XLOOKUP($A141,'Raw Data'!$G:$G,'Raw Data'!W:W),"")</f>
        <v/>
      </c>
      <c r="L141" s="136" t="str">
        <f>IFERROR(_xlfn.XLOOKUP($A141,'Raw Data'!$G:$G,'Raw Data'!X:X),"")</f>
        <v/>
      </c>
      <c r="M141" s="136" t="str">
        <f>IFERROR(_xlfn.XLOOKUP($A141,'Raw Data'!$G:$G,'Raw Data'!Y:Y),"")</f>
        <v/>
      </c>
      <c r="N141" s="136" t="str">
        <f>IFERROR(_xlfn.XLOOKUP($A141,'Raw Data'!$G:$G,'Raw Data'!Z:Z),"")</f>
        <v/>
      </c>
      <c r="O141" s="176" t="str">
        <f>IFERROR(1-SUMIF('Plant BD'!$B:$B,$A141,'Plant BD'!$AM:$AM)/($AA141+SUMIF('Plant BD'!$B:$B,$A141,'Plant BD'!$AM:$AM)),"")</f>
        <v/>
      </c>
      <c r="P141" s="176"/>
      <c r="Q141" s="177"/>
      <c r="R141" s="176" t="str">
        <f>IFERROR(1-SUMIF('Grid BD'!$B:$B,$A141,'Grid BD'!$AE:$AE)/($AA141+SUMIF('Grid BD'!$B:$B,$A141,'Grid BD'!$AE:$AE)),"")</f>
        <v/>
      </c>
      <c r="S141" s="17"/>
      <c r="T141" s="177" t="str">
        <f>IFERROR(1-SUMIF(Tracker_BD!H:H,$A141,Tracker_BD!AI:AI)/$F141,"")</f>
        <v/>
      </c>
      <c r="U141" s="178" t="str">
        <f t="shared" si="12"/>
        <v/>
      </c>
      <c r="V141" s="17"/>
      <c r="W141" s="164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38" t="str">
        <f>IFERROR(_xlfn.XLOOKUP($A141,'Raw Data'!$G:$G,'Raw Data'!AD:AD),"")</f>
        <v/>
      </c>
      <c r="AA141" s="38" t="str">
        <f>IFERROR(_xlfn.XLOOKUP($A141,'Raw Data'!$G:$G,'Raw Data'!AE:AE)*(1+(_xlfn.XLOOKUP(Table13[[#This Row],[Month Year]],JMR!$A:$A,JMR!$J:$J))),"")</f>
        <v/>
      </c>
      <c r="AB141" s="17">
        <f>_xlfn.XLOOKUP($D141,'Modelling New'!D:D,'Modelling New'!N:N)</f>
        <v>10.507</v>
      </c>
      <c r="AC141" s="24">
        <f>IFERROR(_xlfn.XLOOKUP($D141,'Modelling New'!$D:$D,'Modelling New'!P:P),"")</f>
        <v>4.4467592536129033</v>
      </c>
      <c r="AD141" s="38">
        <f>IFERROR(_xlfn.XLOOKUP($D141,'Modelling New'!$D:$D,'Modelling New'!T:T)*1000,"")</f>
        <v>33012.256774973161</v>
      </c>
      <c r="AE141" s="164">
        <f t="shared" si="14"/>
        <v>0.70656621050862611</v>
      </c>
      <c r="AF141" s="164">
        <f>IFERROR(_xlfn.XLOOKUP($D141,'Modelling New'!$D:$D,'Modelling New'!W:W),"")</f>
        <v>0.13091374311955981</v>
      </c>
      <c r="AG141" s="164">
        <f>IFERROR(_xlfn.XLOOKUP($D141,'Modelling New'!$D:$D,'Modelling New'!AD:AD),"")</f>
        <v>0.995</v>
      </c>
      <c r="AH141" s="164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64"/>
      <c r="AO141" s="164"/>
      <c r="AP141" s="164"/>
      <c r="AQ141" s="164"/>
      <c r="AR141" s="38">
        <f>IFERROR(_xlfn.XLOOKUP($D141,'Modelling New'!$D:$D,'Modelling New'!$N:$N),"")</f>
        <v>10.507</v>
      </c>
      <c r="AS141" s="38"/>
      <c r="AT141" s="38" t="str">
        <f>IFERROR(_xlfn.XLOOKUP(Table13[[#This Row],[Date]],'Raw Data'!$G:$G,'Raw Data'!$AJ:$AJ),"")</f>
        <v/>
      </c>
      <c r="AU141" s="38">
        <f>IFERROR(_xlfn.XLOOKUP(Table13[[#This Row],[Month Year]],'Modelling New'!$D:$D,'Modelling New'!$AN:$AN),"")</f>
        <v>10</v>
      </c>
      <c r="AV141" s="38">
        <f>SUMIF('Curtailment records'!$C:$C,Table13[[#This Row],[Date]],'Curtailment records'!$R:$R)/1000</f>
        <v>0</v>
      </c>
    </row>
    <row r="142" spans="1:48">
      <c r="A142" s="66">
        <f t="shared" si="15"/>
        <v>45885</v>
      </c>
      <c r="B142" s="38">
        <f>YEAR(Table13[[#This Row],[Date]])+IF(MONTH(Table13[[#This Row],[Date]])&gt;=4,1,0)</f>
        <v>2026</v>
      </c>
      <c r="C142" s="17">
        <f>YEAR(Table13[[#This Row],[Date]])</f>
        <v>2025</v>
      </c>
      <c r="D142" s="37">
        <f>Table13[[#This Row],[Date]]-DAY(Table13[[#This Row],[Date]])+1</f>
        <v>45870</v>
      </c>
      <c r="E142" s="17">
        <f t="shared" si="16"/>
        <v>31</v>
      </c>
      <c r="F142" s="135" t="str" cm="1">
        <f t="array" ref="F142">IFERROR(_xlfn.XLOOKUP(Table13[[#This Row],[Date]],Raw_Data[[#All],[Date]],Raw_Data[[#All],[Operating Hours]]),"")</f>
        <v/>
      </c>
      <c r="G142" s="24" t="str">
        <f>IFERROR(_xlfn.XLOOKUP($A142,'Raw Data'!$G:$G,'Raw Data'!S:S)/1000,"")</f>
        <v/>
      </c>
      <c r="H142" s="24"/>
      <c r="I142" s="24" t="str">
        <f>IFERROR(_xlfn.XLOOKUP($A142,'Raw Data'!$G:$G,'Raw Data'!AF:AF)/1000,"")</f>
        <v/>
      </c>
      <c r="J142" s="24"/>
      <c r="K142" s="137" t="str">
        <f>IFERROR(_xlfn.XLOOKUP($A142,'Raw Data'!$G:$G,'Raw Data'!W:W),"")</f>
        <v/>
      </c>
      <c r="L142" s="136" t="str">
        <f>IFERROR(_xlfn.XLOOKUP($A142,'Raw Data'!$G:$G,'Raw Data'!X:X),"")</f>
        <v/>
      </c>
      <c r="M142" s="136" t="str">
        <f>IFERROR(_xlfn.XLOOKUP($A142,'Raw Data'!$G:$G,'Raw Data'!Y:Y),"")</f>
        <v/>
      </c>
      <c r="N142" s="136" t="str">
        <f>IFERROR(_xlfn.XLOOKUP($A142,'Raw Data'!$G:$G,'Raw Data'!Z:Z),"")</f>
        <v/>
      </c>
      <c r="O142" s="176" t="str">
        <f>IFERROR(1-SUMIF('Plant BD'!$B:$B,$A142,'Plant BD'!$AM:$AM)/($AA142+SUMIF('Plant BD'!$B:$B,$A142,'Plant BD'!$AM:$AM)),"")</f>
        <v/>
      </c>
      <c r="P142" s="176"/>
      <c r="Q142" s="177"/>
      <c r="R142" s="179" t="str">
        <f>IFERROR(1-SUMIF('Grid BD'!$B:$B,$A142,'Grid BD'!$AE:$AE)/($AA142+SUMIF('Grid BD'!$B:$B,$A142,'Grid BD'!$AE:$AE)),"")</f>
        <v/>
      </c>
      <c r="S142" s="17"/>
      <c r="T142" s="177" t="str">
        <f>IFERROR(1-SUMIF(Tracker_BD!H:H,$A142,Tracker_BD!AI:AI)/$F142,"")</f>
        <v/>
      </c>
      <c r="U142" s="178" t="str">
        <f t="shared" si="12"/>
        <v/>
      </c>
      <c r="V142" s="17"/>
      <c r="W142" s="164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38" t="str">
        <f>IFERROR(_xlfn.XLOOKUP($A142,'Raw Data'!$G:$G,'Raw Data'!AD:AD),"")</f>
        <v/>
      </c>
      <c r="AA142" s="38" t="str">
        <f>IFERROR(_xlfn.XLOOKUP($A142,'Raw Data'!$G:$G,'Raw Data'!AE:AE)*(1+(_xlfn.XLOOKUP(Table13[[#This Row],[Month Year]],JMR!$A:$A,JMR!$J:$J))),"")</f>
        <v/>
      </c>
      <c r="AB142" s="17">
        <f>_xlfn.XLOOKUP($D142,'Modelling New'!D:D,'Modelling New'!N:N)</f>
        <v>10.507</v>
      </c>
      <c r="AC142" s="24">
        <f>IFERROR(_xlfn.XLOOKUP($D142,'Modelling New'!$D:$D,'Modelling New'!P:P),"")</f>
        <v>4.4467592536129033</v>
      </c>
      <c r="AD142" s="38">
        <f>IFERROR(_xlfn.XLOOKUP($D142,'Modelling New'!$D:$D,'Modelling New'!T:T)*1000,"")</f>
        <v>33012.256774973161</v>
      </c>
      <c r="AE142" s="164">
        <f t="shared" si="14"/>
        <v>0.70656621050862611</v>
      </c>
      <c r="AF142" s="164">
        <f>IFERROR(_xlfn.XLOOKUP($D142,'Modelling New'!$D:$D,'Modelling New'!W:W),"")</f>
        <v>0.13091374311955981</v>
      </c>
      <c r="AG142" s="164">
        <f>IFERROR(_xlfn.XLOOKUP($D142,'Modelling New'!$D:$D,'Modelling New'!AD:AD),"")</f>
        <v>0.995</v>
      </c>
      <c r="AH142" s="164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64"/>
      <c r="AO142" s="164"/>
      <c r="AP142" s="164"/>
      <c r="AQ142" s="164"/>
      <c r="AR142" s="38">
        <f>IFERROR(_xlfn.XLOOKUP($D142,'Modelling New'!$D:$D,'Modelling New'!$N:$N),"")</f>
        <v>10.507</v>
      </c>
      <c r="AS142" s="38"/>
      <c r="AT142" s="38" t="str">
        <f>IFERROR(_xlfn.XLOOKUP(Table13[[#This Row],[Date]],'Raw Data'!$G:$G,'Raw Data'!$AJ:$AJ),"")</f>
        <v/>
      </c>
      <c r="AU142" s="38">
        <f>IFERROR(_xlfn.XLOOKUP(Table13[[#This Row],[Month Year]],'Modelling New'!$D:$D,'Modelling New'!$AN:$AN),"")</f>
        <v>10</v>
      </c>
      <c r="AV142" s="38">
        <f>SUMIF('Curtailment records'!$C:$C,Table13[[#This Row],[Date]],'Curtailment records'!$R:$R)/1000</f>
        <v>0</v>
      </c>
    </row>
    <row r="143" spans="1:48">
      <c r="A143" s="66">
        <f t="shared" si="15"/>
        <v>45886</v>
      </c>
      <c r="B143" s="38">
        <f>YEAR(Table13[[#This Row],[Date]])+IF(MONTH(Table13[[#This Row],[Date]])&gt;=4,1,0)</f>
        <v>2026</v>
      </c>
      <c r="C143" s="17">
        <f>YEAR(Table13[[#This Row],[Date]])</f>
        <v>2025</v>
      </c>
      <c r="D143" s="37">
        <f>Table13[[#This Row],[Date]]-DAY(Table13[[#This Row],[Date]])+1</f>
        <v>45870</v>
      </c>
      <c r="E143" s="17">
        <f t="shared" si="16"/>
        <v>31</v>
      </c>
      <c r="F143" s="135" t="str" cm="1">
        <f t="array" ref="F143">IFERROR(_xlfn.XLOOKUP(Table13[[#This Row],[Date]],Raw_Data[[#All],[Date]],Raw_Data[[#All],[Operating Hours]]),"")</f>
        <v/>
      </c>
      <c r="G143" s="136" t="str">
        <f>IFERROR(_xlfn.XLOOKUP($A143,'Raw Data'!$G:$G,'Raw Data'!S:S)/1000,"")</f>
        <v/>
      </c>
      <c r="H143" s="136"/>
      <c r="I143" s="136" t="str">
        <f>IFERROR(_xlfn.XLOOKUP($A143,'Raw Data'!$G:$G,'Raw Data'!AF:AF)/1000,"")</f>
        <v/>
      </c>
      <c r="J143" s="136"/>
      <c r="K143" s="137" t="str">
        <f>IFERROR(_xlfn.XLOOKUP($A143,'Raw Data'!$G:$G,'Raw Data'!W:W),"")</f>
        <v/>
      </c>
      <c r="L143" s="136" t="str">
        <f>IFERROR(_xlfn.XLOOKUP($A143,'Raw Data'!$G:$G,'Raw Data'!X:X),"")</f>
        <v/>
      </c>
      <c r="M143" s="136" t="str">
        <f>IFERROR(_xlfn.XLOOKUP($A143,'Raw Data'!$G:$G,'Raw Data'!Y:Y),"")</f>
        <v/>
      </c>
      <c r="N143" s="136" t="str">
        <f>IFERROR(_xlfn.XLOOKUP($A143,'Raw Data'!$G:$G,'Raw Data'!Z:Z),"")</f>
        <v/>
      </c>
      <c r="O143" s="176" t="str">
        <f>IFERROR(1-SUMIF('Plant BD'!$B:$B,$A143,'Plant BD'!$AM:$AM)/($AA143+SUMIF('Plant BD'!$B:$B,$A143,'Plant BD'!$AM:$AM)),"")</f>
        <v/>
      </c>
      <c r="P143" s="176"/>
      <c r="Q143" s="177"/>
      <c r="R143" s="176" t="str">
        <f>IFERROR(1-SUMIF('Grid BD'!$B:$B,$A143,'Grid BD'!$AE:$AE)/($AA143+SUMIF('Grid BD'!$B:$B,$A143,'Grid BD'!$AE:$AE)),"")</f>
        <v/>
      </c>
      <c r="S143" s="17"/>
      <c r="T143" s="177" t="str">
        <f>IFERROR(1-SUMIF(Tracker_BD!H:H,$A143,Tracker_BD!AI:AI)/$F143,"")</f>
        <v/>
      </c>
      <c r="U143" s="178" t="str">
        <f t="shared" si="12"/>
        <v/>
      </c>
      <c r="V143" s="17"/>
      <c r="W143" s="164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38" t="str">
        <f>IFERROR(_xlfn.XLOOKUP($A143,'Raw Data'!$G:$G,'Raw Data'!AD:AD),"")</f>
        <v/>
      </c>
      <c r="AA143" s="38" t="str">
        <f>IFERROR(_xlfn.XLOOKUP($A143,'Raw Data'!$G:$G,'Raw Data'!AE:AE)*(1+(_xlfn.XLOOKUP(Table13[[#This Row],[Month Year]],JMR!$A:$A,JMR!$J:$J))),"")</f>
        <v/>
      </c>
      <c r="AB143" s="17">
        <f>_xlfn.XLOOKUP($D143,'Modelling New'!D:D,'Modelling New'!N:N)</f>
        <v>10.507</v>
      </c>
      <c r="AC143" s="24">
        <f>IFERROR(_xlfn.XLOOKUP($D143,'Modelling New'!$D:$D,'Modelling New'!P:P),"")</f>
        <v>4.4467592536129033</v>
      </c>
      <c r="AD143" s="38">
        <f>IFERROR(_xlfn.XLOOKUP($D143,'Modelling New'!$D:$D,'Modelling New'!T:T)*1000,"")</f>
        <v>33012.256774973161</v>
      </c>
      <c r="AE143" s="164">
        <f t="shared" si="14"/>
        <v>0.70656621050862611</v>
      </c>
      <c r="AF143" s="164">
        <f>IFERROR(_xlfn.XLOOKUP($D143,'Modelling New'!$D:$D,'Modelling New'!W:W),"")</f>
        <v>0.13091374311955981</v>
      </c>
      <c r="AG143" s="164">
        <f>IFERROR(_xlfn.XLOOKUP($D143,'Modelling New'!$D:$D,'Modelling New'!AD:AD),"")</f>
        <v>0.995</v>
      </c>
      <c r="AH143" s="164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64"/>
      <c r="AO143" s="164"/>
      <c r="AP143" s="164"/>
      <c r="AQ143" s="164"/>
      <c r="AR143" s="38">
        <f>IFERROR(_xlfn.XLOOKUP($D143,'Modelling New'!$D:$D,'Modelling New'!$N:$N),"")</f>
        <v>10.507</v>
      </c>
      <c r="AS143" s="38"/>
      <c r="AT143" s="38" t="str">
        <f>IFERROR(_xlfn.XLOOKUP(Table13[[#This Row],[Date]],'Raw Data'!$G:$G,'Raw Data'!$AJ:$AJ),"")</f>
        <v/>
      </c>
      <c r="AU143" s="38">
        <f>IFERROR(_xlfn.XLOOKUP(Table13[[#This Row],[Month Year]],'Modelling New'!$D:$D,'Modelling New'!$AN:$AN),"")</f>
        <v>10</v>
      </c>
      <c r="AV143" s="38">
        <f>SUMIF('Curtailment records'!$C:$C,Table13[[#This Row],[Date]],'Curtailment records'!$R:$R)/1000</f>
        <v>0</v>
      </c>
    </row>
    <row r="144" spans="1:48">
      <c r="A144" s="66">
        <f t="shared" si="15"/>
        <v>45887</v>
      </c>
      <c r="B144" s="38">
        <f>YEAR(Table13[[#This Row],[Date]])+IF(MONTH(Table13[[#This Row],[Date]])&gt;=4,1,0)</f>
        <v>2026</v>
      </c>
      <c r="C144" s="17">
        <f>YEAR(Table13[[#This Row],[Date]])</f>
        <v>2025</v>
      </c>
      <c r="D144" s="37">
        <f>Table13[[#This Row],[Date]]-DAY(Table13[[#This Row],[Date]])+1</f>
        <v>45870</v>
      </c>
      <c r="E144" s="17">
        <f t="shared" si="16"/>
        <v>31</v>
      </c>
      <c r="F144" s="135" t="str" cm="1">
        <f t="array" ref="F144">IFERROR(_xlfn.XLOOKUP(Table13[[#This Row],[Date]],Raw_Data[[#All],[Date]],Raw_Data[[#All],[Operating Hours]]),"")</f>
        <v/>
      </c>
      <c r="G144" s="24" t="str">
        <f>IFERROR(_xlfn.XLOOKUP($A144,'Raw Data'!$G:$G,'Raw Data'!S:S)/1000,"")</f>
        <v/>
      </c>
      <c r="H144" s="24"/>
      <c r="I144" s="24" t="str">
        <f>IFERROR(_xlfn.XLOOKUP($A144,'Raw Data'!$G:$G,'Raw Data'!AF:AF)/1000,"")</f>
        <v/>
      </c>
      <c r="J144" s="24"/>
      <c r="K144" s="137" t="str">
        <f>IFERROR(_xlfn.XLOOKUP($A144,'Raw Data'!$G:$G,'Raw Data'!W:W),"")</f>
        <v/>
      </c>
      <c r="L144" s="136" t="str">
        <f>IFERROR(_xlfn.XLOOKUP($A144,'Raw Data'!$G:$G,'Raw Data'!X:X),"")</f>
        <v/>
      </c>
      <c r="M144" s="136" t="str">
        <f>IFERROR(_xlfn.XLOOKUP($A144,'Raw Data'!$G:$G,'Raw Data'!Y:Y),"")</f>
        <v/>
      </c>
      <c r="N144" s="136" t="str">
        <f>IFERROR(_xlfn.XLOOKUP($A144,'Raw Data'!$G:$G,'Raw Data'!Z:Z),"")</f>
        <v/>
      </c>
      <c r="O144" s="176" t="str">
        <f>IFERROR(1-SUMIF('Plant BD'!$B:$B,$A144,'Plant BD'!$AM:$AM)/($AA144+SUMIF('Plant BD'!$B:$B,$A144,'Plant BD'!$AM:$AM)),"")</f>
        <v/>
      </c>
      <c r="P144" s="176"/>
      <c r="Q144" s="177"/>
      <c r="R144" s="179" t="str">
        <f>IFERROR(1-SUMIF('Grid BD'!$B:$B,$A144,'Grid BD'!$AE:$AE)/($AA144+SUMIF('Grid BD'!$B:$B,$A144,'Grid BD'!$AE:$AE)),"")</f>
        <v/>
      </c>
      <c r="S144" s="17"/>
      <c r="T144" s="177" t="str">
        <f>IFERROR(1-SUMIF(Tracker_BD!H:H,$A144,Tracker_BD!AI:AI)/$F144,"")</f>
        <v/>
      </c>
      <c r="U144" s="178" t="str">
        <f t="shared" si="12"/>
        <v/>
      </c>
      <c r="V144" s="17"/>
      <c r="W144" s="164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38" t="str">
        <f>IFERROR(_xlfn.XLOOKUP($A144,'Raw Data'!$G:$G,'Raw Data'!AD:AD),"")</f>
        <v/>
      </c>
      <c r="AA144" s="38" t="str">
        <f>IFERROR(_xlfn.XLOOKUP($A144,'Raw Data'!$G:$G,'Raw Data'!AE:AE)*(1+(_xlfn.XLOOKUP(Table13[[#This Row],[Month Year]],JMR!$A:$A,JMR!$J:$J))),"")</f>
        <v/>
      </c>
      <c r="AB144" s="17">
        <f>_xlfn.XLOOKUP($D144,'Modelling New'!D:D,'Modelling New'!N:N)</f>
        <v>10.507</v>
      </c>
      <c r="AC144" s="24">
        <f>IFERROR(_xlfn.XLOOKUP($D144,'Modelling New'!$D:$D,'Modelling New'!P:P),"")</f>
        <v>4.4467592536129033</v>
      </c>
      <c r="AD144" s="38">
        <f>IFERROR(_xlfn.XLOOKUP($D144,'Modelling New'!$D:$D,'Modelling New'!T:T)*1000,"")</f>
        <v>33012.256774973161</v>
      </c>
      <c r="AE144" s="164">
        <f t="shared" si="14"/>
        <v>0.70656621050862611</v>
      </c>
      <c r="AF144" s="164">
        <f>IFERROR(_xlfn.XLOOKUP($D144,'Modelling New'!$D:$D,'Modelling New'!W:W),"")</f>
        <v>0.13091374311955981</v>
      </c>
      <c r="AG144" s="164">
        <f>IFERROR(_xlfn.XLOOKUP($D144,'Modelling New'!$D:$D,'Modelling New'!AD:AD),"")</f>
        <v>0.995</v>
      </c>
      <c r="AH144" s="164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64"/>
      <c r="AO144" s="164"/>
      <c r="AP144" s="164"/>
      <c r="AQ144" s="164"/>
      <c r="AR144" s="38">
        <f>IFERROR(_xlfn.XLOOKUP($D144,'Modelling New'!$D:$D,'Modelling New'!$N:$N),"")</f>
        <v>10.507</v>
      </c>
      <c r="AS144" s="38"/>
      <c r="AT144" s="38" t="str">
        <f>IFERROR(_xlfn.XLOOKUP(Table13[[#This Row],[Date]],'Raw Data'!$G:$G,'Raw Data'!$AJ:$AJ),"")</f>
        <v/>
      </c>
      <c r="AU144" s="38">
        <f>IFERROR(_xlfn.XLOOKUP(Table13[[#This Row],[Month Year]],'Modelling New'!$D:$D,'Modelling New'!$AN:$AN),"")</f>
        <v>10</v>
      </c>
      <c r="AV144" s="38">
        <f>SUMIF('Curtailment records'!$C:$C,Table13[[#This Row],[Date]],'Curtailment records'!$R:$R)/1000</f>
        <v>0</v>
      </c>
    </row>
    <row r="145" spans="1:48">
      <c r="A145" s="66">
        <f t="shared" si="15"/>
        <v>45888</v>
      </c>
      <c r="B145" s="38">
        <f>YEAR(Table13[[#This Row],[Date]])+IF(MONTH(Table13[[#This Row],[Date]])&gt;=4,1,0)</f>
        <v>2026</v>
      </c>
      <c r="C145" s="17">
        <f>YEAR(Table13[[#This Row],[Date]])</f>
        <v>2025</v>
      </c>
      <c r="D145" s="37">
        <f>Table13[[#This Row],[Date]]-DAY(Table13[[#This Row],[Date]])+1</f>
        <v>45870</v>
      </c>
      <c r="E145" s="17">
        <f t="shared" si="16"/>
        <v>31</v>
      </c>
      <c r="F145" s="135" t="str" cm="1">
        <f t="array" ref="F145">IFERROR(_xlfn.XLOOKUP(Table13[[#This Row],[Date]],Raw_Data[[#All],[Date]],Raw_Data[[#All],[Operating Hours]]),"")</f>
        <v/>
      </c>
      <c r="G145" s="136" t="str">
        <f>IFERROR(_xlfn.XLOOKUP($A145,'Raw Data'!$G:$G,'Raw Data'!S:S)/1000,"")</f>
        <v/>
      </c>
      <c r="H145" s="136"/>
      <c r="I145" s="136" t="str">
        <f>IFERROR(_xlfn.XLOOKUP($A145,'Raw Data'!$G:$G,'Raw Data'!AF:AF)/1000,"")</f>
        <v/>
      </c>
      <c r="J145" s="136"/>
      <c r="K145" s="137" t="str">
        <f>IFERROR(_xlfn.XLOOKUP($A145,'Raw Data'!$G:$G,'Raw Data'!W:W),"")</f>
        <v/>
      </c>
      <c r="L145" s="136" t="str">
        <f>IFERROR(_xlfn.XLOOKUP($A145,'Raw Data'!$G:$G,'Raw Data'!X:X),"")</f>
        <v/>
      </c>
      <c r="M145" s="136" t="str">
        <f>IFERROR(_xlfn.XLOOKUP($A145,'Raw Data'!$G:$G,'Raw Data'!Y:Y),"")</f>
        <v/>
      </c>
      <c r="N145" s="136" t="str">
        <f>IFERROR(_xlfn.XLOOKUP($A145,'Raw Data'!$G:$G,'Raw Data'!Z:Z),"")</f>
        <v/>
      </c>
      <c r="O145" s="176" t="str">
        <f>IFERROR(1-SUMIF('Plant BD'!$B:$B,$A145,'Plant BD'!$AM:$AM)/($AA145+SUMIF('Plant BD'!$B:$B,$A145,'Plant BD'!$AM:$AM)),"")</f>
        <v/>
      </c>
      <c r="P145" s="176"/>
      <c r="Q145" s="177"/>
      <c r="R145" s="176" t="str">
        <f>IFERROR(1-SUMIF('Grid BD'!$B:$B,$A145,'Grid BD'!$AE:$AE)/($AA145+SUMIF('Grid BD'!$B:$B,$A145,'Grid BD'!$AE:$AE)),"")</f>
        <v/>
      </c>
      <c r="S145" s="17"/>
      <c r="T145" s="177" t="str">
        <f>IFERROR(1-SUMIF(Tracker_BD!H:H,$A145,Tracker_BD!AI:AI)/$F145,"")</f>
        <v/>
      </c>
      <c r="U145" s="178" t="str">
        <f t="shared" si="12"/>
        <v/>
      </c>
      <c r="V145" s="17"/>
      <c r="W145" s="164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38" t="str">
        <f>IFERROR(_xlfn.XLOOKUP($A145,'Raw Data'!$G:$G,'Raw Data'!AD:AD),"")</f>
        <v/>
      </c>
      <c r="AA145" s="38" t="str">
        <f>IFERROR(_xlfn.XLOOKUP($A145,'Raw Data'!$G:$G,'Raw Data'!AE:AE)*(1+(_xlfn.XLOOKUP(Table13[[#This Row],[Month Year]],JMR!$A:$A,JMR!$J:$J))),"")</f>
        <v/>
      </c>
      <c r="AB145" s="17">
        <f>_xlfn.XLOOKUP($D145,'Modelling New'!D:D,'Modelling New'!N:N)</f>
        <v>10.507</v>
      </c>
      <c r="AC145" s="24">
        <f>IFERROR(_xlfn.XLOOKUP($D145,'Modelling New'!$D:$D,'Modelling New'!P:P),"")</f>
        <v>4.4467592536129033</v>
      </c>
      <c r="AD145" s="38">
        <f>IFERROR(_xlfn.XLOOKUP($D145,'Modelling New'!$D:$D,'Modelling New'!T:T)*1000,"")</f>
        <v>33012.256774973161</v>
      </c>
      <c r="AE145" s="164">
        <f t="shared" si="14"/>
        <v>0.70656621050862611</v>
      </c>
      <c r="AF145" s="164">
        <f>IFERROR(_xlfn.XLOOKUP($D145,'Modelling New'!$D:$D,'Modelling New'!W:W),"")</f>
        <v>0.13091374311955981</v>
      </c>
      <c r="AG145" s="164">
        <f>IFERROR(_xlfn.XLOOKUP($D145,'Modelling New'!$D:$D,'Modelling New'!AD:AD),"")</f>
        <v>0.995</v>
      </c>
      <c r="AH145" s="164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64"/>
      <c r="AO145" s="164"/>
      <c r="AP145" s="164"/>
      <c r="AQ145" s="164"/>
      <c r="AR145" s="38">
        <f>IFERROR(_xlfn.XLOOKUP($D145,'Modelling New'!$D:$D,'Modelling New'!$N:$N),"")</f>
        <v>10.507</v>
      </c>
      <c r="AS145" s="38"/>
      <c r="AT145" s="38" t="str">
        <f>IFERROR(_xlfn.XLOOKUP(Table13[[#This Row],[Date]],'Raw Data'!$G:$G,'Raw Data'!$AJ:$AJ),"")</f>
        <v/>
      </c>
      <c r="AU145" s="38">
        <f>IFERROR(_xlfn.XLOOKUP(Table13[[#This Row],[Month Year]],'Modelling New'!$D:$D,'Modelling New'!$AN:$AN),"")</f>
        <v>10</v>
      </c>
      <c r="AV145" s="38">
        <f>SUMIF('Curtailment records'!$C:$C,Table13[[#This Row],[Date]],'Curtailment records'!$R:$R)/1000</f>
        <v>0</v>
      </c>
    </row>
    <row r="146" spans="1:48">
      <c r="A146" s="66">
        <f t="shared" si="15"/>
        <v>45889</v>
      </c>
      <c r="B146" s="38">
        <f>YEAR(Table13[[#This Row],[Date]])+IF(MONTH(Table13[[#This Row],[Date]])&gt;=4,1,0)</f>
        <v>2026</v>
      </c>
      <c r="C146" s="17">
        <f>YEAR(Table13[[#This Row],[Date]])</f>
        <v>2025</v>
      </c>
      <c r="D146" s="37">
        <f>Table13[[#This Row],[Date]]-DAY(Table13[[#This Row],[Date]])+1</f>
        <v>45870</v>
      </c>
      <c r="E146" s="17">
        <f t="shared" si="16"/>
        <v>31</v>
      </c>
      <c r="F146" s="135" t="str" cm="1">
        <f t="array" ref="F146">IFERROR(_xlfn.XLOOKUP(Table13[[#This Row],[Date]],Raw_Data[[#All],[Date]],Raw_Data[[#All],[Operating Hours]]),"")</f>
        <v/>
      </c>
      <c r="G146" s="24" t="str">
        <f>IFERROR(_xlfn.XLOOKUP($A146,'Raw Data'!$G:$G,'Raw Data'!S:S)/1000,"")</f>
        <v/>
      </c>
      <c r="H146" s="24"/>
      <c r="I146" s="24" t="str">
        <f>IFERROR(_xlfn.XLOOKUP($A146,'Raw Data'!$G:$G,'Raw Data'!AF:AF)/1000,"")</f>
        <v/>
      </c>
      <c r="J146" s="24"/>
      <c r="K146" s="137" t="str">
        <f>IFERROR(_xlfn.XLOOKUP($A146,'Raw Data'!$G:$G,'Raw Data'!W:W),"")</f>
        <v/>
      </c>
      <c r="L146" s="136" t="str">
        <f>IFERROR(_xlfn.XLOOKUP($A146,'Raw Data'!$G:$G,'Raw Data'!X:X),"")</f>
        <v/>
      </c>
      <c r="M146" s="136" t="str">
        <f>IFERROR(_xlfn.XLOOKUP($A146,'Raw Data'!$G:$G,'Raw Data'!Y:Y),"")</f>
        <v/>
      </c>
      <c r="N146" s="136" t="str">
        <f>IFERROR(_xlfn.XLOOKUP($A146,'Raw Data'!$G:$G,'Raw Data'!Z:Z),"")</f>
        <v/>
      </c>
      <c r="O146" s="176" t="str">
        <f>IFERROR(1-SUMIF('Plant BD'!$B:$B,$A146,'Plant BD'!$AM:$AM)/($AA146+SUMIF('Plant BD'!$B:$B,$A146,'Plant BD'!$AM:$AM)),"")</f>
        <v/>
      </c>
      <c r="P146" s="176"/>
      <c r="Q146" s="177"/>
      <c r="R146" s="179" t="str">
        <f>IFERROR(1-SUMIF('Grid BD'!$B:$B,$A146,'Grid BD'!$AE:$AE)/($AA146+SUMIF('Grid BD'!$B:$B,$A146,'Grid BD'!$AE:$AE)),"")</f>
        <v/>
      </c>
      <c r="S146" s="17"/>
      <c r="T146" s="177" t="str">
        <f>IFERROR(1-SUMIF(Tracker_BD!H:H,$A146,Tracker_BD!AI:AI)/$F146,"")</f>
        <v/>
      </c>
      <c r="U146" s="178" t="str">
        <f t="shared" si="12"/>
        <v/>
      </c>
      <c r="V146" s="17"/>
      <c r="W146" s="164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38" t="str">
        <f>IFERROR(_xlfn.XLOOKUP($A146,'Raw Data'!$G:$G,'Raw Data'!AD:AD),"")</f>
        <v/>
      </c>
      <c r="AA146" s="38" t="str">
        <f>IFERROR(_xlfn.XLOOKUP($A146,'Raw Data'!$G:$G,'Raw Data'!AE:AE)*(1+(_xlfn.XLOOKUP(Table13[[#This Row],[Month Year]],JMR!$A:$A,JMR!$J:$J))),"")</f>
        <v/>
      </c>
      <c r="AB146" s="17">
        <f>_xlfn.XLOOKUP($D146,'Modelling New'!D:D,'Modelling New'!N:N)</f>
        <v>10.507</v>
      </c>
      <c r="AC146" s="24">
        <f>IFERROR(_xlfn.XLOOKUP($D146,'Modelling New'!$D:$D,'Modelling New'!P:P),"")</f>
        <v>4.4467592536129033</v>
      </c>
      <c r="AD146" s="38">
        <f>IFERROR(_xlfn.XLOOKUP($D146,'Modelling New'!$D:$D,'Modelling New'!T:T)*1000,"")</f>
        <v>33012.256774973161</v>
      </c>
      <c r="AE146" s="164">
        <f t="shared" si="14"/>
        <v>0.70656621050862611</v>
      </c>
      <c r="AF146" s="164">
        <f>IFERROR(_xlfn.XLOOKUP($D146,'Modelling New'!$D:$D,'Modelling New'!W:W),"")</f>
        <v>0.13091374311955981</v>
      </c>
      <c r="AG146" s="164">
        <f>IFERROR(_xlfn.XLOOKUP($D146,'Modelling New'!$D:$D,'Modelling New'!AD:AD),"")</f>
        <v>0.995</v>
      </c>
      <c r="AH146" s="164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64"/>
      <c r="AO146" s="164"/>
      <c r="AP146" s="164"/>
      <c r="AQ146" s="164"/>
      <c r="AR146" s="38">
        <f>IFERROR(_xlfn.XLOOKUP($D146,'Modelling New'!$D:$D,'Modelling New'!$N:$N),"")</f>
        <v>10.507</v>
      </c>
      <c r="AS146" s="38"/>
      <c r="AT146" s="38" t="str">
        <f>IFERROR(_xlfn.XLOOKUP(Table13[[#This Row],[Date]],'Raw Data'!$G:$G,'Raw Data'!$AJ:$AJ),"")</f>
        <v/>
      </c>
      <c r="AU146" s="38">
        <f>IFERROR(_xlfn.XLOOKUP(Table13[[#This Row],[Month Year]],'Modelling New'!$D:$D,'Modelling New'!$AN:$AN),"")</f>
        <v>10</v>
      </c>
      <c r="AV146" s="38">
        <f>SUMIF('Curtailment records'!$C:$C,Table13[[#This Row],[Date]],'Curtailment records'!$R:$R)/1000</f>
        <v>0</v>
      </c>
    </row>
    <row r="147" spans="1:48">
      <c r="A147" s="66">
        <f t="shared" si="15"/>
        <v>45890</v>
      </c>
      <c r="B147" s="38">
        <f>YEAR(Table13[[#This Row],[Date]])+IF(MONTH(Table13[[#This Row],[Date]])&gt;=4,1,0)</f>
        <v>2026</v>
      </c>
      <c r="C147" s="17">
        <f>YEAR(Table13[[#This Row],[Date]])</f>
        <v>2025</v>
      </c>
      <c r="D147" s="37">
        <f>Table13[[#This Row],[Date]]-DAY(Table13[[#This Row],[Date]])+1</f>
        <v>45870</v>
      </c>
      <c r="E147" s="17">
        <f t="shared" si="16"/>
        <v>31</v>
      </c>
      <c r="F147" s="135" t="str" cm="1">
        <f t="array" ref="F147">IFERROR(_xlfn.XLOOKUP(Table13[[#This Row],[Date]],Raw_Data[[#All],[Date]],Raw_Data[[#All],[Operating Hours]]),"")</f>
        <v/>
      </c>
      <c r="G147" s="136" t="str">
        <f>IFERROR(_xlfn.XLOOKUP($A147,'Raw Data'!$G:$G,'Raw Data'!S:S)/1000,"")</f>
        <v/>
      </c>
      <c r="H147" s="136"/>
      <c r="I147" s="136" t="str">
        <f>IFERROR(_xlfn.XLOOKUP($A147,'Raw Data'!$G:$G,'Raw Data'!AF:AF)/1000,"")</f>
        <v/>
      </c>
      <c r="J147" s="136"/>
      <c r="K147" s="137" t="str">
        <f>IFERROR(_xlfn.XLOOKUP($A147,'Raw Data'!$G:$G,'Raw Data'!W:W),"")</f>
        <v/>
      </c>
      <c r="L147" s="136" t="str">
        <f>IFERROR(_xlfn.XLOOKUP($A147,'Raw Data'!$G:$G,'Raw Data'!X:X),"")</f>
        <v/>
      </c>
      <c r="M147" s="136" t="str">
        <f>IFERROR(_xlfn.XLOOKUP($A147,'Raw Data'!$G:$G,'Raw Data'!Y:Y),"")</f>
        <v/>
      </c>
      <c r="N147" s="136" t="str">
        <f>IFERROR(_xlfn.XLOOKUP($A147,'Raw Data'!$G:$G,'Raw Data'!Z:Z),"")</f>
        <v/>
      </c>
      <c r="O147" s="176" t="str">
        <f>IFERROR(1-SUMIF('Plant BD'!$B:$B,$A147,'Plant BD'!$AM:$AM)/($AA147+SUMIF('Plant BD'!$B:$B,$A147,'Plant BD'!$AM:$AM)),"")</f>
        <v/>
      </c>
      <c r="P147" s="176"/>
      <c r="Q147" s="177"/>
      <c r="R147" s="176" t="str">
        <f>IFERROR(1-SUMIF('Grid BD'!$B:$B,$A147,'Grid BD'!$AE:$AE)/($AA147+SUMIF('Grid BD'!$B:$B,$A147,'Grid BD'!$AE:$AE)),"")</f>
        <v/>
      </c>
      <c r="S147" s="17"/>
      <c r="T147" s="177" t="str">
        <f>IFERROR(1-SUMIF(Tracker_BD!H:H,$A147,Tracker_BD!AI:AI)/$F147,"")</f>
        <v/>
      </c>
      <c r="U147" s="178" t="str">
        <f t="shared" si="12"/>
        <v/>
      </c>
      <c r="V147" s="17"/>
      <c r="W147" s="164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38" t="str">
        <f>IFERROR(_xlfn.XLOOKUP($A147,'Raw Data'!$G:$G,'Raw Data'!AD:AD),"")</f>
        <v/>
      </c>
      <c r="AA147" s="38" t="str">
        <f>IFERROR(_xlfn.XLOOKUP($A147,'Raw Data'!$G:$G,'Raw Data'!AE:AE)*(1+(_xlfn.XLOOKUP(Table13[[#This Row],[Month Year]],JMR!$A:$A,JMR!$J:$J))),"")</f>
        <v/>
      </c>
      <c r="AB147" s="17">
        <f>_xlfn.XLOOKUP($D147,'Modelling New'!D:D,'Modelling New'!N:N)</f>
        <v>10.507</v>
      </c>
      <c r="AC147" s="24">
        <f>IFERROR(_xlfn.XLOOKUP($D147,'Modelling New'!$D:$D,'Modelling New'!P:P),"")</f>
        <v>4.4467592536129033</v>
      </c>
      <c r="AD147" s="38">
        <f>IFERROR(_xlfn.XLOOKUP($D147,'Modelling New'!$D:$D,'Modelling New'!T:T)*1000,"")</f>
        <v>33012.256774973161</v>
      </c>
      <c r="AE147" s="164">
        <f t="shared" si="14"/>
        <v>0.70656621050862611</v>
      </c>
      <c r="AF147" s="164">
        <f>IFERROR(_xlfn.XLOOKUP($D147,'Modelling New'!$D:$D,'Modelling New'!W:W),"")</f>
        <v>0.13091374311955981</v>
      </c>
      <c r="AG147" s="164">
        <f>IFERROR(_xlfn.XLOOKUP($D147,'Modelling New'!$D:$D,'Modelling New'!AD:AD),"")</f>
        <v>0.995</v>
      </c>
      <c r="AH147" s="164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64"/>
      <c r="AO147" s="164"/>
      <c r="AP147" s="164"/>
      <c r="AQ147" s="164"/>
      <c r="AR147" s="38">
        <f>IFERROR(_xlfn.XLOOKUP($D147,'Modelling New'!$D:$D,'Modelling New'!$N:$N),"")</f>
        <v>10.507</v>
      </c>
      <c r="AS147" s="38"/>
      <c r="AT147" s="38" t="str">
        <f>IFERROR(_xlfn.XLOOKUP(Table13[[#This Row],[Date]],'Raw Data'!$G:$G,'Raw Data'!$AJ:$AJ),"")</f>
        <v/>
      </c>
      <c r="AU147" s="38">
        <f>IFERROR(_xlfn.XLOOKUP(Table13[[#This Row],[Month Year]],'Modelling New'!$D:$D,'Modelling New'!$AN:$AN),"")</f>
        <v>10</v>
      </c>
      <c r="AV147" s="38">
        <f>SUMIF('Curtailment records'!$C:$C,Table13[[#This Row],[Date]],'Curtailment records'!$R:$R)/1000</f>
        <v>0</v>
      </c>
    </row>
    <row r="148" spans="1:48">
      <c r="A148" s="66">
        <f t="shared" si="15"/>
        <v>45891</v>
      </c>
      <c r="B148" s="38">
        <f>YEAR(Table13[[#This Row],[Date]])+IF(MONTH(Table13[[#This Row],[Date]])&gt;=4,1,0)</f>
        <v>2026</v>
      </c>
      <c r="C148" s="17">
        <f>YEAR(Table13[[#This Row],[Date]])</f>
        <v>2025</v>
      </c>
      <c r="D148" s="37">
        <f>Table13[[#This Row],[Date]]-DAY(Table13[[#This Row],[Date]])+1</f>
        <v>45870</v>
      </c>
      <c r="E148" s="17">
        <f t="shared" si="16"/>
        <v>31</v>
      </c>
      <c r="F148" s="135" t="str" cm="1">
        <f t="array" ref="F148">IFERROR(_xlfn.XLOOKUP(Table13[[#This Row],[Date]],Raw_Data[[#All],[Date]],Raw_Data[[#All],[Operating Hours]]),"")</f>
        <v/>
      </c>
      <c r="G148" s="24" t="str">
        <f>IFERROR(_xlfn.XLOOKUP($A148,'Raw Data'!$G:$G,'Raw Data'!S:S)/1000,"")</f>
        <v/>
      </c>
      <c r="H148" s="24"/>
      <c r="I148" s="24" t="str">
        <f>IFERROR(_xlfn.XLOOKUP($A148,'Raw Data'!$G:$G,'Raw Data'!AF:AF)/1000,"")</f>
        <v/>
      </c>
      <c r="J148" s="24"/>
      <c r="K148" s="137" t="str">
        <f>IFERROR(_xlfn.XLOOKUP($A148,'Raw Data'!$G:$G,'Raw Data'!W:W),"")</f>
        <v/>
      </c>
      <c r="L148" s="136" t="str">
        <f>IFERROR(_xlfn.XLOOKUP($A148,'Raw Data'!$G:$G,'Raw Data'!X:X),"")</f>
        <v/>
      </c>
      <c r="M148" s="136" t="str">
        <f>IFERROR(_xlfn.XLOOKUP($A148,'Raw Data'!$G:$G,'Raw Data'!Y:Y),"")</f>
        <v/>
      </c>
      <c r="N148" s="136" t="str">
        <f>IFERROR(_xlfn.XLOOKUP($A148,'Raw Data'!$G:$G,'Raw Data'!Z:Z),"")</f>
        <v/>
      </c>
      <c r="O148" s="176" t="str">
        <f>IFERROR(1-SUMIF('Plant BD'!$B:$B,$A148,'Plant BD'!$AM:$AM)/($AA148+SUMIF('Plant BD'!$B:$B,$A148,'Plant BD'!$AM:$AM)),"")</f>
        <v/>
      </c>
      <c r="P148" s="176"/>
      <c r="Q148" s="177"/>
      <c r="R148" s="179" t="str">
        <f>IFERROR(1-SUMIF('Grid BD'!$B:$B,$A148,'Grid BD'!$AE:$AE)/($AA148+SUMIF('Grid BD'!$B:$B,$A148,'Grid BD'!$AE:$AE)),"")</f>
        <v/>
      </c>
      <c r="S148" s="17"/>
      <c r="T148" s="177" t="str">
        <f>IFERROR(1-SUMIF(Tracker_BD!H:H,$A148,Tracker_BD!AI:AI)/$F148,"")</f>
        <v/>
      </c>
      <c r="U148" s="178" t="str">
        <f t="shared" si="12"/>
        <v/>
      </c>
      <c r="V148" s="17"/>
      <c r="W148" s="164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38" t="str">
        <f>IFERROR(_xlfn.XLOOKUP($A148,'Raw Data'!$G:$G,'Raw Data'!AD:AD),"")</f>
        <v/>
      </c>
      <c r="AA148" s="38" t="str">
        <f>IFERROR(_xlfn.XLOOKUP($A148,'Raw Data'!$G:$G,'Raw Data'!AE:AE)*(1+(_xlfn.XLOOKUP(Table13[[#This Row],[Month Year]],JMR!$A:$A,JMR!$J:$J))),"")</f>
        <v/>
      </c>
      <c r="AB148" s="17">
        <f>_xlfn.XLOOKUP($D148,'Modelling New'!D:D,'Modelling New'!N:N)</f>
        <v>10.507</v>
      </c>
      <c r="AC148" s="24">
        <f>IFERROR(_xlfn.XLOOKUP($D148,'Modelling New'!$D:$D,'Modelling New'!P:P),"")</f>
        <v>4.4467592536129033</v>
      </c>
      <c r="AD148" s="38">
        <f>IFERROR(_xlfn.XLOOKUP($D148,'Modelling New'!$D:$D,'Modelling New'!T:T)*1000,"")</f>
        <v>33012.256774973161</v>
      </c>
      <c r="AE148" s="164">
        <f t="shared" si="14"/>
        <v>0.70656621050862611</v>
      </c>
      <c r="AF148" s="164">
        <f>IFERROR(_xlfn.XLOOKUP($D148,'Modelling New'!$D:$D,'Modelling New'!W:W),"")</f>
        <v>0.13091374311955981</v>
      </c>
      <c r="AG148" s="164">
        <f>IFERROR(_xlfn.XLOOKUP($D148,'Modelling New'!$D:$D,'Modelling New'!AD:AD),"")</f>
        <v>0.995</v>
      </c>
      <c r="AH148" s="164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64"/>
      <c r="AO148" s="164"/>
      <c r="AP148" s="164"/>
      <c r="AQ148" s="164"/>
      <c r="AR148" s="38">
        <f>IFERROR(_xlfn.XLOOKUP($D148,'Modelling New'!$D:$D,'Modelling New'!$N:$N),"")</f>
        <v>10.507</v>
      </c>
      <c r="AS148" s="38"/>
      <c r="AT148" s="38" t="str">
        <f>IFERROR(_xlfn.XLOOKUP(Table13[[#This Row],[Date]],'Raw Data'!$G:$G,'Raw Data'!$AJ:$AJ),"")</f>
        <v/>
      </c>
      <c r="AU148" s="38">
        <f>IFERROR(_xlfn.XLOOKUP(Table13[[#This Row],[Month Year]],'Modelling New'!$D:$D,'Modelling New'!$AN:$AN),"")</f>
        <v>10</v>
      </c>
      <c r="AV148" s="38">
        <f>SUMIF('Curtailment records'!$C:$C,Table13[[#This Row],[Date]],'Curtailment records'!$R:$R)/1000</f>
        <v>0</v>
      </c>
    </row>
    <row r="149" spans="1:48">
      <c r="A149" s="66">
        <f t="shared" si="15"/>
        <v>45892</v>
      </c>
      <c r="B149" s="38">
        <f>YEAR(Table13[[#This Row],[Date]])+IF(MONTH(Table13[[#This Row],[Date]])&gt;=4,1,0)</f>
        <v>2026</v>
      </c>
      <c r="C149" s="17">
        <f>YEAR(Table13[[#This Row],[Date]])</f>
        <v>2025</v>
      </c>
      <c r="D149" s="37">
        <f>Table13[[#This Row],[Date]]-DAY(Table13[[#This Row],[Date]])+1</f>
        <v>45870</v>
      </c>
      <c r="E149" s="17">
        <f t="shared" si="16"/>
        <v>31</v>
      </c>
      <c r="F149" s="135" t="str" cm="1">
        <f t="array" ref="F149">IFERROR(_xlfn.XLOOKUP(Table13[[#This Row],[Date]],Raw_Data[[#All],[Date]],Raw_Data[[#All],[Operating Hours]]),"")</f>
        <v/>
      </c>
      <c r="G149" s="136" t="str">
        <f>IFERROR(_xlfn.XLOOKUP($A149,'Raw Data'!$G:$G,'Raw Data'!S:S)/1000,"")</f>
        <v/>
      </c>
      <c r="H149" s="136"/>
      <c r="I149" s="136" t="str">
        <f>IFERROR(_xlfn.XLOOKUP($A149,'Raw Data'!$G:$G,'Raw Data'!AF:AF)/1000,"")</f>
        <v/>
      </c>
      <c r="J149" s="136"/>
      <c r="K149" s="137" t="str">
        <f>IFERROR(_xlfn.XLOOKUP($A149,'Raw Data'!$G:$G,'Raw Data'!W:W),"")</f>
        <v/>
      </c>
      <c r="L149" s="136" t="str">
        <f>IFERROR(_xlfn.XLOOKUP($A149,'Raw Data'!$G:$G,'Raw Data'!X:X),"")</f>
        <v/>
      </c>
      <c r="M149" s="136" t="str">
        <f>IFERROR(_xlfn.XLOOKUP($A149,'Raw Data'!$G:$G,'Raw Data'!Y:Y),"")</f>
        <v/>
      </c>
      <c r="N149" s="136" t="str">
        <f>IFERROR(_xlfn.XLOOKUP($A149,'Raw Data'!$G:$G,'Raw Data'!Z:Z),"")</f>
        <v/>
      </c>
      <c r="O149" s="176" t="str">
        <f>IFERROR(1-SUMIF('Plant BD'!$B:$B,$A149,'Plant BD'!$AM:$AM)/($AA149+SUMIF('Plant BD'!$B:$B,$A149,'Plant BD'!$AM:$AM)),"")</f>
        <v/>
      </c>
      <c r="P149" s="176"/>
      <c r="Q149" s="177"/>
      <c r="R149" s="176" t="str">
        <f>IFERROR(1-SUMIF('Grid BD'!$B:$B,$A149,'Grid BD'!$AE:$AE)/($AA149+SUMIF('Grid BD'!$B:$B,$A149,'Grid BD'!$AE:$AE)),"")</f>
        <v/>
      </c>
      <c r="S149" s="17"/>
      <c r="T149" s="177" t="str">
        <f>IFERROR(1-SUMIF(Tracker_BD!H:H,$A149,Tracker_BD!AI:AI)/$F149,"")</f>
        <v/>
      </c>
      <c r="U149" s="178" t="str">
        <f t="shared" si="12"/>
        <v/>
      </c>
      <c r="V149" s="17"/>
      <c r="W149" s="164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38" t="str">
        <f>IFERROR(_xlfn.XLOOKUP($A149,'Raw Data'!$G:$G,'Raw Data'!AD:AD),"")</f>
        <v/>
      </c>
      <c r="AA149" s="38" t="str">
        <f>IFERROR(_xlfn.XLOOKUP($A149,'Raw Data'!$G:$G,'Raw Data'!AE:AE)*(1+(_xlfn.XLOOKUP(Table13[[#This Row],[Month Year]],JMR!$A:$A,JMR!$J:$J))),"")</f>
        <v/>
      </c>
      <c r="AB149" s="17">
        <f>_xlfn.XLOOKUP($D149,'Modelling New'!D:D,'Modelling New'!N:N)</f>
        <v>10.507</v>
      </c>
      <c r="AC149" s="24">
        <f>IFERROR(_xlfn.XLOOKUP($D149,'Modelling New'!$D:$D,'Modelling New'!P:P),"")</f>
        <v>4.4467592536129033</v>
      </c>
      <c r="AD149" s="38">
        <f>IFERROR(_xlfn.XLOOKUP($D149,'Modelling New'!$D:$D,'Modelling New'!T:T)*1000,"")</f>
        <v>33012.256774973161</v>
      </c>
      <c r="AE149" s="164">
        <f t="shared" si="14"/>
        <v>0.70656621050862611</v>
      </c>
      <c r="AF149" s="164">
        <f>IFERROR(_xlfn.XLOOKUP($D149,'Modelling New'!$D:$D,'Modelling New'!W:W),"")</f>
        <v>0.13091374311955981</v>
      </c>
      <c r="AG149" s="164">
        <f>IFERROR(_xlfn.XLOOKUP($D149,'Modelling New'!$D:$D,'Modelling New'!AD:AD),"")</f>
        <v>0.995</v>
      </c>
      <c r="AH149" s="164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64"/>
      <c r="AO149" s="164"/>
      <c r="AP149" s="164"/>
      <c r="AQ149" s="164"/>
      <c r="AR149" s="38">
        <f>IFERROR(_xlfn.XLOOKUP($D149,'Modelling New'!$D:$D,'Modelling New'!$N:$N),"")</f>
        <v>10.507</v>
      </c>
      <c r="AS149" s="38"/>
      <c r="AT149" s="38" t="str">
        <f>IFERROR(_xlfn.XLOOKUP(Table13[[#This Row],[Date]],'Raw Data'!$G:$G,'Raw Data'!$AJ:$AJ),"")</f>
        <v/>
      </c>
      <c r="AU149" s="38">
        <f>IFERROR(_xlfn.XLOOKUP(Table13[[#This Row],[Month Year]],'Modelling New'!$D:$D,'Modelling New'!$AN:$AN),"")</f>
        <v>10</v>
      </c>
      <c r="AV149" s="38">
        <f>SUMIF('Curtailment records'!$C:$C,Table13[[#This Row],[Date]],'Curtailment records'!$R:$R)/1000</f>
        <v>0</v>
      </c>
    </row>
    <row r="150" spans="1:48">
      <c r="A150" s="66">
        <f t="shared" si="15"/>
        <v>45893</v>
      </c>
      <c r="B150" s="38">
        <f>YEAR(Table13[[#This Row],[Date]])+IF(MONTH(Table13[[#This Row],[Date]])&gt;=4,1,0)</f>
        <v>2026</v>
      </c>
      <c r="C150" s="17">
        <f>YEAR(Table13[[#This Row],[Date]])</f>
        <v>2025</v>
      </c>
      <c r="D150" s="37">
        <f>Table13[[#This Row],[Date]]-DAY(Table13[[#This Row],[Date]])+1</f>
        <v>45870</v>
      </c>
      <c r="E150" s="17">
        <f t="shared" si="16"/>
        <v>31</v>
      </c>
      <c r="F150" s="135" t="str" cm="1">
        <f t="array" ref="F150">IFERROR(_xlfn.XLOOKUP(Table13[[#This Row],[Date]],Raw_Data[[#All],[Date]],Raw_Data[[#All],[Operating Hours]]),"")</f>
        <v/>
      </c>
      <c r="G150" s="24" t="str">
        <f>IFERROR(_xlfn.XLOOKUP($A150,'Raw Data'!$G:$G,'Raw Data'!S:S)/1000,"")</f>
        <v/>
      </c>
      <c r="H150" s="24"/>
      <c r="I150" s="24" t="str">
        <f>IFERROR(_xlfn.XLOOKUP($A150,'Raw Data'!$G:$G,'Raw Data'!AF:AF)/1000,"")</f>
        <v/>
      </c>
      <c r="J150" s="24"/>
      <c r="K150" s="137" t="str">
        <f>IFERROR(_xlfn.XLOOKUP($A150,'Raw Data'!$G:$G,'Raw Data'!W:W),"")</f>
        <v/>
      </c>
      <c r="L150" s="136" t="str">
        <f>IFERROR(_xlfn.XLOOKUP($A150,'Raw Data'!$G:$G,'Raw Data'!X:X),"")</f>
        <v/>
      </c>
      <c r="M150" s="136" t="str">
        <f>IFERROR(_xlfn.XLOOKUP($A150,'Raw Data'!$G:$G,'Raw Data'!Y:Y),"")</f>
        <v/>
      </c>
      <c r="N150" s="136" t="str">
        <f>IFERROR(_xlfn.XLOOKUP($A150,'Raw Data'!$G:$G,'Raw Data'!Z:Z),"")</f>
        <v/>
      </c>
      <c r="O150" s="176" t="str">
        <f>IFERROR(1-SUMIF('Plant BD'!$B:$B,$A150,'Plant BD'!$AM:$AM)/($AA150+SUMIF('Plant BD'!$B:$B,$A150,'Plant BD'!$AM:$AM)),"")</f>
        <v/>
      </c>
      <c r="P150" s="176"/>
      <c r="Q150" s="177"/>
      <c r="R150" s="179" t="str">
        <f>IFERROR(1-SUMIF('Grid BD'!$B:$B,$A150,'Grid BD'!$AE:$AE)/($AA150+SUMIF('Grid BD'!$B:$B,$A150,'Grid BD'!$AE:$AE)),"")</f>
        <v/>
      </c>
      <c r="S150" s="17"/>
      <c r="T150" s="177" t="str">
        <f>IFERROR(1-SUMIF(Tracker_BD!H:H,$A150,Tracker_BD!AI:AI)/$F150,"")</f>
        <v/>
      </c>
      <c r="U150" s="178" t="str">
        <f t="shared" si="12"/>
        <v/>
      </c>
      <c r="V150" s="17"/>
      <c r="W150" s="164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38" t="str">
        <f>IFERROR(_xlfn.XLOOKUP($A150,'Raw Data'!$G:$G,'Raw Data'!AD:AD),"")</f>
        <v/>
      </c>
      <c r="AA150" s="38" t="str">
        <f>IFERROR(_xlfn.XLOOKUP($A150,'Raw Data'!$G:$G,'Raw Data'!AE:AE)*(1+(_xlfn.XLOOKUP(Table13[[#This Row],[Month Year]],JMR!$A:$A,JMR!$J:$J))),"")</f>
        <v/>
      </c>
      <c r="AB150" s="17">
        <f>_xlfn.XLOOKUP($D150,'Modelling New'!D:D,'Modelling New'!N:N)</f>
        <v>10.507</v>
      </c>
      <c r="AC150" s="24">
        <f>IFERROR(_xlfn.XLOOKUP($D150,'Modelling New'!$D:$D,'Modelling New'!P:P),"")</f>
        <v>4.4467592536129033</v>
      </c>
      <c r="AD150" s="38">
        <f>IFERROR(_xlfn.XLOOKUP($D150,'Modelling New'!$D:$D,'Modelling New'!T:T)*1000,"")</f>
        <v>33012.256774973161</v>
      </c>
      <c r="AE150" s="164">
        <f t="shared" si="14"/>
        <v>0.70656621050862611</v>
      </c>
      <c r="AF150" s="164">
        <f>IFERROR(_xlfn.XLOOKUP($D150,'Modelling New'!$D:$D,'Modelling New'!W:W),"")</f>
        <v>0.13091374311955981</v>
      </c>
      <c r="AG150" s="164">
        <f>IFERROR(_xlfn.XLOOKUP($D150,'Modelling New'!$D:$D,'Modelling New'!AD:AD),"")</f>
        <v>0.995</v>
      </c>
      <c r="AH150" s="164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64"/>
      <c r="AO150" s="164"/>
      <c r="AP150" s="164"/>
      <c r="AQ150" s="164"/>
      <c r="AR150" s="38">
        <f>IFERROR(_xlfn.XLOOKUP($D150,'Modelling New'!$D:$D,'Modelling New'!$N:$N),"")</f>
        <v>10.507</v>
      </c>
      <c r="AS150" s="38"/>
      <c r="AT150" s="38" t="str">
        <f>IFERROR(_xlfn.XLOOKUP(Table13[[#This Row],[Date]],'Raw Data'!$G:$G,'Raw Data'!$AJ:$AJ),"")</f>
        <v/>
      </c>
      <c r="AU150" s="38">
        <f>IFERROR(_xlfn.XLOOKUP(Table13[[#This Row],[Month Year]],'Modelling New'!$D:$D,'Modelling New'!$AN:$AN),"")</f>
        <v>10</v>
      </c>
      <c r="AV150" s="38">
        <f>SUMIF('Curtailment records'!$C:$C,Table13[[#This Row],[Date]],'Curtailment records'!$R:$R)/1000</f>
        <v>0</v>
      </c>
    </row>
    <row r="151" spans="1:48">
      <c r="A151" s="66">
        <f t="shared" si="15"/>
        <v>45894</v>
      </c>
      <c r="B151" s="38">
        <f>YEAR(Table13[[#This Row],[Date]])+IF(MONTH(Table13[[#This Row],[Date]])&gt;=4,1,0)</f>
        <v>2026</v>
      </c>
      <c r="C151" s="17">
        <f>YEAR(Table13[[#This Row],[Date]])</f>
        <v>2025</v>
      </c>
      <c r="D151" s="37">
        <f>Table13[[#This Row],[Date]]-DAY(Table13[[#This Row],[Date]])+1</f>
        <v>45870</v>
      </c>
      <c r="E151" s="17">
        <f t="shared" si="16"/>
        <v>31</v>
      </c>
      <c r="F151" s="135" t="str" cm="1">
        <f t="array" ref="F151">IFERROR(_xlfn.XLOOKUP(Table13[[#This Row],[Date]],Raw_Data[[#All],[Date]],Raw_Data[[#All],[Operating Hours]]),"")</f>
        <v/>
      </c>
      <c r="G151" s="136" t="str">
        <f>IFERROR(_xlfn.XLOOKUP($A151,'Raw Data'!$G:$G,'Raw Data'!S:S)/1000,"")</f>
        <v/>
      </c>
      <c r="H151" s="136"/>
      <c r="I151" s="136" t="str">
        <f>IFERROR(_xlfn.XLOOKUP($A151,'Raw Data'!$G:$G,'Raw Data'!AF:AF)/1000,"")</f>
        <v/>
      </c>
      <c r="J151" s="136"/>
      <c r="K151" s="137" t="str">
        <f>IFERROR(_xlfn.XLOOKUP($A151,'Raw Data'!$G:$G,'Raw Data'!W:W),"")</f>
        <v/>
      </c>
      <c r="L151" s="136" t="str">
        <f>IFERROR(_xlfn.XLOOKUP($A151,'Raw Data'!$G:$G,'Raw Data'!X:X),"")</f>
        <v/>
      </c>
      <c r="M151" s="136" t="str">
        <f>IFERROR(_xlfn.XLOOKUP($A151,'Raw Data'!$G:$G,'Raw Data'!Y:Y),"")</f>
        <v/>
      </c>
      <c r="N151" s="136" t="str">
        <f>IFERROR(_xlfn.XLOOKUP($A151,'Raw Data'!$G:$G,'Raw Data'!Z:Z),"")</f>
        <v/>
      </c>
      <c r="O151" s="176" t="str">
        <f>IFERROR(1-SUMIF('Plant BD'!$B:$B,$A151,'Plant BD'!$AM:$AM)/($AA151+SUMIF('Plant BD'!$B:$B,$A151,'Plant BD'!$AM:$AM)),"")</f>
        <v/>
      </c>
      <c r="P151" s="176"/>
      <c r="Q151" s="177"/>
      <c r="R151" s="176" t="str">
        <f>IFERROR(1-SUMIF('Grid BD'!$B:$B,$A151,'Grid BD'!$AE:$AE)/($AA151+SUMIF('Grid BD'!$B:$B,$A151,'Grid BD'!$AE:$AE)),"")</f>
        <v/>
      </c>
      <c r="S151" s="17"/>
      <c r="T151" s="177" t="str">
        <f>IFERROR(1-SUMIF(Tracker_BD!H:H,$A151,Tracker_BD!AI:AI)/$F151,"")</f>
        <v/>
      </c>
      <c r="U151" s="178" t="str">
        <f t="shared" si="12"/>
        <v/>
      </c>
      <c r="V151" s="17"/>
      <c r="W151" s="164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38" t="str">
        <f>IFERROR(_xlfn.XLOOKUP($A151,'Raw Data'!$G:$G,'Raw Data'!AD:AD),"")</f>
        <v/>
      </c>
      <c r="AA151" s="38" t="str">
        <f>IFERROR(_xlfn.XLOOKUP($A151,'Raw Data'!$G:$G,'Raw Data'!AE:AE)*(1+(_xlfn.XLOOKUP(Table13[[#This Row],[Month Year]],JMR!$A:$A,JMR!$J:$J))),"")</f>
        <v/>
      </c>
      <c r="AB151" s="17">
        <f>_xlfn.XLOOKUP($D151,'Modelling New'!D:D,'Modelling New'!N:N)</f>
        <v>10.507</v>
      </c>
      <c r="AC151" s="24">
        <f>IFERROR(_xlfn.XLOOKUP($D151,'Modelling New'!$D:$D,'Modelling New'!P:P),"")</f>
        <v>4.4467592536129033</v>
      </c>
      <c r="AD151" s="38">
        <f>IFERROR(_xlfn.XLOOKUP($D151,'Modelling New'!$D:$D,'Modelling New'!T:T)*1000,"")</f>
        <v>33012.256774973161</v>
      </c>
      <c r="AE151" s="164">
        <f t="shared" si="14"/>
        <v>0.70656621050862611</v>
      </c>
      <c r="AF151" s="164">
        <f>IFERROR(_xlfn.XLOOKUP($D151,'Modelling New'!$D:$D,'Modelling New'!W:W),"")</f>
        <v>0.13091374311955981</v>
      </c>
      <c r="AG151" s="164">
        <f>IFERROR(_xlfn.XLOOKUP($D151,'Modelling New'!$D:$D,'Modelling New'!AD:AD),"")</f>
        <v>0.995</v>
      </c>
      <c r="AH151" s="164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64"/>
      <c r="AO151" s="164"/>
      <c r="AP151" s="164"/>
      <c r="AQ151" s="164"/>
      <c r="AR151" s="38">
        <f>IFERROR(_xlfn.XLOOKUP($D151,'Modelling New'!$D:$D,'Modelling New'!$N:$N),"")</f>
        <v>10.507</v>
      </c>
      <c r="AS151" s="38"/>
      <c r="AT151" s="38" t="str">
        <f>IFERROR(_xlfn.XLOOKUP(Table13[[#This Row],[Date]],'Raw Data'!$G:$G,'Raw Data'!$AJ:$AJ),"")</f>
        <v/>
      </c>
      <c r="AU151" s="38">
        <f>IFERROR(_xlfn.XLOOKUP(Table13[[#This Row],[Month Year]],'Modelling New'!$D:$D,'Modelling New'!$AN:$AN),"")</f>
        <v>10</v>
      </c>
      <c r="AV151" s="38">
        <f>SUMIF('Curtailment records'!$C:$C,Table13[[#This Row],[Date]],'Curtailment records'!$R:$R)/1000</f>
        <v>0</v>
      </c>
    </row>
    <row r="152" spans="1:48">
      <c r="A152" s="66">
        <f t="shared" si="15"/>
        <v>45895</v>
      </c>
      <c r="B152" s="38">
        <f>YEAR(Table13[[#This Row],[Date]])+IF(MONTH(Table13[[#This Row],[Date]])&gt;=4,1,0)</f>
        <v>2026</v>
      </c>
      <c r="C152" s="17">
        <f>YEAR(Table13[[#This Row],[Date]])</f>
        <v>2025</v>
      </c>
      <c r="D152" s="37">
        <f>Table13[[#This Row],[Date]]-DAY(Table13[[#This Row],[Date]])+1</f>
        <v>45870</v>
      </c>
      <c r="E152" s="17">
        <f t="shared" si="16"/>
        <v>31</v>
      </c>
      <c r="F152" s="135" t="str" cm="1">
        <f t="array" ref="F152">IFERROR(_xlfn.XLOOKUP(Table13[[#This Row],[Date]],Raw_Data[[#All],[Date]],Raw_Data[[#All],[Operating Hours]]),"")</f>
        <v/>
      </c>
      <c r="G152" s="24" t="str">
        <f>IFERROR(_xlfn.XLOOKUP($A152,'Raw Data'!$G:$G,'Raw Data'!S:S)/1000,"")</f>
        <v/>
      </c>
      <c r="H152" s="24"/>
      <c r="I152" s="24" t="str">
        <f>IFERROR(_xlfn.XLOOKUP($A152,'Raw Data'!$G:$G,'Raw Data'!AF:AF)/1000,"")</f>
        <v/>
      </c>
      <c r="J152" s="24"/>
      <c r="K152" s="137" t="str">
        <f>IFERROR(_xlfn.XLOOKUP($A152,'Raw Data'!$G:$G,'Raw Data'!W:W),"")</f>
        <v/>
      </c>
      <c r="L152" s="136" t="str">
        <f>IFERROR(_xlfn.XLOOKUP($A152,'Raw Data'!$G:$G,'Raw Data'!X:X),"")</f>
        <v/>
      </c>
      <c r="M152" s="136" t="str">
        <f>IFERROR(_xlfn.XLOOKUP($A152,'Raw Data'!$G:$G,'Raw Data'!Y:Y),"")</f>
        <v/>
      </c>
      <c r="N152" s="136" t="str">
        <f>IFERROR(_xlfn.XLOOKUP($A152,'Raw Data'!$G:$G,'Raw Data'!Z:Z),"")</f>
        <v/>
      </c>
      <c r="O152" s="176" t="str">
        <f>IFERROR(1-SUMIF('Plant BD'!$B:$B,$A152,'Plant BD'!$AM:$AM)/($AA152+SUMIF('Plant BD'!$B:$B,$A152,'Plant BD'!$AM:$AM)),"")</f>
        <v/>
      </c>
      <c r="P152" s="176"/>
      <c r="Q152" s="177"/>
      <c r="R152" s="179" t="str">
        <f>IFERROR(1-SUMIF('Grid BD'!$B:$B,$A152,'Grid BD'!$AE:$AE)/($AA152+SUMIF('Grid BD'!$B:$B,$A152,'Grid BD'!$AE:$AE)),"")</f>
        <v/>
      </c>
      <c r="S152" s="17"/>
      <c r="T152" s="177" t="str">
        <f>IFERROR(1-SUMIF(Tracker_BD!H:H,$A152,Tracker_BD!AI:AI)/$F152,"")</f>
        <v/>
      </c>
      <c r="U152" s="178" t="str">
        <f t="shared" si="12"/>
        <v/>
      </c>
      <c r="V152" s="17"/>
      <c r="W152" s="164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38" t="str">
        <f>IFERROR(_xlfn.XLOOKUP($A152,'Raw Data'!$G:$G,'Raw Data'!AD:AD),"")</f>
        <v/>
      </c>
      <c r="AA152" s="38" t="str">
        <f>IFERROR(_xlfn.XLOOKUP($A152,'Raw Data'!$G:$G,'Raw Data'!AE:AE)*(1+(_xlfn.XLOOKUP(Table13[[#This Row],[Month Year]],JMR!$A:$A,JMR!$J:$J))),"")</f>
        <v/>
      </c>
      <c r="AB152" s="17">
        <f>_xlfn.XLOOKUP($D152,'Modelling New'!D:D,'Modelling New'!N:N)</f>
        <v>10.507</v>
      </c>
      <c r="AC152" s="24">
        <f>IFERROR(_xlfn.XLOOKUP($D152,'Modelling New'!$D:$D,'Modelling New'!P:P),"")</f>
        <v>4.4467592536129033</v>
      </c>
      <c r="AD152" s="38">
        <f>IFERROR(_xlfn.XLOOKUP($D152,'Modelling New'!$D:$D,'Modelling New'!T:T)*1000,"")</f>
        <v>33012.256774973161</v>
      </c>
      <c r="AE152" s="164">
        <f t="shared" si="14"/>
        <v>0.70656621050862611</v>
      </c>
      <c r="AF152" s="164">
        <f>IFERROR(_xlfn.XLOOKUP($D152,'Modelling New'!$D:$D,'Modelling New'!W:W),"")</f>
        <v>0.13091374311955981</v>
      </c>
      <c r="AG152" s="164">
        <f>IFERROR(_xlfn.XLOOKUP($D152,'Modelling New'!$D:$D,'Modelling New'!AD:AD),"")</f>
        <v>0.995</v>
      </c>
      <c r="AH152" s="164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64"/>
      <c r="AO152" s="164"/>
      <c r="AP152" s="164"/>
      <c r="AQ152" s="164"/>
      <c r="AR152" s="38">
        <f>IFERROR(_xlfn.XLOOKUP($D152,'Modelling New'!$D:$D,'Modelling New'!$N:$N),"")</f>
        <v>10.507</v>
      </c>
      <c r="AS152" s="38"/>
      <c r="AT152" s="38" t="str">
        <f>IFERROR(_xlfn.XLOOKUP(Table13[[#This Row],[Date]],'Raw Data'!$G:$G,'Raw Data'!$AJ:$AJ),"")</f>
        <v/>
      </c>
      <c r="AU152" s="38">
        <f>IFERROR(_xlfn.XLOOKUP(Table13[[#This Row],[Month Year]],'Modelling New'!$D:$D,'Modelling New'!$AN:$AN),"")</f>
        <v>10</v>
      </c>
      <c r="AV152" s="38">
        <f>SUMIF('Curtailment records'!$C:$C,Table13[[#This Row],[Date]],'Curtailment records'!$R:$R)/1000</f>
        <v>0</v>
      </c>
    </row>
    <row r="153" spans="1:48">
      <c r="A153" s="66">
        <f t="shared" si="15"/>
        <v>45896</v>
      </c>
      <c r="B153" s="38">
        <f>YEAR(Table13[[#This Row],[Date]])+IF(MONTH(Table13[[#This Row],[Date]])&gt;=4,1,0)</f>
        <v>2026</v>
      </c>
      <c r="C153" s="17">
        <f>YEAR(Table13[[#This Row],[Date]])</f>
        <v>2025</v>
      </c>
      <c r="D153" s="37">
        <f>Table13[[#This Row],[Date]]-DAY(Table13[[#This Row],[Date]])+1</f>
        <v>45870</v>
      </c>
      <c r="E153" s="17">
        <f t="shared" si="16"/>
        <v>31</v>
      </c>
      <c r="F153" s="135" t="str" cm="1">
        <f t="array" ref="F153">IFERROR(_xlfn.XLOOKUP(Table13[[#This Row],[Date]],Raw_Data[[#All],[Date]],Raw_Data[[#All],[Operating Hours]]),"")</f>
        <v/>
      </c>
      <c r="G153" s="136" t="str">
        <f>IFERROR(_xlfn.XLOOKUP($A153,'Raw Data'!$G:$G,'Raw Data'!S:S)/1000,"")</f>
        <v/>
      </c>
      <c r="H153" s="136"/>
      <c r="I153" s="136" t="str">
        <f>IFERROR(_xlfn.XLOOKUP($A153,'Raw Data'!$G:$G,'Raw Data'!AF:AF)/1000,"")</f>
        <v/>
      </c>
      <c r="J153" s="136"/>
      <c r="K153" s="137" t="str">
        <f>IFERROR(_xlfn.XLOOKUP($A153,'Raw Data'!$G:$G,'Raw Data'!W:W),"")</f>
        <v/>
      </c>
      <c r="L153" s="136" t="str">
        <f>IFERROR(_xlfn.XLOOKUP($A153,'Raw Data'!$G:$G,'Raw Data'!X:X),"")</f>
        <v/>
      </c>
      <c r="M153" s="136" t="str">
        <f>IFERROR(_xlfn.XLOOKUP($A153,'Raw Data'!$G:$G,'Raw Data'!Y:Y),"")</f>
        <v/>
      </c>
      <c r="N153" s="136" t="str">
        <f>IFERROR(_xlfn.XLOOKUP($A153,'Raw Data'!$G:$G,'Raw Data'!Z:Z),"")</f>
        <v/>
      </c>
      <c r="O153" s="176" t="str">
        <f>IFERROR(1-SUMIF('Plant BD'!$B:$B,$A153,'Plant BD'!$AM:$AM)/($AA153+SUMIF('Plant BD'!$B:$B,$A153,'Plant BD'!$AM:$AM)),"")</f>
        <v/>
      </c>
      <c r="P153" s="176"/>
      <c r="Q153" s="177"/>
      <c r="R153" s="176" t="str">
        <f>IFERROR(1-SUMIF('Grid BD'!$B:$B,$A153,'Grid BD'!$AE:$AE)/($AA153+SUMIF('Grid BD'!$B:$B,$A153,'Grid BD'!$AE:$AE)),"")</f>
        <v/>
      </c>
      <c r="S153" s="17"/>
      <c r="T153" s="177" t="str">
        <f>IFERROR(1-SUMIF(Tracker_BD!H:H,$A153,Tracker_BD!AI:AI)/$F153,"")</f>
        <v/>
      </c>
      <c r="U153" s="178" t="str">
        <f t="shared" si="12"/>
        <v/>
      </c>
      <c r="V153" s="17"/>
      <c r="W153" s="164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38" t="str">
        <f>IFERROR(_xlfn.XLOOKUP($A153,'Raw Data'!$G:$G,'Raw Data'!AD:AD),"")</f>
        <v/>
      </c>
      <c r="AA153" s="38" t="str">
        <f>IFERROR(_xlfn.XLOOKUP($A153,'Raw Data'!$G:$G,'Raw Data'!AE:AE)*(1+(_xlfn.XLOOKUP(Table13[[#This Row],[Month Year]],JMR!$A:$A,JMR!$J:$J))),"")</f>
        <v/>
      </c>
      <c r="AB153" s="17">
        <f>_xlfn.XLOOKUP($D153,'Modelling New'!D:D,'Modelling New'!N:N)</f>
        <v>10.507</v>
      </c>
      <c r="AC153" s="24">
        <f>IFERROR(_xlfn.XLOOKUP($D153,'Modelling New'!$D:$D,'Modelling New'!P:P),"")</f>
        <v>4.4467592536129033</v>
      </c>
      <c r="AD153" s="38">
        <f>IFERROR(_xlfn.XLOOKUP($D153,'Modelling New'!$D:$D,'Modelling New'!T:T)*1000,"")</f>
        <v>33012.256774973161</v>
      </c>
      <c r="AE153" s="164">
        <f t="shared" si="14"/>
        <v>0.70656621050862611</v>
      </c>
      <c r="AF153" s="164">
        <f>IFERROR(_xlfn.XLOOKUP($D153,'Modelling New'!$D:$D,'Modelling New'!W:W),"")</f>
        <v>0.13091374311955981</v>
      </c>
      <c r="AG153" s="164">
        <f>IFERROR(_xlfn.XLOOKUP($D153,'Modelling New'!$D:$D,'Modelling New'!AD:AD),"")</f>
        <v>0.995</v>
      </c>
      <c r="AH153" s="164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64"/>
      <c r="AO153" s="164"/>
      <c r="AP153" s="164"/>
      <c r="AQ153" s="164"/>
      <c r="AR153" s="38">
        <f>IFERROR(_xlfn.XLOOKUP($D153,'Modelling New'!$D:$D,'Modelling New'!$N:$N),"")</f>
        <v>10.507</v>
      </c>
      <c r="AS153" s="38"/>
      <c r="AT153" s="38" t="str">
        <f>IFERROR(_xlfn.XLOOKUP(Table13[[#This Row],[Date]],'Raw Data'!$G:$G,'Raw Data'!$AJ:$AJ),"")</f>
        <v/>
      </c>
      <c r="AU153" s="38">
        <f>IFERROR(_xlfn.XLOOKUP(Table13[[#This Row],[Month Year]],'Modelling New'!$D:$D,'Modelling New'!$AN:$AN),"")</f>
        <v>10</v>
      </c>
      <c r="AV153" s="38">
        <f>SUMIF('Curtailment records'!$C:$C,Table13[[#This Row],[Date]],'Curtailment records'!$R:$R)/1000</f>
        <v>0</v>
      </c>
    </row>
    <row r="154" spans="1:48">
      <c r="A154" s="66">
        <f t="shared" si="15"/>
        <v>45897</v>
      </c>
      <c r="B154" s="38">
        <f>YEAR(Table13[[#This Row],[Date]])+IF(MONTH(Table13[[#This Row],[Date]])&gt;=4,1,0)</f>
        <v>2026</v>
      </c>
      <c r="C154" s="17">
        <f>YEAR(Table13[[#This Row],[Date]])</f>
        <v>2025</v>
      </c>
      <c r="D154" s="37">
        <f>Table13[[#This Row],[Date]]-DAY(Table13[[#This Row],[Date]])+1</f>
        <v>45870</v>
      </c>
      <c r="E154" s="17">
        <f t="shared" si="16"/>
        <v>31</v>
      </c>
      <c r="F154" s="135" t="str" cm="1">
        <f t="array" ref="F154">IFERROR(_xlfn.XLOOKUP(Table13[[#This Row],[Date]],Raw_Data[[#All],[Date]],Raw_Data[[#All],[Operating Hours]]),"")</f>
        <v/>
      </c>
      <c r="G154" s="24" t="str">
        <f>IFERROR(_xlfn.XLOOKUP($A154,'Raw Data'!$G:$G,'Raw Data'!S:S)/1000,"")</f>
        <v/>
      </c>
      <c r="H154" s="24"/>
      <c r="I154" s="24" t="str">
        <f>IFERROR(_xlfn.XLOOKUP($A154,'Raw Data'!$G:$G,'Raw Data'!AF:AF)/1000,"")</f>
        <v/>
      </c>
      <c r="J154" s="24"/>
      <c r="K154" s="137" t="str">
        <f>IFERROR(_xlfn.XLOOKUP($A154,'Raw Data'!$G:$G,'Raw Data'!W:W),"")</f>
        <v/>
      </c>
      <c r="L154" s="136" t="str">
        <f>IFERROR(_xlfn.XLOOKUP($A154,'Raw Data'!$G:$G,'Raw Data'!X:X),"")</f>
        <v/>
      </c>
      <c r="M154" s="136" t="str">
        <f>IFERROR(_xlfn.XLOOKUP($A154,'Raw Data'!$G:$G,'Raw Data'!Y:Y),"")</f>
        <v/>
      </c>
      <c r="N154" s="136" t="str">
        <f>IFERROR(_xlfn.XLOOKUP($A154,'Raw Data'!$G:$G,'Raw Data'!Z:Z),"")</f>
        <v/>
      </c>
      <c r="O154" s="176" t="str">
        <f>IFERROR(1-SUMIF('Plant BD'!$B:$B,$A154,'Plant BD'!$AM:$AM)/($AA154+SUMIF('Plant BD'!$B:$B,$A154,'Plant BD'!$AM:$AM)),"")</f>
        <v/>
      </c>
      <c r="P154" s="176"/>
      <c r="Q154" s="177"/>
      <c r="R154" s="179" t="str">
        <f>IFERROR(1-SUMIF('Grid BD'!$B:$B,$A154,'Grid BD'!$AE:$AE)/($AA154+SUMIF('Grid BD'!$B:$B,$A154,'Grid BD'!$AE:$AE)),"")</f>
        <v/>
      </c>
      <c r="S154" s="17"/>
      <c r="T154" s="177" t="str">
        <f>IFERROR(1-SUMIF(Tracker_BD!H:H,$A154,Tracker_BD!AI:AI)/$F154,"")</f>
        <v/>
      </c>
      <c r="U154" s="178" t="str">
        <f t="shared" si="12"/>
        <v/>
      </c>
      <c r="V154" s="17"/>
      <c r="W154" s="164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38" t="str">
        <f>IFERROR(_xlfn.XLOOKUP($A154,'Raw Data'!$G:$G,'Raw Data'!AD:AD),"")</f>
        <v/>
      </c>
      <c r="AA154" s="38" t="str">
        <f>IFERROR(_xlfn.XLOOKUP($A154,'Raw Data'!$G:$G,'Raw Data'!AE:AE)*(1+(_xlfn.XLOOKUP(Table13[[#This Row],[Month Year]],JMR!$A:$A,JMR!$J:$J))),"")</f>
        <v/>
      </c>
      <c r="AB154" s="17">
        <f>_xlfn.XLOOKUP($D154,'Modelling New'!D:D,'Modelling New'!N:N)</f>
        <v>10.507</v>
      </c>
      <c r="AC154" s="24">
        <f>IFERROR(_xlfn.XLOOKUP($D154,'Modelling New'!$D:$D,'Modelling New'!P:P),"")</f>
        <v>4.4467592536129033</v>
      </c>
      <c r="AD154" s="38">
        <f>IFERROR(_xlfn.XLOOKUP($D154,'Modelling New'!$D:$D,'Modelling New'!T:T)*1000,"")</f>
        <v>33012.256774973161</v>
      </c>
      <c r="AE154" s="164">
        <f t="shared" si="14"/>
        <v>0.70656621050862611</v>
      </c>
      <c r="AF154" s="164">
        <f>IFERROR(_xlfn.XLOOKUP($D154,'Modelling New'!$D:$D,'Modelling New'!W:W),"")</f>
        <v>0.13091374311955981</v>
      </c>
      <c r="AG154" s="164">
        <f>IFERROR(_xlfn.XLOOKUP($D154,'Modelling New'!$D:$D,'Modelling New'!AD:AD),"")</f>
        <v>0.995</v>
      </c>
      <c r="AH154" s="164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64"/>
      <c r="AO154" s="164"/>
      <c r="AP154" s="164"/>
      <c r="AQ154" s="164"/>
      <c r="AR154" s="38">
        <f>IFERROR(_xlfn.XLOOKUP($D154,'Modelling New'!$D:$D,'Modelling New'!$N:$N),"")</f>
        <v>10.507</v>
      </c>
      <c r="AS154" s="38"/>
      <c r="AT154" s="38" t="str">
        <f>IFERROR(_xlfn.XLOOKUP(Table13[[#This Row],[Date]],'Raw Data'!$G:$G,'Raw Data'!$AJ:$AJ),"")</f>
        <v/>
      </c>
      <c r="AU154" s="38">
        <f>IFERROR(_xlfn.XLOOKUP(Table13[[#This Row],[Month Year]],'Modelling New'!$D:$D,'Modelling New'!$AN:$AN),"")</f>
        <v>10</v>
      </c>
      <c r="AV154" s="38">
        <f>SUMIF('Curtailment records'!$C:$C,Table13[[#This Row],[Date]],'Curtailment records'!$R:$R)/1000</f>
        <v>0</v>
      </c>
    </row>
    <row r="155" spans="1:48">
      <c r="A155" s="66">
        <f t="shared" si="15"/>
        <v>45898</v>
      </c>
      <c r="B155" s="38">
        <f>YEAR(Table13[[#This Row],[Date]])+IF(MONTH(Table13[[#This Row],[Date]])&gt;=4,1,0)</f>
        <v>2026</v>
      </c>
      <c r="C155" s="17">
        <f>YEAR(Table13[[#This Row],[Date]])</f>
        <v>2025</v>
      </c>
      <c r="D155" s="37">
        <f>Table13[[#This Row],[Date]]-DAY(Table13[[#This Row],[Date]])+1</f>
        <v>45870</v>
      </c>
      <c r="E155" s="17">
        <f t="shared" si="16"/>
        <v>31</v>
      </c>
      <c r="F155" s="135" t="str" cm="1">
        <f t="array" ref="F155">IFERROR(_xlfn.XLOOKUP(Table13[[#This Row],[Date]],Raw_Data[[#All],[Date]],Raw_Data[[#All],[Operating Hours]]),"")</f>
        <v/>
      </c>
      <c r="G155" s="136" t="str">
        <f>IFERROR(_xlfn.XLOOKUP($A155,'Raw Data'!$G:$G,'Raw Data'!S:S)/1000,"")</f>
        <v/>
      </c>
      <c r="H155" s="136"/>
      <c r="I155" s="136" t="str">
        <f>IFERROR(_xlfn.XLOOKUP($A155,'Raw Data'!$G:$G,'Raw Data'!AF:AF)/1000,"")</f>
        <v/>
      </c>
      <c r="J155" s="136"/>
      <c r="K155" s="137" t="str">
        <f>IFERROR(_xlfn.XLOOKUP($A155,'Raw Data'!$G:$G,'Raw Data'!W:W),"")</f>
        <v/>
      </c>
      <c r="L155" s="136" t="str">
        <f>IFERROR(_xlfn.XLOOKUP($A155,'Raw Data'!$G:$G,'Raw Data'!X:X),"")</f>
        <v/>
      </c>
      <c r="M155" s="136" t="str">
        <f>IFERROR(_xlfn.XLOOKUP($A155,'Raw Data'!$G:$G,'Raw Data'!Y:Y),"")</f>
        <v/>
      </c>
      <c r="N155" s="136" t="str">
        <f>IFERROR(_xlfn.XLOOKUP($A155,'Raw Data'!$G:$G,'Raw Data'!Z:Z),"")</f>
        <v/>
      </c>
      <c r="O155" s="176" t="str">
        <f>IFERROR(1-SUMIF('Plant BD'!$B:$B,$A155,'Plant BD'!$AM:$AM)/($AA155+SUMIF('Plant BD'!$B:$B,$A155,'Plant BD'!$AM:$AM)),"")</f>
        <v/>
      </c>
      <c r="P155" s="176"/>
      <c r="Q155" s="177"/>
      <c r="R155" s="176" t="str">
        <f>IFERROR(1-SUMIF('Grid BD'!$B:$B,$A155,'Grid BD'!$AE:$AE)/($AA155+SUMIF('Grid BD'!$B:$B,$A155,'Grid BD'!$AE:$AE)),"")</f>
        <v/>
      </c>
      <c r="S155" s="17"/>
      <c r="T155" s="177" t="str">
        <f>IFERROR(1-SUMIF(Tracker_BD!H:H,$A155,Tracker_BD!AI:AI)/$F155,"")</f>
        <v/>
      </c>
      <c r="U155" s="178" t="str">
        <f t="shared" si="12"/>
        <v/>
      </c>
      <c r="V155" s="17"/>
      <c r="W155" s="164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38" t="str">
        <f>IFERROR(_xlfn.XLOOKUP($A155,'Raw Data'!$G:$G,'Raw Data'!AD:AD),"")</f>
        <v/>
      </c>
      <c r="AA155" s="38" t="str">
        <f>IFERROR(_xlfn.XLOOKUP($A155,'Raw Data'!$G:$G,'Raw Data'!AE:AE)*(1+(_xlfn.XLOOKUP(Table13[[#This Row],[Month Year]],JMR!$A:$A,JMR!$J:$J))),"")</f>
        <v/>
      </c>
      <c r="AB155" s="17">
        <f>_xlfn.XLOOKUP($D155,'Modelling New'!D:D,'Modelling New'!N:N)</f>
        <v>10.507</v>
      </c>
      <c r="AC155" s="24">
        <f>IFERROR(_xlfn.XLOOKUP($D155,'Modelling New'!$D:$D,'Modelling New'!P:P),"")</f>
        <v>4.4467592536129033</v>
      </c>
      <c r="AD155" s="38">
        <f>IFERROR(_xlfn.XLOOKUP($D155,'Modelling New'!$D:$D,'Modelling New'!T:T)*1000,"")</f>
        <v>33012.256774973161</v>
      </c>
      <c r="AE155" s="164">
        <f t="shared" si="14"/>
        <v>0.70656621050862611</v>
      </c>
      <c r="AF155" s="164">
        <f>IFERROR(_xlfn.XLOOKUP($D155,'Modelling New'!$D:$D,'Modelling New'!W:W),"")</f>
        <v>0.13091374311955981</v>
      </c>
      <c r="AG155" s="164">
        <f>IFERROR(_xlfn.XLOOKUP($D155,'Modelling New'!$D:$D,'Modelling New'!AD:AD),"")</f>
        <v>0.995</v>
      </c>
      <c r="AH155" s="164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64"/>
      <c r="AO155" s="164"/>
      <c r="AP155" s="164"/>
      <c r="AQ155" s="164"/>
      <c r="AR155" s="38">
        <f>IFERROR(_xlfn.XLOOKUP($D155,'Modelling New'!$D:$D,'Modelling New'!$N:$N),"")</f>
        <v>10.507</v>
      </c>
      <c r="AS155" s="38"/>
      <c r="AT155" s="38" t="str">
        <f>IFERROR(_xlfn.XLOOKUP(Table13[[#This Row],[Date]],'Raw Data'!$G:$G,'Raw Data'!$AJ:$AJ),"")</f>
        <v/>
      </c>
      <c r="AU155" s="38">
        <f>IFERROR(_xlfn.XLOOKUP(Table13[[#This Row],[Month Year]],'Modelling New'!$D:$D,'Modelling New'!$AN:$AN),"")</f>
        <v>10</v>
      </c>
      <c r="AV155" s="38">
        <f>SUMIF('Curtailment records'!$C:$C,Table13[[#This Row],[Date]],'Curtailment records'!$R:$R)/1000</f>
        <v>0</v>
      </c>
    </row>
    <row r="156" spans="1:48">
      <c r="A156" s="66">
        <f t="shared" si="15"/>
        <v>45899</v>
      </c>
      <c r="B156" s="38">
        <f>YEAR(Table13[[#This Row],[Date]])+IF(MONTH(Table13[[#This Row],[Date]])&gt;=4,1,0)</f>
        <v>2026</v>
      </c>
      <c r="C156" s="17">
        <f>YEAR(Table13[[#This Row],[Date]])</f>
        <v>2025</v>
      </c>
      <c r="D156" s="37">
        <f>Table13[[#This Row],[Date]]-DAY(Table13[[#This Row],[Date]])+1</f>
        <v>45870</v>
      </c>
      <c r="E156" s="17">
        <f t="shared" si="16"/>
        <v>31</v>
      </c>
      <c r="F156" s="135" t="str" cm="1">
        <f t="array" ref="F156">IFERROR(_xlfn.XLOOKUP(Table13[[#This Row],[Date]],Raw_Data[[#All],[Date]],Raw_Data[[#All],[Operating Hours]]),"")</f>
        <v/>
      </c>
      <c r="G156" s="24" t="str">
        <f>IFERROR(_xlfn.XLOOKUP($A156,'Raw Data'!$G:$G,'Raw Data'!S:S)/1000,"")</f>
        <v/>
      </c>
      <c r="H156" s="24"/>
      <c r="I156" s="24" t="str">
        <f>IFERROR(_xlfn.XLOOKUP($A156,'Raw Data'!$G:$G,'Raw Data'!AF:AF)/1000,"")</f>
        <v/>
      </c>
      <c r="J156" s="24"/>
      <c r="K156" s="137" t="str">
        <f>IFERROR(_xlfn.XLOOKUP($A156,'Raw Data'!$G:$G,'Raw Data'!W:W),"")</f>
        <v/>
      </c>
      <c r="L156" s="136" t="str">
        <f>IFERROR(_xlfn.XLOOKUP($A156,'Raw Data'!$G:$G,'Raw Data'!X:X),"")</f>
        <v/>
      </c>
      <c r="M156" s="136" t="str">
        <f>IFERROR(_xlfn.XLOOKUP($A156,'Raw Data'!$G:$G,'Raw Data'!Y:Y),"")</f>
        <v/>
      </c>
      <c r="N156" s="136" t="str">
        <f>IFERROR(_xlfn.XLOOKUP($A156,'Raw Data'!$G:$G,'Raw Data'!Z:Z),"")</f>
        <v/>
      </c>
      <c r="O156" s="176" t="str">
        <f>IFERROR(1-SUMIF('Plant BD'!$B:$B,$A156,'Plant BD'!$AM:$AM)/($AA156+SUMIF('Plant BD'!$B:$B,$A156,'Plant BD'!$AM:$AM)),"")</f>
        <v/>
      </c>
      <c r="P156" s="176"/>
      <c r="Q156" s="177"/>
      <c r="R156" s="179" t="str">
        <f>IFERROR(1-SUMIF('Grid BD'!$B:$B,$A156,'Grid BD'!$AE:$AE)/($AA156+SUMIF('Grid BD'!$B:$B,$A156,'Grid BD'!$AE:$AE)),"")</f>
        <v/>
      </c>
      <c r="S156" s="17"/>
      <c r="T156" s="177" t="str">
        <f>IFERROR(1-SUMIF(Tracker_BD!H:H,$A156,Tracker_BD!AI:AI)/$F156,"")</f>
        <v/>
      </c>
      <c r="U156" s="178" t="str">
        <f t="shared" si="12"/>
        <v/>
      </c>
      <c r="V156" s="17"/>
      <c r="W156" s="164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38" t="str">
        <f>IFERROR(_xlfn.XLOOKUP($A156,'Raw Data'!$G:$G,'Raw Data'!AD:AD),"")</f>
        <v/>
      </c>
      <c r="AA156" s="38" t="str">
        <f>IFERROR(_xlfn.XLOOKUP($A156,'Raw Data'!$G:$G,'Raw Data'!AE:AE)*(1+(_xlfn.XLOOKUP(Table13[[#This Row],[Month Year]],JMR!$A:$A,JMR!$J:$J))),"")</f>
        <v/>
      </c>
      <c r="AB156" s="17">
        <f>_xlfn.XLOOKUP($D156,'Modelling New'!D:D,'Modelling New'!N:N)</f>
        <v>10.507</v>
      </c>
      <c r="AC156" s="24">
        <f>IFERROR(_xlfn.XLOOKUP($D156,'Modelling New'!$D:$D,'Modelling New'!P:P),"")</f>
        <v>4.4467592536129033</v>
      </c>
      <c r="AD156" s="38">
        <f>IFERROR(_xlfn.XLOOKUP($D156,'Modelling New'!$D:$D,'Modelling New'!T:T)*1000,"")</f>
        <v>33012.256774973161</v>
      </c>
      <c r="AE156" s="164">
        <f t="shared" si="14"/>
        <v>0.70656621050862611</v>
      </c>
      <c r="AF156" s="164">
        <f>IFERROR(_xlfn.XLOOKUP($D156,'Modelling New'!$D:$D,'Modelling New'!W:W),"")</f>
        <v>0.13091374311955981</v>
      </c>
      <c r="AG156" s="164">
        <f>IFERROR(_xlfn.XLOOKUP($D156,'Modelling New'!$D:$D,'Modelling New'!AD:AD),"")</f>
        <v>0.995</v>
      </c>
      <c r="AH156" s="164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64"/>
      <c r="AO156" s="164"/>
      <c r="AP156" s="164"/>
      <c r="AQ156" s="164"/>
      <c r="AR156" s="38">
        <f>IFERROR(_xlfn.XLOOKUP($D156,'Modelling New'!$D:$D,'Modelling New'!$N:$N),"")</f>
        <v>10.507</v>
      </c>
      <c r="AS156" s="38"/>
      <c r="AT156" s="38" t="str">
        <f>IFERROR(_xlfn.XLOOKUP(Table13[[#This Row],[Date]],'Raw Data'!$G:$G,'Raw Data'!$AJ:$AJ),"")</f>
        <v/>
      </c>
      <c r="AU156" s="38">
        <f>IFERROR(_xlfn.XLOOKUP(Table13[[#This Row],[Month Year]],'Modelling New'!$D:$D,'Modelling New'!$AN:$AN),"")</f>
        <v>10</v>
      </c>
      <c r="AV156" s="38">
        <f>SUMIF('Curtailment records'!$C:$C,Table13[[#This Row],[Date]],'Curtailment records'!$R:$R)/1000</f>
        <v>0</v>
      </c>
    </row>
    <row r="157" spans="1:48">
      <c r="A157" s="66">
        <f t="shared" si="15"/>
        <v>45900</v>
      </c>
      <c r="B157" s="38">
        <f>YEAR(Table13[[#This Row],[Date]])+IF(MONTH(Table13[[#This Row],[Date]])&gt;=4,1,0)</f>
        <v>2026</v>
      </c>
      <c r="C157" s="17">
        <f>YEAR(Table13[[#This Row],[Date]])</f>
        <v>2025</v>
      </c>
      <c r="D157" s="37">
        <f>Table13[[#This Row],[Date]]-DAY(Table13[[#This Row],[Date]])+1</f>
        <v>45870</v>
      </c>
      <c r="E157" s="17">
        <f t="shared" si="16"/>
        <v>31</v>
      </c>
      <c r="F157" s="135" t="str" cm="1">
        <f t="array" ref="F157">IFERROR(_xlfn.XLOOKUP(Table13[[#This Row],[Date]],Raw_Data[[#All],[Date]],Raw_Data[[#All],[Operating Hours]]),"")</f>
        <v/>
      </c>
      <c r="G157" s="136" t="str">
        <f>IFERROR(_xlfn.XLOOKUP($A157,'Raw Data'!$G:$G,'Raw Data'!S:S)/1000,"")</f>
        <v/>
      </c>
      <c r="H157" s="136"/>
      <c r="I157" s="136" t="str">
        <f>IFERROR(_xlfn.XLOOKUP($A157,'Raw Data'!$G:$G,'Raw Data'!AF:AF)/1000,"")</f>
        <v/>
      </c>
      <c r="J157" s="136"/>
      <c r="K157" s="137" t="str">
        <f>IFERROR(_xlfn.XLOOKUP($A157,'Raw Data'!$G:$G,'Raw Data'!W:W),"")</f>
        <v/>
      </c>
      <c r="L157" s="136" t="str">
        <f>IFERROR(_xlfn.XLOOKUP($A157,'Raw Data'!$G:$G,'Raw Data'!X:X),"")</f>
        <v/>
      </c>
      <c r="M157" s="136" t="str">
        <f>IFERROR(_xlfn.XLOOKUP($A157,'Raw Data'!$G:$G,'Raw Data'!Y:Y),"")</f>
        <v/>
      </c>
      <c r="N157" s="136" t="str">
        <f>IFERROR(_xlfn.XLOOKUP($A157,'Raw Data'!$G:$G,'Raw Data'!Z:Z),"")</f>
        <v/>
      </c>
      <c r="O157" s="176" t="str">
        <f>IFERROR(1-SUMIF('Plant BD'!$B:$B,$A157,'Plant BD'!$AM:$AM)/($AA157+SUMIF('Plant BD'!$B:$B,$A157,'Plant BD'!$AM:$AM)),"")</f>
        <v/>
      </c>
      <c r="P157" s="176"/>
      <c r="Q157" s="177"/>
      <c r="R157" s="176" t="str">
        <f>IFERROR(1-SUMIF('Grid BD'!$B:$B,$A157,'Grid BD'!$AE:$AE)/($AA157+SUMIF('Grid BD'!$B:$B,$A157,'Grid BD'!$AE:$AE)),"")</f>
        <v/>
      </c>
      <c r="S157" s="17"/>
      <c r="T157" s="177" t="str">
        <f>IFERROR(1-SUMIF(Tracker_BD!H:H,$A157,Tracker_BD!AI:AI)/$F157,"")</f>
        <v/>
      </c>
      <c r="U157" s="178" t="str">
        <f t="shared" si="12"/>
        <v/>
      </c>
      <c r="V157" s="17"/>
      <c r="W157" s="164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38" t="str">
        <f>IFERROR(_xlfn.XLOOKUP($A157,'Raw Data'!$G:$G,'Raw Data'!AD:AD),"")</f>
        <v/>
      </c>
      <c r="AA157" s="38" t="str">
        <f>IFERROR(_xlfn.XLOOKUP($A157,'Raw Data'!$G:$G,'Raw Data'!AE:AE)*(1+(_xlfn.XLOOKUP(Table13[[#This Row],[Month Year]],JMR!$A:$A,JMR!$J:$J))),"")</f>
        <v/>
      </c>
      <c r="AB157" s="17">
        <f>_xlfn.XLOOKUP($D157,'Modelling New'!D:D,'Modelling New'!N:N)</f>
        <v>10.507</v>
      </c>
      <c r="AC157" s="24">
        <f>IFERROR(_xlfn.XLOOKUP($D157,'Modelling New'!$D:$D,'Modelling New'!P:P),"")</f>
        <v>4.4467592536129033</v>
      </c>
      <c r="AD157" s="38">
        <f>IFERROR(_xlfn.XLOOKUP($D157,'Modelling New'!$D:$D,'Modelling New'!T:T)*1000,"")</f>
        <v>33012.256774973161</v>
      </c>
      <c r="AE157" s="164">
        <f t="shared" si="14"/>
        <v>0.70656621050862611</v>
      </c>
      <c r="AF157" s="164">
        <f>IFERROR(_xlfn.XLOOKUP($D157,'Modelling New'!$D:$D,'Modelling New'!W:W),"")</f>
        <v>0.13091374311955981</v>
      </c>
      <c r="AG157" s="164">
        <f>IFERROR(_xlfn.XLOOKUP($D157,'Modelling New'!$D:$D,'Modelling New'!AD:AD),"")</f>
        <v>0.995</v>
      </c>
      <c r="AH157" s="164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64"/>
      <c r="AO157" s="164"/>
      <c r="AP157" s="164"/>
      <c r="AQ157" s="164"/>
      <c r="AR157" s="38">
        <f>IFERROR(_xlfn.XLOOKUP($D157,'Modelling New'!$D:$D,'Modelling New'!$N:$N),"")</f>
        <v>10.507</v>
      </c>
      <c r="AS157" s="38"/>
      <c r="AT157" s="38" t="str">
        <f>IFERROR(_xlfn.XLOOKUP(Table13[[#This Row],[Date]],'Raw Data'!$G:$G,'Raw Data'!$AJ:$AJ),"")</f>
        <v/>
      </c>
      <c r="AU157" s="38">
        <f>IFERROR(_xlfn.XLOOKUP(Table13[[#This Row],[Month Year]],'Modelling New'!$D:$D,'Modelling New'!$AN:$AN),"")</f>
        <v>10</v>
      </c>
      <c r="AV157" s="38">
        <f>SUMIF('Curtailment records'!$C:$C,Table13[[#This Row],[Date]],'Curtailment records'!$R:$R)/1000</f>
        <v>0</v>
      </c>
    </row>
    <row r="158" spans="1:48">
      <c r="A158" s="66">
        <f t="shared" si="15"/>
        <v>45901</v>
      </c>
      <c r="B158" s="38">
        <f>YEAR(Table13[[#This Row],[Date]])+IF(MONTH(Table13[[#This Row],[Date]])&gt;=4,1,0)</f>
        <v>2026</v>
      </c>
      <c r="C158" s="17">
        <f>YEAR(Table13[[#This Row],[Date]])</f>
        <v>2025</v>
      </c>
      <c r="D158" s="37">
        <f>Table13[[#This Row],[Date]]-DAY(Table13[[#This Row],[Date]])+1</f>
        <v>45901</v>
      </c>
      <c r="E158" s="17">
        <f t="shared" si="16"/>
        <v>30</v>
      </c>
      <c r="F158" s="135" t="str" cm="1">
        <f t="array" ref="F158">IFERROR(_xlfn.XLOOKUP(Table13[[#This Row],[Date]],Raw_Data[[#All],[Date]],Raw_Data[[#All],[Operating Hours]]),"")</f>
        <v/>
      </c>
      <c r="G158" s="24" t="str">
        <f>IFERROR(_xlfn.XLOOKUP($A158,'Raw Data'!$G:$G,'Raw Data'!S:S)/1000,"")</f>
        <v/>
      </c>
      <c r="H158" s="24"/>
      <c r="I158" s="24" t="str">
        <f>IFERROR(_xlfn.XLOOKUP($A158,'Raw Data'!$G:$G,'Raw Data'!AF:AF)/1000,"")</f>
        <v/>
      </c>
      <c r="J158" s="24"/>
      <c r="K158" s="137" t="str">
        <f>IFERROR(_xlfn.XLOOKUP($A158,'Raw Data'!$G:$G,'Raw Data'!W:W),"")</f>
        <v/>
      </c>
      <c r="L158" s="136" t="str">
        <f>IFERROR(_xlfn.XLOOKUP($A158,'Raw Data'!$G:$G,'Raw Data'!X:X),"")</f>
        <v/>
      </c>
      <c r="M158" s="136" t="str">
        <f>IFERROR(_xlfn.XLOOKUP($A158,'Raw Data'!$G:$G,'Raw Data'!Y:Y),"")</f>
        <v/>
      </c>
      <c r="N158" s="136" t="str">
        <f>IFERROR(_xlfn.XLOOKUP($A158,'Raw Data'!$G:$G,'Raw Data'!Z:Z),"")</f>
        <v/>
      </c>
      <c r="O158" s="176" t="str">
        <f>IFERROR(1-SUMIF('Plant BD'!$B:$B,$A158,'Plant BD'!$AM:$AM)/($AA158+SUMIF('Plant BD'!$B:$B,$A158,'Plant BD'!$AM:$AM)),"")</f>
        <v/>
      </c>
      <c r="P158" s="176"/>
      <c r="Q158" s="177"/>
      <c r="R158" s="179" t="str">
        <f>IFERROR(1-SUMIF('Grid BD'!$B:$B,$A158,'Grid BD'!$AE:$AE)/($AA158+SUMIF('Grid BD'!$B:$B,$A158,'Grid BD'!$AE:$AE)),"")</f>
        <v/>
      </c>
      <c r="S158" s="17"/>
      <c r="T158" s="177" t="str">
        <f>IFERROR(1-SUMIF(Tracker_BD!H:H,$A158,Tracker_BD!AI:AI)/$F158,"")</f>
        <v/>
      </c>
      <c r="U158" s="178" t="str">
        <f t="shared" si="12"/>
        <v/>
      </c>
      <c r="V158" s="17"/>
      <c r="W158" s="164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38" t="str">
        <f>IFERROR(_xlfn.XLOOKUP($A158,'Raw Data'!$G:$G,'Raw Data'!AD:AD),"")</f>
        <v/>
      </c>
      <c r="AA158" s="38" t="str">
        <f>IFERROR(_xlfn.XLOOKUP($A158,'Raw Data'!$G:$G,'Raw Data'!AE:AE)*(1+(_xlfn.XLOOKUP(Table13[[#This Row],[Month Year]],JMR!$A:$A,JMR!$J:$J))),"")</f>
        <v/>
      </c>
      <c r="AB158" s="17">
        <f>_xlfn.XLOOKUP($D158,'Modelling New'!D:D,'Modelling New'!N:N)</f>
        <v>10.507</v>
      </c>
      <c r="AC158" s="24">
        <f>IFERROR(_xlfn.XLOOKUP($D158,'Modelling New'!$D:$D,'Modelling New'!P:P),"")</f>
        <v>5.4346819400666666</v>
      </c>
      <c r="AD158" s="38">
        <f>IFERROR(_xlfn.XLOOKUP($D158,'Modelling New'!$D:$D,'Modelling New'!T:T)*1000,"")</f>
        <v>38712.103320676884</v>
      </c>
      <c r="AE158" s="164">
        <f t="shared" si="14"/>
        <v>0.67794412805514337</v>
      </c>
      <c r="AF158" s="164">
        <f>IFERROR(_xlfn.XLOOKUP($D158,'Modelling New'!$D:$D,'Modelling New'!W:W),"")</f>
        <v>0.15351711287981379</v>
      </c>
      <c r="AG158" s="164">
        <f>IFERROR(_xlfn.XLOOKUP($D158,'Modelling New'!$D:$D,'Modelling New'!AD:AD),"")</f>
        <v>0.995</v>
      </c>
      <c r="AH158" s="164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64"/>
      <c r="AO158" s="164"/>
      <c r="AP158" s="164"/>
      <c r="AQ158" s="164"/>
      <c r="AR158" s="38">
        <f>IFERROR(_xlfn.XLOOKUP($D158,'Modelling New'!$D:$D,'Modelling New'!$N:$N),"")</f>
        <v>10.507</v>
      </c>
      <c r="AS158" s="38"/>
      <c r="AT158" s="38" t="str">
        <f>IFERROR(_xlfn.XLOOKUP(Table13[[#This Row],[Date]],'Raw Data'!$G:$G,'Raw Data'!$AJ:$AJ),"")</f>
        <v/>
      </c>
      <c r="AU158" s="38">
        <f>IFERROR(_xlfn.XLOOKUP(Table13[[#This Row],[Month Year]],'Modelling New'!$D:$D,'Modelling New'!$AN:$AN),"")</f>
        <v>10</v>
      </c>
      <c r="AV158" s="38">
        <f>SUMIF('Curtailment records'!$C:$C,Table13[[#This Row],[Date]],'Curtailment records'!$R:$R)/1000</f>
        <v>0</v>
      </c>
    </row>
    <row r="159" spans="1:48">
      <c r="A159" s="66">
        <f t="shared" si="15"/>
        <v>45902</v>
      </c>
      <c r="B159" s="38">
        <f>YEAR(Table13[[#This Row],[Date]])+IF(MONTH(Table13[[#This Row],[Date]])&gt;=4,1,0)</f>
        <v>2026</v>
      </c>
      <c r="C159" s="17">
        <f>YEAR(Table13[[#This Row],[Date]])</f>
        <v>2025</v>
      </c>
      <c r="D159" s="37">
        <f>Table13[[#This Row],[Date]]-DAY(Table13[[#This Row],[Date]])+1</f>
        <v>45901</v>
      </c>
      <c r="E159" s="17">
        <f t="shared" si="16"/>
        <v>30</v>
      </c>
      <c r="F159" s="135" t="str" cm="1">
        <f t="array" ref="F159">IFERROR(_xlfn.XLOOKUP(Table13[[#This Row],[Date]],Raw_Data[[#All],[Date]],Raw_Data[[#All],[Operating Hours]]),"")</f>
        <v/>
      </c>
      <c r="G159" s="136" t="str">
        <f>IFERROR(_xlfn.XLOOKUP($A159,'Raw Data'!$G:$G,'Raw Data'!S:S)/1000,"")</f>
        <v/>
      </c>
      <c r="H159" s="136"/>
      <c r="I159" s="136" t="str">
        <f>IFERROR(_xlfn.XLOOKUP($A159,'Raw Data'!$G:$G,'Raw Data'!AF:AF)/1000,"")</f>
        <v/>
      </c>
      <c r="J159" s="136"/>
      <c r="K159" s="137" t="str">
        <f>IFERROR(_xlfn.XLOOKUP($A159,'Raw Data'!$G:$G,'Raw Data'!W:W),"")</f>
        <v/>
      </c>
      <c r="L159" s="136" t="str">
        <f>IFERROR(_xlfn.XLOOKUP($A159,'Raw Data'!$G:$G,'Raw Data'!X:X),"")</f>
        <v/>
      </c>
      <c r="M159" s="136" t="str">
        <f>IFERROR(_xlfn.XLOOKUP($A159,'Raw Data'!$G:$G,'Raw Data'!Y:Y),"")</f>
        <v/>
      </c>
      <c r="N159" s="136" t="str">
        <f>IFERROR(_xlfn.XLOOKUP($A159,'Raw Data'!$G:$G,'Raw Data'!Z:Z),"")</f>
        <v/>
      </c>
      <c r="O159" s="176" t="str">
        <f>IFERROR(1-SUMIF('Plant BD'!$B:$B,$A159,'Plant BD'!$AM:$AM)/($AA159+SUMIF('Plant BD'!$B:$B,$A159,'Plant BD'!$AM:$AM)),"")</f>
        <v/>
      </c>
      <c r="P159" s="176"/>
      <c r="Q159" s="177"/>
      <c r="R159" s="176" t="str">
        <f>IFERROR(1-SUMIF('Grid BD'!$B:$B,$A159,'Grid BD'!$AE:$AE)/($AA159+SUMIF('Grid BD'!$B:$B,$A159,'Grid BD'!$AE:$AE)),"")</f>
        <v/>
      </c>
      <c r="S159" s="17"/>
      <c r="T159" s="177" t="str">
        <f>IFERROR(1-SUMIF(Tracker_BD!H:H,$A159,Tracker_BD!AI:AI)/$F159,"")</f>
        <v/>
      </c>
      <c r="U159" s="178" t="str">
        <f t="shared" si="12"/>
        <v/>
      </c>
      <c r="V159" s="17"/>
      <c r="W159" s="164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38" t="str">
        <f>IFERROR(_xlfn.XLOOKUP($A159,'Raw Data'!$G:$G,'Raw Data'!AD:AD),"")</f>
        <v/>
      </c>
      <c r="AA159" s="38" t="str">
        <f>IFERROR(_xlfn.XLOOKUP($A159,'Raw Data'!$G:$G,'Raw Data'!AE:AE)*(1+(_xlfn.XLOOKUP(Table13[[#This Row],[Month Year]],JMR!$A:$A,JMR!$J:$J))),"")</f>
        <v/>
      </c>
      <c r="AB159" s="17">
        <f>_xlfn.XLOOKUP($D159,'Modelling New'!D:D,'Modelling New'!N:N)</f>
        <v>10.507</v>
      </c>
      <c r="AC159" s="24">
        <f>IFERROR(_xlfn.XLOOKUP($D159,'Modelling New'!$D:$D,'Modelling New'!P:P),"")</f>
        <v>5.4346819400666666</v>
      </c>
      <c r="AD159" s="38">
        <f>IFERROR(_xlfn.XLOOKUP($D159,'Modelling New'!$D:$D,'Modelling New'!T:T)*1000,"")</f>
        <v>38712.103320676884</v>
      </c>
      <c r="AE159" s="164">
        <f t="shared" si="14"/>
        <v>0.67794412805514337</v>
      </c>
      <c r="AF159" s="164">
        <f>IFERROR(_xlfn.XLOOKUP($D159,'Modelling New'!$D:$D,'Modelling New'!W:W),"")</f>
        <v>0.15351711287981379</v>
      </c>
      <c r="AG159" s="164">
        <f>IFERROR(_xlfn.XLOOKUP($D159,'Modelling New'!$D:$D,'Modelling New'!AD:AD),"")</f>
        <v>0.995</v>
      </c>
      <c r="AH159" s="164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64"/>
      <c r="AO159" s="164"/>
      <c r="AP159" s="164"/>
      <c r="AQ159" s="164"/>
      <c r="AR159" s="38">
        <f>IFERROR(_xlfn.XLOOKUP($D159,'Modelling New'!$D:$D,'Modelling New'!$N:$N),"")</f>
        <v>10.507</v>
      </c>
      <c r="AS159" s="38"/>
      <c r="AT159" s="38" t="str">
        <f>IFERROR(_xlfn.XLOOKUP(Table13[[#This Row],[Date]],'Raw Data'!$G:$G,'Raw Data'!$AJ:$AJ),"")</f>
        <v/>
      </c>
      <c r="AU159" s="38">
        <f>IFERROR(_xlfn.XLOOKUP(Table13[[#This Row],[Month Year]],'Modelling New'!$D:$D,'Modelling New'!$AN:$AN),"")</f>
        <v>10</v>
      </c>
      <c r="AV159" s="38">
        <f>SUMIF('Curtailment records'!$C:$C,Table13[[#This Row],[Date]],'Curtailment records'!$R:$R)/1000</f>
        <v>0</v>
      </c>
    </row>
    <row r="160" spans="1:48">
      <c r="A160" s="66">
        <f t="shared" si="15"/>
        <v>45903</v>
      </c>
      <c r="B160" s="38">
        <f>YEAR(Table13[[#This Row],[Date]])+IF(MONTH(Table13[[#This Row],[Date]])&gt;=4,1,0)</f>
        <v>2026</v>
      </c>
      <c r="C160" s="17">
        <f>YEAR(Table13[[#This Row],[Date]])</f>
        <v>2025</v>
      </c>
      <c r="D160" s="37">
        <f>Table13[[#This Row],[Date]]-DAY(Table13[[#This Row],[Date]])+1</f>
        <v>45901</v>
      </c>
      <c r="E160" s="17">
        <f t="shared" si="16"/>
        <v>30</v>
      </c>
      <c r="F160" s="135" t="str" cm="1">
        <f t="array" ref="F160">IFERROR(_xlfn.XLOOKUP(Table13[[#This Row],[Date]],Raw_Data[[#All],[Date]],Raw_Data[[#All],[Operating Hours]]),"")</f>
        <v/>
      </c>
      <c r="G160" s="24" t="str">
        <f>IFERROR(_xlfn.XLOOKUP($A160,'Raw Data'!$G:$G,'Raw Data'!S:S)/1000,"")</f>
        <v/>
      </c>
      <c r="H160" s="24"/>
      <c r="I160" s="24" t="str">
        <f>IFERROR(_xlfn.XLOOKUP($A160,'Raw Data'!$G:$G,'Raw Data'!AF:AF)/1000,"")</f>
        <v/>
      </c>
      <c r="J160" s="24"/>
      <c r="K160" s="137" t="str">
        <f>IFERROR(_xlfn.XLOOKUP($A160,'Raw Data'!$G:$G,'Raw Data'!W:W),"")</f>
        <v/>
      </c>
      <c r="L160" s="136" t="str">
        <f>IFERROR(_xlfn.XLOOKUP($A160,'Raw Data'!$G:$G,'Raw Data'!X:X),"")</f>
        <v/>
      </c>
      <c r="M160" s="136" t="str">
        <f>IFERROR(_xlfn.XLOOKUP($A160,'Raw Data'!$G:$G,'Raw Data'!Y:Y),"")</f>
        <v/>
      </c>
      <c r="N160" s="136" t="str">
        <f>IFERROR(_xlfn.XLOOKUP($A160,'Raw Data'!$G:$G,'Raw Data'!Z:Z),"")</f>
        <v/>
      </c>
      <c r="O160" s="176" t="str">
        <f>IFERROR(1-SUMIF('Plant BD'!$B:$B,$A160,'Plant BD'!$AM:$AM)/($AA160+SUMIF('Plant BD'!$B:$B,$A160,'Plant BD'!$AM:$AM)),"")</f>
        <v/>
      </c>
      <c r="P160" s="176"/>
      <c r="Q160" s="177"/>
      <c r="R160" s="179" t="str">
        <f>IFERROR(1-SUMIF('Grid BD'!$B:$B,$A160,'Grid BD'!$AE:$AE)/($AA160+SUMIF('Grid BD'!$B:$B,$A160,'Grid BD'!$AE:$AE)),"")</f>
        <v/>
      </c>
      <c r="S160" s="17"/>
      <c r="T160" s="177" t="str">
        <f>IFERROR(1-SUMIF(Tracker_BD!H:H,$A160,Tracker_BD!AI:AI)/$F160,"")</f>
        <v/>
      </c>
      <c r="U160" s="178" t="str">
        <f t="shared" si="12"/>
        <v/>
      </c>
      <c r="V160" s="17"/>
      <c r="W160" s="164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38" t="str">
        <f>IFERROR(_xlfn.XLOOKUP($A160,'Raw Data'!$G:$G,'Raw Data'!AD:AD),"")</f>
        <v/>
      </c>
      <c r="AA160" s="38" t="str">
        <f>IFERROR(_xlfn.XLOOKUP($A160,'Raw Data'!$G:$G,'Raw Data'!AE:AE)*(1+(_xlfn.XLOOKUP(Table13[[#This Row],[Month Year]],JMR!$A:$A,JMR!$J:$J))),"")</f>
        <v/>
      </c>
      <c r="AB160" s="17">
        <f>_xlfn.XLOOKUP($D160,'Modelling New'!D:D,'Modelling New'!N:N)</f>
        <v>10.507</v>
      </c>
      <c r="AC160" s="24">
        <f>IFERROR(_xlfn.XLOOKUP($D160,'Modelling New'!$D:$D,'Modelling New'!P:P),"")</f>
        <v>5.4346819400666666</v>
      </c>
      <c r="AD160" s="38">
        <f>IFERROR(_xlfn.XLOOKUP($D160,'Modelling New'!$D:$D,'Modelling New'!T:T)*1000,"")</f>
        <v>38712.103320676884</v>
      </c>
      <c r="AE160" s="164">
        <f t="shared" si="14"/>
        <v>0.67794412805514337</v>
      </c>
      <c r="AF160" s="164">
        <f>IFERROR(_xlfn.XLOOKUP($D160,'Modelling New'!$D:$D,'Modelling New'!W:W),"")</f>
        <v>0.15351711287981379</v>
      </c>
      <c r="AG160" s="164">
        <f>IFERROR(_xlfn.XLOOKUP($D160,'Modelling New'!$D:$D,'Modelling New'!AD:AD),"")</f>
        <v>0.995</v>
      </c>
      <c r="AH160" s="164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64"/>
      <c r="AO160" s="164"/>
      <c r="AP160" s="164"/>
      <c r="AQ160" s="164"/>
      <c r="AR160" s="38">
        <f>IFERROR(_xlfn.XLOOKUP($D160,'Modelling New'!$D:$D,'Modelling New'!$N:$N),"")</f>
        <v>10.507</v>
      </c>
      <c r="AS160" s="38"/>
      <c r="AT160" s="38" t="str">
        <f>IFERROR(_xlfn.XLOOKUP(Table13[[#This Row],[Date]],'Raw Data'!$G:$G,'Raw Data'!$AJ:$AJ),"")</f>
        <v/>
      </c>
      <c r="AU160" s="38">
        <f>IFERROR(_xlfn.XLOOKUP(Table13[[#This Row],[Month Year]],'Modelling New'!$D:$D,'Modelling New'!$AN:$AN),"")</f>
        <v>10</v>
      </c>
      <c r="AV160" s="38">
        <f>SUMIF('Curtailment records'!$C:$C,Table13[[#This Row],[Date]],'Curtailment records'!$R:$R)/1000</f>
        <v>0</v>
      </c>
    </row>
    <row r="161" spans="1:48">
      <c r="A161" s="66">
        <f t="shared" si="15"/>
        <v>45904</v>
      </c>
      <c r="B161" s="38">
        <f>YEAR(Table13[[#This Row],[Date]])+IF(MONTH(Table13[[#This Row],[Date]])&gt;=4,1,0)</f>
        <v>2026</v>
      </c>
      <c r="C161" s="17">
        <f>YEAR(Table13[[#This Row],[Date]])</f>
        <v>2025</v>
      </c>
      <c r="D161" s="37">
        <f>Table13[[#This Row],[Date]]-DAY(Table13[[#This Row],[Date]])+1</f>
        <v>45901</v>
      </c>
      <c r="E161" s="17">
        <f t="shared" si="16"/>
        <v>30</v>
      </c>
      <c r="F161" s="135" t="str" cm="1">
        <f t="array" ref="F161">IFERROR(_xlfn.XLOOKUP(Table13[[#This Row],[Date]],Raw_Data[[#All],[Date]],Raw_Data[[#All],[Operating Hours]]),"")</f>
        <v/>
      </c>
      <c r="G161" s="136" t="str">
        <f>IFERROR(_xlfn.XLOOKUP($A161,'Raw Data'!$G:$G,'Raw Data'!S:S)/1000,"")</f>
        <v/>
      </c>
      <c r="H161" s="136"/>
      <c r="I161" s="136" t="str">
        <f>IFERROR(_xlfn.XLOOKUP($A161,'Raw Data'!$G:$G,'Raw Data'!AF:AF)/1000,"")</f>
        <v/>
      </c>
      <c r="J161" s="136"/>
      <c r="K161" s="137" t="str">
        <f>IFERROR(_xlfn.XLOOKUP($A161,'Raw Data'!$G:$G,'Raw Data'!W:W),"")</f>
        <v/>
      </c>
      <c r="L161" s="136" t="str">
        <f>IFERROR(_xlfn.XLOOKUP($A161,'Raw Data'!$G:$G,'Raw Data'!X:X),"")</f>
        <v/>
      </c>
      <c r="M161" s="136" t="str">
        <f>IFERROR(_xlfn.XLOOKUP($A161,'Raw Data'!$G:$G,'Raw Data'!Y:Y),"")</f>
        <v/>
      </c>
      <c r="N161" s="136" t="str">
        <f>IFERROR(_xlfn.XLOOKUP($A161,'Raw Data'!$G:$G,'Raw Data'!Z:Z),"")</f>
        <v/>
      </c>
      <c r="O161" s="176" t="str">
        <f>IFERROR(1-SUMIF('Plant BD'!$B:$B,$A161,'Plant BD'!$AM:$AM)/($AA161+SUMIF('Plant BD'!$B:$B,$A161,'Plant BD'!$AM:$AM)),"")</f>
        <v/>
      </c>
      <c r="P161" s="176"/>
      <c r="Q161" s="177"/>
      <c r="R161" s="176" t="str">
        <f>IFERROR(1-SUMIF('Grid BD'!$B:$B,$A161,'Grid BD'!$AE:$AE)/($AA161+SUMIF('Grid BD'!$B:$B,$A161,'Grid BD'!$AE:$AE)),"")</f>
        <v/>
      </c>
      <c r="S161" s="17"/>
      <c r="T161" s="177" t="str">
        <f>IFERROR(1-SUMIF(Tracker_BD!H:H,$A161,Tracker_BD!AI:AI)/$F161,"")</f>
        <v/>
      </c>
      <c r="U161" s="178" t="str">
        <f t="shared" si="12"/>
        <v/>
      </c>
      <c r="V161" s="17"/>
      <c r="W161" s="164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38" t="str">
        <f>IFERROR(_xlfn.XLOOKUP($A161,'Raw Data'!$G:$G,'Raw Data'!AD:AD),"")</f>
        <v/>
      </c>
      <c r="AA161" s="38" t="str">
        <f>IFERROR(_xlfn.XLOOKUP($A161,'Raw Data'!$G:$G,'Raw Data'!AE:AE)*(1+(_xlfn.XLOOKUP(Table13[[#This Row],[Month Year]],JMR!$A:$A,JMR!$J:$J))),"")</f>
        <v/>
      </c>
      <c r="AB161" s="17">
        <f>_xlfn.XLOOKUP($D161,'Modelling New'!D:D,'Modelling New'!N:N)</f>
        <v>10.507</v>
      </c>
      <c r="AC161" s="24">
        <f>IFERROR(_xlfn.XLOOKUP($D161,'Modelling New'!$D:$D,'Modelling New'!P:P),"")</f>
        <v>5.4346819400666666</v>
      </c>
      <c r="AD161" s="38">
        <f>IFERROR(_xlfn.XLOOKUP($D161,'Modelling New'!$D:$D,'Modelling New'!T:T)*1000,"")</f>
        <v>38712.103320676884</v>
      </c>
      <c r="AE161" s="164">
        <f t="shared" si="14"/>
        <v>0.67794412805514337</v>
      </c>
      <c r="AF161" s="164">
        <f>IFERROR(_xlfn.XLOOKUP($D161,'Modelling New'!$D:$D,'Modelling New'!W:W),"")</f>
        <v>0.15351711287981379</v>
      </c>
      <c r="AG161" s="164">
        <f>IFERROR(_xlfn.XLOOKUP($D161,'Modelling New'!$D:$D,'Modelling New'!AD:AD),"")</f>
        <v>0.995</v>
      </c>
      <c r="AH161" s="164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64"/>
      <c r="AO161" s="164"/>
      <c r="AP161" s="164"/>
      <c r="AQ161" s="164"/>
      <c r="AR161" s="38">
        <f>IFERROR(_xlfn.XLOOKUP($D161,'Modelling New'!$D:$D,'Modelling New'!$N:$N),"")</f>
        <v>10.507</v>
      </c>
      <c r="AS161" s="38"/>
      <c r="AT161" s="38" t="str">
        <f>IFERROR(_xlfn.XLOOKUP(Table13[[#This Row],[Date]],'Raw Data'!$G:$G,'Raw Data'!$AJ:$AJ),"")</f>
        <v/>
      </c>
      <c r="AU161" s="38">
        <f>IFERROR(_xlfn.XLOOKUP(Table13[[#This Row],[Month Year]],'Modelling New'!$D:$D,'Modelling New'!$AN:$AN),"")</f>
        <v>10</v>
      </c>
      <c r="AV161" s="38">
        <f>SUMIF('Curtailment records'!$C:$C,Table13[[#This Row],[Date]],'Curtailment records'!$R:$R)/1000</f>
        <v>0</v>
      </c>
    </row>
    <row r="162" spans="1:48">
      <c r="A162" s="66">
        <f t="shared" si="15"/>
        <v>45905</v>
      </c>
      <c r="B162" s="38">
        <f>YEAR(Table13[[#This Row],[Date]])+IF(MONTH(Table13[[#This Row],[Date]])&gt;=4,1,0)</f>
        <v>2026</v>
      </c>
      <c r="C162" s="17">
        <f>YEAR(Table13[[#This Row],[Date]])</f>
        <v>2025</v>
      </c>
      <c r="D162" s="37">
        <f>Table13[[#This Row],[Date]]-DAY(Table13[[#This Row],[Date]])+1</f>
        <v>45901</v>
      </c>
      <c r="E162" s="17">
        <f t="shared" si="16"/>
        <v>30</v>
      </c>
      <c r="F162" s="135" t="str" cm="1">
        <f t="array" ref="F162">IFERROR(_xlfn.XLOOKUP(Table13[[#This Row],[Date]],Raw_Data[[#All],[Date]],Raw_Data[[#All],[Operating Hours]]),"")</f>
        <v/>
      </c>
      <c r="G162" s="24" t="str">
        <f>IFERROR(_xlfn.XLOOKUP($A162,'Raw Data'!$G:$G,'Raw Data'!S:S)/1000,"")</f>
        <v/>
      </c>
      <c r="H162" s="24"/>
      <c r="I162" s="24" t="str">
        <f>IFERROR(_xlfn.XLOOKUP($A162,'Raw Data'!$G:$G,'Raw Data'!AF:AF)/1000,"")</f>
        <v/>
      </c>
      <c r="J162" s="24"/>
      <c r="K162" s="137" t="str">
        <f>IFERROR(_xlfn.XLOOKUP($A162,'Raw Data'!$G:$G,'Raw Data'!W:W),"")</f>
        <v/>
      </c>
      <c r="L162" s="136" t="str">
        <f>IFERROR(_xlfn.XLOOKUP($A162,'Raw Data'!$G:$G,'Raw Data'!X:X),"")</f>
        <v/>
      </c>
      <c r="M162" s="136" t="str">
        <f>IFERROR(_xlfn.XLOOKUP($A162,'Raw Data'!$G:$G,'Raw Data'!Y:Y),"")</f>
        <v/>
      </c>
      <c r="N162" s="136" t="str">
        <f>IFERROR(_xlfn.XLOOKUP($A162,'Raw Data'!$G:$G,'Raw Data'!Z:Z),"")</f>
        <v/>
      </c>
      <c r="O162" s="176" t="str">
        <f>IFERROR(1-SUMIF('Plant BD'!$B:$B,$A162,'Plant BD'!$AM:$AM)/($AA162+SUMIF('Plant BD'!$B:$B,$A162,'Plant BD'!$AM:$AM)),"")</f>
        <v/>
      </c>
      <c r="P162" s="176"/>
      <c r="Q162" s="177"/>
      <c r="R162" s="179" t="str">
        <f>IFERROR(1-SUMIF('Grid BD'!$B:$B,$A162,'Grid BD'!$AE:$AE)/($AA162+SUMIF('Grid BD'!$B:$B,$A162,'Grid BD'!$AE:$AE)),"")</f>
        <v/>
      </c>
      <c r="S162" s="17"/>
      <c r="T162" s="177" t="str">
        <f>IFERROR(1-SUMIF(Tracker_BD!H:H,$A162,Tracker_BD!AI:AI)/$F162,"")</f>
        <v/>
      </c>
      <c r="U162" s="178" t="str">
        <f t="shared" si="12"/>
        <v/>
      </c>
      <c r="V162" s="17"/>
      <c r="W162" s="164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38" t="str">
        <f>IFERROR(_xlfn.XLOOKUP($A162,'Raw Data'!$G:$G,'Raw Data'!AD:AD),"")</f>
        <v/>
      </c>
      <c r="AA162" s="38" t="str">
        <f>IFERROR(_xlfn.XLOOKUP($A162,'Raw Data'!$G:$G,'Raw Data'!AE:AE)*(1+(_xlfn.XLOOKUP(Table13[[#This Row],[Month Year]],JMR!$A:$A,JMR!$J:$J))),"")</f>
        <v/>
      </c>
      <c r="AB162" s="17">
        <f>_xlfn.XLOOKUP($D162,'Modelling New'!D:D,'Modelling New'!N:N)</f>
        <v>10.507</v>
      </c>
      <c r="AC162" s="24">
        <f>IFERROR(_xlfn.XLOOKUP($D162,'Modelling New'!$D:$D,'Modelling New'!P:P),"")</f>
        <v>5.4346819400666666</v>
      </c>
      <c r="AD162" s="38">
        <f>IFERROR(_xlfn.XLOOKUP($D162,'Modelling New'!$D:$D,'Modelling New'!T:T)*1000,"")</f>
        <v>38712.103320676884</v>
      </c>
      <c r="AE162" s="164">
        <f t="shared" si="14"/>
        <v>0.67794412805514337</v>
      </c>
      <c r="AF162" s="164">
        <f>IFERROR(_xlfn.XLOOKUP($D162,'Modelling New'!$D:$D,'Modelling New'!W:W),"")</f>
        <v>0.15351711287981379</v>
      </c>
      <c r="AG162" s="164">
        <f>IFERROR(_xlfn.XLOOKUP($D162,'Modelling New'!$D:$D,'Modelling New'!AD:AD),"")</f>
        <v>0.995</v>
      </c>
      <c r="AH162" s="164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64"/>
      <c r="AO162" s="164"/>
      <c r="AP162" s="164"/>
      <c r="AQ162" s="164"/>
      <c r="AR162" s="38">
        <f>IFERROR(_xlfn.XLOOKUP($D162,'Modelling New'!$D:$D,'Modelling New'!$N:$N),"")</f>
        <v>10.507</v>
      </c>
      <c r="AS162" s="38"/>
      <c r="AT162" s="38" t="str">
        <f>IFERROR(_xlfn.XLOOKUP(Table13[[#This Row],[Date]],'Raw Data'!$G:$G,'Raw Data'!$AJ:$AJ),"")</f>
        <v/>
      </c>
      <c r="AU162" s="38">
        <f>IFERROR(_xlfn.XLOOKUP(Table13[[#This Row],[Month Year]],'Modelling New'!$D:$D,'Modelling New'!$AN:$AN),"")</f>
        <v>10</v>
      </c>
      <c r="AV162" s="38">
        <f>SUMIF('Curtailment records'!$C:$C,Table13[[#This Row],[Date]],'Curtailment records'!$R:$R)/1000</f>
        <v>0</v>
      </c>
    </row>
    <row r="163" spans="1:48">
      <c r="A163" s="66">
        <f t="shared" si="15"/>
        <v>45906</v>
      </c>
      <c r="B163" s="38">
        <f>YEAR(Table13[[#This Row],[Date]])+IF(MONTH(Table13[[#This Row],[Date]])&gt;=4,1,0)</f>
        <v>2026</v>
      </c>
      <c r="C163" s="17">
        <f>YEAR(Table13[[#This Row],[Date]])</f>
        <v>2025</v>
      </c>
      <c r="D163" s="37">
        <f>Table13[[#This Row],[Date]]-DAY(Table13[[#This Row],[Date]])+1</f>
        <v>45901</v>
      </c>
      <c r="E163" s="17">
        <f t="shared" si="16"/>
        <v>30</v>
      </c>
      <c r="F163" s="135" t="str" cm="1">
        <f t="array" ref="F163">IFERROR(_xlfn.XLOOKUP(Table13[[#This Row],[Date]],Raw_Data[[#All],[Date]],Raw_Data[[#All],[Operating Hours]]),"")</f>
        <v/>
      </c>
      <c r="G163" s="136" t="str">
        <f>IFERROR(_xlfn.XLOOKUP($A163,'Raw Data'!$G:$G,'Raw Data'!S:S)/1000,"")</f>
        <v/>
      </c>
      <c r="H163" s="136"/>
      <c r="I163" s="136" t="str">
        <f>IFERROR(_xlfn.XLOOKUP($A163,'Raw Data'!$G:$G,'Raw Data'!AF:AF)/1000,"")</f>
        <v/>
      </c>
      <c r="J163" s="136"/>
      <c r="K163" s="137" t="str">
        <f>IFERROR(_xlfn.XLOOKUP($A163,'Raw Data'!$G:$G,'Raw Data'!W:W),"")</f>
        <v/>
      </c>
      <c r="L163" s="136" t="str">
        <f>IFERROR(_xlfn.XLOOKUP($A163,'Raw Data'!$G:$G,'Raw Data'!X:X),"")</f>
        <v/>
      </c>
      <c r="M163" s="136" t="str">
        <f>IFERROR(_xlfn.XLOOKUP($A163,'Raw Data'!$G:$G,'Raw Data'!Y:Y),"")</f>
        <v/>
      </c>
      <c r="N163" s="136" t="str">
        <f>IFERROR(_xlfn.XLOOKUP($A163,'Raw Data'!$G:$G,'Raw Data'!Z:Z),"")</f>
        <v/>
      </c>
      <c r="O163" s="176" t="str">
        <f>IFERROR(1-SUMIF('Plant BD'!$B:$B,$A163,'Plant BD'!$AM:$AM)/($AA163+SUMIF('Plant BD'!$B:$B,$A163,'Plant BD'!$AM:$AM)),"")</f>
        <v/>
      </c>
      <c r="P163" s="176"/>
      <c r="Q163" s="177"/>
      <c r="R163" s="176" t="str">
        <f>IFERROR(1-SUMIF('Grid BD'!$B:$B,$A163,'Grid BD'!$AE:$AE)/($AA163+SUMIF('Grid BD'!$B:$B,$A163,'Grid BD'!$AE:$AE)),"")</f>
        <v/>
      </c>
      <c r="S163" s="17"/>
      <c r="T163" s="177" t="str">
        <f>IFERROR(1-SUMIF(Tracker_BD!H:H,$A163,Tracker_BD!AI:AI)/$F163,"")</f>
        <v/>
      </c>
      <c r="U163" s="178" t="str">
        <f t="shared" si="12"/>
        <v/>
      </c>
      <c r="V163" s="17"/>
      <c r="W163" s="164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38" t="str">
        <f>IFERROR(_xlfn.XLOOKUP($A163,'Raw Data'!$G:$G,'Raw Data'!AD:AD),"")</f>
        <v/>
      </c>
      <c r="AA163" s="38" t="str">
        <f>IFERROR(_xlfn.XLOOKUP($A163,'Raw Data'!$G:$G,'Raw Data'!AE:AE)*(1+(_xlfn.XLOOKUP(Table13[[#This Row],[Month Year]],JMR!$A:$A,JMR!$J:$J))),"")</f>
        <v/>
      </c>
      <c r="AB163" s="17">
        <f>_xlfn.XLOOKUP($D163,'Modelling New'!D:D,'Modelling New'!N:N)</f>
        <v>10.507</v>
      </c>
      <c r="AC163" s="24">
        <f>IFERROR(_xlfn.XLOOKUP($D163,'Modelling New'!$D:$D,'Modelling New'!P:P),"")</f>
        <v>5.4346819400666666</v>
      </c>
      <c r="AD163" s="38">
        <f>IFERROR(_xlfn.XLOOKUP($D163,'Modelling New'!$D:$D,'Modelling New'!T:T)*1000,"")</f>
        <v>38712.103320676884</v>
      </c>
      <c r="AE163" s="164">
        <f t="shared" si="14"/>
        <v>0.67794412805514337</v>
      </c>
      <c r="AF163" s="164">
        <f>IFERROR(_xlfn.XLOOKUP($D163,'Modelling New'!$D:$D,'Modelling New'!W:W),"")</f>
        <v>0.15351711287981379</v>
      </c>
      <c r="AG163" s="164">
        <f>IFERROR(_xlfn.XLOOKUP($D163,'Modelling New'!$D:$D,'Modelling New'!AD:AD),"")</f>
        <v>0.995</v>
      </c>
      <c r="AH163" s="164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64"/>
      <c r="AO163" s="164"/>
      <c r="AP163" s="164"/>
      <c r="AQ163" s="164"/>
      <c r="AR163" s="38">
        <f>IFERROR(_xlfn.XLOOKUP($D163,'Modelling New'!$D:$D,'Modelling New'!$N:$N),"")</f>
        <v>10.507</v>
      </c>
      <c r="AS163" s="38"/>
      <c r="AT163" s="38" t="str">
        <f>IFERROR(_xlfn.XLOOKUP(Table13[[#This Row],[Date]],'Raw Data'!$G:$G,'Raw Data'!$AJ:$AJ),"")</f>
        <v/>
      </c>
      <c r="AU163" s="38">
        <f>IFERROR(_xlfn.XLOOKUP(Table13[[#This Row],[Month Year]],'Modelling New'!$D:$D,'Modelling New'!$AN:$AN),"")</f>
        <v>10</v>
      </c>
      <c r="AV163" s="38">
        <f>SUMIF('Curtailment records'!$C:$C,Table13[[#This Row],[Date]],'Curtailment records'!$R:$R)/1000</f>
        <v>0</v>
      </c>
    </row>
    <row r="164" spans="1:48">
      <c r="A164" s="66">
        <f t="shared" si="15"/>
        <v>45907</v>
      </c>
      <c r="B164" s="38">
        <f>YEAR(Table13[[#This Row],[Date]])+IF(MONTH(Table13[[#This Row],[Date]])&gt;=4,1,0)</f>
        <v>2026</v>
      </c>
      <c r="C164" s="17">
        <f>YEAR(Table13[[#This Row],[Date]])</f>
        <v>2025</v>
      </c>
      <c r="D164" s="37">
        <f>Table13[[#This Row],[Date]]-DAY(Table13[[#This Row],[Date]])+1</f>
        <v>45901</v>
      </c>
      <c r="E164" s="17">
        <f t="shared" si="16"/>
        <v>30</v>
      </c>
      <c r="F164" s="135" t="str" cm="1">
        <f t="array" ref="F164">IFERROR(_xlfn.XLOOKUP(Table13[[#This Row],[Date]],Raw_Data[[#All],[Date]],Raw_Data[[#All],[Operating Hours]]),"")</f>
        <v/>
      </c>
      <c r="G164" s="24" t="str">
        <f>IFERROR(_xlfn.XLOOKUP($A164,'Raw Data'!$G:$G,'Raw Data'!S:S)/1000,"")</f>
        <v/>
      </c>
      <c r="H164" s="24"/>
      <c r="I164" s="24" t="str">
        <f>IFERROR(_xlfn.XLOOKUP($A164,'Raw Data'!$G:$G,'Raw Data'!AF:AF)/1000,"")</f>
        <v/>
      </c>
      <c r="J164" s="24"/>
      <c r="K164" s="137" t="str">
        <f>IFERROR(_xlfn.XLOOKUP($A164,'Raw Data'!$G:$G,'Raw Data'!W:W),"")</f>
        <v/>
      </c>
      <c r="L164" s="136" t="str">
        <f>IFERROR(_xlfn.XLOOKUP($A164,'Raw Data'!$G:$G,'Raw Data'!X:X),"")</f>
        <v/>
      </c>
      <c r="M164" s="136" t="str">
        <f>IFERROR(_xlfn.XLOOKUP($A164,'Raw Data'!$G:$G,'Raw Data'!Y:Y),"")</f>
        <v/>
      </c>
      <c r="N164" s="136" t="str">
        <f>IFERROR(_xlfn.XLOOKUP($A164,'Raw Data'!$G:$G,'Raw Data'!Z:Z),"")</f>
        <v/>
      </c>
      <c r="O164" s="176" t="str">
        <f>IFERROR(1-SUMIF('Plant BD'!$B:$B,$A164,'Plant BD'!$AM:$AM)/($AA164+SUMIF('Plant BD'!$B:$B,$A164,'Plant BD'!$AM:$AM)),"")</f>
        <v/>
      </c>
      <c r="P164" s="176"/>
      <c r="Q164" s="177"/>
      <c r="R164" s="179" t="str">
        <f>IFERROR(1-SUMIF('Grid BD'!$B:$B,$A164,'Grid BD'!$AE:$AE)/($AA164+SUMIF('Grid BD'!$B:$B,$A164,'Grid BD'!$AE:$AE)),"")</f>
        <v/>
      </c>
      <c r="S164" s="17"/>
      <c r="T164" s="177" t="str">
        <f>IFERROR(1-SUMIF(Tracker_BD!H:H,$A164,Tracker_BD!AI:AI)/$F164,"")</f>
        <v/>
      </c>
      <c r="U164" s="178" t="str">
        <f t="shared" si="12"/>
        <v/>
      </c>
      <c r="V164" s="17"/>
      <c r="W164" s="164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38" t="str">
        <f>IFERROR(_xlfn.XLOOKUP($A164,'Raw Data'!$G:$G,'Raw Data'!AD:AD),"")</f>
        <v/>
      </c>
      <c r="AA164" s="38" t="str">
        <f>IFERROR(_xlfn.XLOOKUP($A164,'Raw Data'!$G:$G,'Raw Data'!AE:AE)*(1+(_xlfn.XLOOKUP(Table13[[#This Row],[Month Year]],JMR!$A:$A,JMR!$J:$J))),"")</f>
        <v/>
      </c>
      <c r="AB164" s="17">
        <f>_xlfn.XLOOKUP($D164,'Modelling New'!D:D,'Modelling New'!N:N)</f>
        <v>10.507</v>
      </c>
      <c r="AC164" s="24">
        <f>IFERROR(_xlfn.XLOOKUP($D164,'Modelling New'!$D:$D,'Modelling New'!P:P),"")</f>
        <v>5.4346819400666666</v>
      </c>
      <c r="AD164" s="38">
        <f>IFERROR(_xlfn.XLOOKUP($D164,'Modelling New'!$D:$D,'Modelling New'!T:T)*1000,"")</f>
        <v>38712.103320676884</v>
      </c>
      <c r="AE164" s="164">
        <f t="shared" si="14"/>
        <v>0.67794412805514337</v>
      </c>
      <c r="AF164" s="164">
        <f>IFERROR(_xlfn.XLOOKUP($D164,'Modelling New'!$D:$D,'Modelling New'!W:W),"")</f>
        <v>0.15351711287981379</v>
      </c>
      <c r="AG164" s="164">
        <f>IFERROR(_xlfn.XLOOKUP($D164,'Modelling New'!$D:$D,'Modelling New'!AD:AD),"")</f>
        <v>0.995</v>
      </c>
      <c r="AH164" s="164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64"/>
      <c r="AO164" s="164"/>
      <c r="AP164" s="164"/>
      <c r="AQ164" s="164"/>
      <c r="AR164" s="38">
        <f>IFERROR(_xlfn.XLOOKUP($D164,'Modelling New'!$D:$D,'Modelling New'!$N:$N),"")</f>
        <v>10.507</v>
      </c>
      <c r="AS164" s="38"/>
      <c r="AT164" s="38" t="str">
        <f>IFERROR(_xlfn.XLOOKUP(Table13[[#This Row],[Date]],'Raw Data'!$G:$G,'Raw Data'!$AJ:$AJ),"")</f>
        <v/>
      </c>
      <c r="AU164" s="38">
        <f>IFERROR(_xlfn.XLOOKUP(Table13[[#This Row],[Month Year]],'Modelling New'!$D:$D,'Modelling New'!$AN:$AN),"")</f>
        <v>10</v>
      </c>
      <c r="AV164" s="38">
        <f>SUMIF('Curtailment records'!$C:$C,Table13[[#This Row],[Date]],'Curtailment records'!$R:$R)/1000</f>
        <v>0</v>
      </c>
    </row>
    <row r="165" spans="1:48">
      <c r="A165" s="66">
        <f t="shared" si="15"/>
        <v>45908</v>
      </c>
      <c r="B165" s="38">
        <f>YEAR(Table13[[#This Row],[Date]])+IF(MONTH(Table13[[#This Row],[Date]])&gt;=4,1,0)</f>
        <v>2026</v>
      </c>
      <c r="C165" s="17">
        <f>YEAR(Table13[[#This Row],[Date]])</f>
        <v>2025</v>
      </c>
      <c r="D165" s="37">
        <f>Table13[[#This Row],[Date]]-DAY(Table13[[#This Row],[Date]])+1</f>
        <v>45901</v>
      </c>
      <c r="E165" s="17">
        <f t="shared" si="16"/>
        <v>30</v>
      </c>
      <c r="F165" s="135" t="str" cm="1">
        <f t="array" ref="F165">IFERROR(_xlfn.XLOOKUP(Table13[[#This Row],[Date]],Raw_Data[[#All],[Date]],Raw_Data[[#All],[Operating Hours]]),"")</f>
        <v/>
      </c>
      <c r="G165" s="136" t="str">
        <f>IFERROR(_xlfn.XLOOKUP($A165,'Raw Data'!$G:$G,'Raw Data'!S:S)/1000,"")</f>
        <v/>
      </c>
      <c r="H165" s="136"/>
      <c r="I165" s="136" t="str">
        <f>IFERROR(_xlfn.XLOOKUP($A165,'Raw Data'!$G:$G,'Raw Data'!AF:AF)/1000,"")</f>
        <v/>
      </c>
      <c r="J165" s="136"/>
      <c r="K165" s="137" t="str">
        <f>IFERROR(_xlfn.XLOOKUP($A165,'Raw Data'!$G:$G,'Raw Data'!W:W),"")</f>
        <v/>
      </c>
      <c r="L165" s="136" t="str">
        <f>IFERROR(_xlfn.XLOOKUP($A165,'Raw Data'!$G:$G,'Raw Data'!X:X),"")</f>
        <v/>
      </c>
      <c r="M165" s="136" t="str">
        <f>IFERROR(_xlfn.XLOOKUP($A165,'Raw Data'!$G:$G,'Raw Data'!Y:Y),"")</f>
        <v/>
      </c>
      <c r="N165" s="136" t="str">
        <f>IFERROR(_xlfn.XLOOKUP($A165,'Raw Data'!$G:$G,'Raw Data'!Z:Z),"")</f>
        <v/>
      </c>
      <c r="O165" s="176" t="str">
        <f>IFERROR(1-SUMIF('Plant BD'!$B:$B,$A165,'Plant BD'!$AM:$AM)/($AA165+SUMIF('Plant BD'!$B:$B,$A165,'Plant BD'!$AM:$AM)),"")</f>
        <v/>
      </c>
      <c r="P165" s="176"/>
      <c r="Q165" s="177"/>
      <c r="R165" s="176" t="str">
        <f>IFERROR(1-SUMIF('Grid BD'!$B:$B,$A165,'Grid BD'!$AE:$AE)/($AA165+SUMIF('Grid BD'!$B:$B,$A165,'Grid BD'!$AE:$AE)),"")</f>
        <v/>
      </c>
      <c r="S165" s="17"/>
      <c r="T165" s="177" t="str">
        <f>IFERROR(1-SUMIF(Tracker_BD!H:H,$A165,Tracker_BD!AI:AI)/$F165,"")</f>
        <v/>
      </c>
      <c r="U165" s="178" t="str">
        <f t="shared" si="12"/>
        <v/>
      </c>
      <c r="V165" s="17"/>
      <c r="W165" s="164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38" t="str">
        <f>IFERROR(_xlfn.XLOOKUP($A165,'Raw Data'!$G:$G,'Raw Data'!AD:AD),"")</f>
        <v/>
      </c>
      <c r="AA165" s="38" t="str">
        <f>IFERROR(_xlfn.XLOOKUP($A165,'Raw Data'!$G:$G,'Raw Data'!AE:AE)*(1+(_xlfn.XLOOKUP(Table13[[#This Row],[Month Year]],JMR!$A:$A,JMR!$J:$J))),"")</f>
        <v/>
      </c>
      <c r="AB165" s="17">
        <f>_xlfn.XLOOKUP($D165,'Modelling New'!D:D,'Modelling New'!N:N)</f>
        <v>10.507</v>
      </c>
      <c r="AC165" s="24">
        <f>IFERROR(_xlfn.XLOOKUP($D165,'Modelling New'!$D:$D,'Modelling New'!P:P),"")</f>
        <v>5.4346819400666666</v>
      </c>
      <c r="AD165" s="38">
        <f>IFERROR(_xlfn.XLOOKUP($D165,'Modelling New'!$D:$D,'Modelling New'!T:T)*1000,"")</f>
        <v>38712.103320676884</v>
      </c>
      <c r="AE165" s="164">
        <f t="shared" si="14"/>
        <v>0.67794412805514337</v>
      </c>
      <c r="AF165" s="164">
        <f>IFERROR(_xlfn.XLOOKUP($D165,'Modelling New'!$D:$D,'Modelling New'!W:W),"")</f>
        <v>0.15351711287981379</v>
      </c>
      <c r="AG165" s="164">
        <f>IFERROR(_xlfn.XLOOKUP($D165,'Modelling New'!$D:$D,'Modelling New'!AD:AD),"")</f>
        <v>0.995</v>
      </c>
      <c r="AH165" s="164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64"/>
      <c r="AO165" s="164"/>
      <c r="AP165" s="164"/>
      <c r="AQ165" s="164"/>
      <c r="AR165" s="38">
        <f>IFERROR(_xlfn.XLOOKUP($D165,'Modelling New'!$D:$D,'Modelling New'!$N:$N),"")</f>
        <v>10.507</v>
      </c>
      <c r="AS165" s="38"/>
      <c r="AT165" s="38" t="str">
        <f>IFERROR(_xlfn.XLOOKUP(Table13[[#This Row],[Date]],'Raw Data'!$G:$G,'Raw Data'!$AJ:$AJ),"")</f>
        <v/>
      </c>
      <c r="AU165" s="38">
        <f>IFERROR(_xlfn.XLOOKUP(Table13[[#This Row],[Month Year]],'Modelling New'!$D:$D,'Modelling New'!$AN:$AN),"")</f>
        <v>10</v>
      </c>
      <c r="AV165" s="38">
        <f>SUMIF('Curtailment records'!$C:$C,Table13[[#This Row],[Date]],'Curtailment records'!$R:$R)/1000</f>
        <v>0</v>
      </c>
    </row>
    <row r="166" spans="1:48">
      <c r="A166" s="66">
        <f t="shared" si="15"/>
        <v>45909</v>
      </c>
      <c r="B166" s="38">
        <f>YEAR(Table13[[#This Row],[Date]])+IF(MONTH(Table13[[#This Row],[Date]])&gt;=4,1,0)</f>
        <v>2026</v>
      </c>
      <c r="C166" s="17">
        <f>YEAR(Table13[[#This Row],[Date]])</f>
        <v>2025</v>
      </c>
      <c r="D166" s="37">
        <f>Table13[[#This Row],[Date]]-DAY(Table13[[#This Row],[Date]])+1</f>
        <v>45901</v>
      </c>
      <c r="E166" s="17">
        <f t="shared" si="16"/>
        <v>30</v>
      </c>
      <c r="F166" s="135" t="str" cm="1">
        <f t="array" ref="F166">IFERROR(_xlfn.XLOOKUP(Table13[[#This Row],[Date]],Raw_Data[[#All],[Date]],Raw_Data[[#All],[Operating Hours]]),"")</f>
        <v/>
      </c>
      <c r="G166" s="24" t="str">
        <f>IFERROR(_xlfn.XLOOKUP($A166,'Raw Data'!$G:$G,'Raw Data'!S:S)/1000,"")</f>
        <v/>
      </c>
      <c r="H166" s="24"/>
      <c r="I166" s="24" t="str">
        <f>IFERROR(_xlfn.XLOOKUP($A166,'Raw Data'!$G:$G,'Raw Data'!AF:AF)/1000,"")</f>
        <v/>
      </c>
      <c r="J166" s="24"/>
      <c r="K166" s="137" t="str">
        <f>IFERROR(_xlfn.XLOOKUP($A166,'Raw Data'!$G:$G,'Raw Data'!W:W),"")</f>
        <v/>
      </c>
      <c r="L166" s="136" t="str">
        <f>IFERROR(_xlfn.XLOOKUP($A166,'Raw Data'!$G:$G,'Raw Data'!X:X),"")</f>
        <v/>
      </c>
      <c r="M166" s="136" t="str">
        <f>IFERROR(_xlfn.XLOOKUP($A166,'Raw Data'!$G:$G,'Raw Data'!Y:Y),"")</f>
        <v/>
      </c>
      <c r="N166" s="136" t="str">
        <f>IFERROR(_xlfn.XLOOKUP($A166,'Raw Data'!$G:$G,'Raw Data'!Z:Z),"")</f>
        <v/>
      </c>
      <c r="O166" s="176" t="str">
        <f>IFERROR(1-SUMIF('Plant BD'!$B:$B,$A166,'Plant BD'!$AM:$AM)/($AA166+SUMIF('Plant BD'!$B:$B,$A166,'Plant BD'!$AM:$AM)),"")</f>
        <v/>
      </c>
      <c r="P166" s="176"/>
      <c r="Q166" s="177"/>
      <c r="R166" s="179" t="str">
        <f>IFERROR(1-SUMIF('Grid BD'!$B:$B,$A166,'Grid BD'!$AE:$AE)/($AA166+SUMIF('Grid BD'!$B:$B,$A166,'Grid BD'!$AE:$AE)),"")</f>
        <v/>
      </c>
      <c r="S166" s="17"/>
      <c r="T166" s="177" t="str">
        <f>IFERROR(1-SUMIF(Tracker_BD!H:H,$A166,Tracker_BD!AI:AI)/$F166,"")</f>
        <v/>
      </c>
      <c r="U166" s="178" t="str">
        <f t="shared" si="12"/>
        <v/>
      </c>
      <c r="V166" s="17"/>
      <c r="W166" s="164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38" t="str">
        <f>IFERROR(_xlfn.XLOOKUP($A166,'Raw Data'!$G:$G,'Raw Data'!AD:AD),"")</f>
        <v/>
      </c>
      <c r="AA166" s="38" t="str">
        <f>IFERROR(_xlfn.XLOOKUP($A166,'Raw Data'!$G:$G,'Raw Data'!AE:AE)*(1+(_xlfn.XLOOKUP(Table13[[#This Row],[Month Year]],JMR!$A:$A,JMR!$J:$J))),"")</f>
        <v/>
      </c>
      <c r="AB166" s="17">
        <f>_xlfn.XLOOKUP($D166,'Modelling New'!D:D,'Modelling New'!N:N)</f>
        <v>10.507</v>
      </c>
      <c r="AC166" s="24">
        <f>IFERROR(_xlfn.XLOOKUP($D166,'Modelling New'!$D:$D,'Modelling New'!P:P),"")</f>
        <v>5.4346819400666666</v>
      </c>
      <c r="AD166" s="38">
        <f>IFERROR(_xlfn.XLOOKUP($D166,'Modelling New'!$D:$D,'Modelling New'!T:T)*1000,"")</f>
        <v>38712.103320676884</v>
      </c>
      <c r="AE166" s="164">
        <f t="shared" si="14"/>
        <v>0.67794412805514337</v>
      </c>
      <c r="AF166" s="164">
        <f>IFERROR(_xlfn.XLOOKUP($D166,'Modelling New'!$D:$D,'Modelling New'!W:W),"")</f>
        <v>0.15351711287981379</v>
      </c>
      <c r="AG166" s="164">
        <f>IFERROR(_xlfn.XLOOKUP($D166,'Modelling New'!$D:$D,'Modelling New'!AD:AD),"")</f>
        <v>0.995</v>
      </c>
      <c r="AH166" s="164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64"/>
      <c r="AO166" s="164"/>
      <c r="AP166" s="164"/>
      <c r="AQ166" s="164"/>
      <c r="AR166" s="38">
        <f>IFERROR(_xlfn.XLOOKUP($D166,'Modelling New'!$D:$D,'Modelling New'!$N:$N),"")</f>
        <v>10.507</v>
      </c>
      <c r="AS166" s="38"/>
      <c r="AT166" s="38" t="str">
        <f>IFERROR(_xlfn.XLOOKUP(Table13[[#This Row],[Date]],'Raw Data'!$G:$G,'Raw Data'!$AJ:$AJ),"")</f>
        <v/>
      </c>
      <c r="AU166" s="38">
        <f>IFERROR(_xlfn.XLOOKUP(Table13[[#This Row],[Month Year]],'Modelling New'!$D:$D,'Modelling New'!$AN:$AN),"")</f>
        <v>10</v>
      </c>
      <c r="AV166" s="38">
        <f>SUMIF('Curtailment records'!$C:$C,Table13[[#This Row],[Date]],'Curtailment records'!$R:$R)/1000</f>
        <v>0</v>
      </c>
    </row>
    <row r="167" spans="1:48">
      <c r="A167" s="66">
        <f t="shared" si="15"/>
        <v>45910</v>
      </c>
      <c r="B167" s="38">
        <f>YEAR(Table13[[#This Row],[Date]])+IF(MONTH(Table13[[#This Row],[Date]])&gt;=4,1,0)</f>
        <v>2026</v>
      </c>
      <c r="C167" s="17">
        <f>YEAR(Table13[[#This Row],[Date]])</f>
        <v>2025</v>
      </c>
      <c r="D167" s="37">
        <f>Table13[[#This Row],[Date]]-DAY(Table13[[#This Row],[Date]])+1</f>
        <v>45901</v>
      </c>
      <c r="E167" s="17">
        <f t="shared" si="16"/>
        <v>30</v>
      </c>
      <c r="F167" s="135" t="str" cm="1">
        <f t="array" ref="F167">IFERROR(_xlfn.XLOOKUP(Table13[[#This Row],[Date]],Raw_Data[[#All],[Date]],Raw_Data[[#All],[Operating Hours]]),"")</f>
        <v/>
      </c>
      <c r="G167" s="136" t="str">
        <f>IFERROR(_xlfn.XLOOKUP($A167,'Raw Data'!$G:$G,'Raw Data'!S:S)/1000,"")</f>
        <v/>
      </c>
      <c r="H167" s="136"/>
      <c r="I167" s="136" t="str">
        <f>IFERROR(_xlfn.XLOOKUP($A167,'Raw Data'!$G:$G,'Raw Data'!AF:AF)/1000,"")</f>
        <v/>
      </c>
      <c r="J167" s="136"/>
      <c r="K167" s="137" t="str">
        <f>IFERROR(_xlfn.XLOOKUP($A167,'Raw Data'!$G:$G,'Raw Data'!W:W),"")</f>
        <v/>
      </c>
      <c r="L167" s="136" t="str">
        <f>IFERROR(_xlfn.XLOOKUP($A167,'Raw Data'!$G:$G,'Raw Data'!X:X),"")</f>
        <v/>
      </c>
      <c r="M167" s="136" t="str">
        <f>IFERROR(_xlfn.XLOOKUP($A167,'Raw Data'!$G:$G,'Raw Data'!Y:Y),"")</f>
        <v/>
      </c>
      <c r="N167" s="136" t="str">
        <f>IFERROR(_xlfn.XLOOKUP($A167,'Raw Data'!$G:$G,'Raw Data'!Z:Z),"")</f>
        <v/>
      </c>
      <c r="O167" s="176" t="str">
        <f>IFERROR(1-SUMIF('Plant BD'!$B:$B,$A167,'Plant BD'!$AM:$AM)/($AA167+SUMIF('Plant BD'!$B:$B,$A167,'Plant BD'!$AM:$AM)),"")</f>
        <v/>
      </c>
      <c r="P167" s="176"/>
      <c r="Q167" s="177"/>
      <c r="R167" s="176" t="str">
        <f>IFERROR(1-SUMIF('Grid BD'!$B:$B,$A167,'Grid BD'!$AE:$AE)/($AA167+SUMIF('Grid BD'!$B:$B,$A167,'Grid BD'!$AE:$AE)),"")</f>
        <v/>
      </c>
      <c r="S167" s="17"/>
      <c r="T167" s="177" t="str">
        <f>IFERROR(1-SUMIF(Tracker_BD!H:H,$A167,Tracker_BD!AI:AI)/$F167,"")</f>
        <v/>
      </c>
      <c r="U167" s="178" t="str">
        <f t="shared" si="12"/>
        <v/>
      </c>
      <c r="V167" s="17"/>
      <c r="W167" s="164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38" t="str">
        <f>IFERROR(_xlfn.XLOOKUP($A167,'Raw Data'!$G:$G,'Raw Data'!AD:AD),"")</f>
        <v/>
      </c>
      <c r="AA167" s="38" t="str">
        <f>IFERROR(_xlfn.XLOOKUP($A167,'Raw Data'!$G:$G,'Raw Data'!AE:AE)*(1+(_xlfn.XLOOKUP(Table13[[#This Row],[Month Year]],JMR!$A:$A,JMR!$J:$J))),"")</f>
        <v/>
      </c>
      <c r="AB167" s="17">
        <f>_xlfn.XLOOKUP($D167,'Modelling New'!D:D,'Modelling New'!N:N)</f>
        <v>10.507</v>
      </c>
      <c r="AC167" s="24">
        <f>IFERROR(_xlfn.XLOOKUP($D167,'Modelling New'!$D:$D,'Modelling New'!P:P),"")</f>
        <v>5.4346819400666666</v>
      </c>
      <c r="AD167" s="38">
        <f>IFERROR(_xlfn.XLOOKUP($D167,'Modelling New'!$D:$D,'Modelling New'!T:T)*1000,"")</f>
        <v>38712.103320676884</v>
      </c>
      <c r="AE167" s="164">
        <f t="shared" si="14"/>
        <v>0.67794412805514337</v>
      </c>
      <c r="AF167" s="164">
        <f>IFERROR(_xlfn.XLOOKUP($D167,'Modelling New'!$D:$D,'Modelling New'!W:W),"")</f>
        <v>0.15351711287981379</v>
      </c>
      <c r="AG167" s="164">
        <f>IFERROR(_xlfn.XLOOKUP($D167,'Modelling New'!$D:$D,'Modelling New'!AD:AD),"")</f>
        <v>0.995</v>
      </c>
      <c r="AH167" s="164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64"/>
      <c r="AO167" s="164"/>
      <c r="AP167" s="164"/>
      <c r="AQ167" s="164"/>
      <c r="AR167" s="38">
        <f>IFERROR(_xlfn.XLOOKUP($D167,'Modelling New'!$D:$D,'Modelling New'!$N:$N),"")</f>
        <v>10.507</v>
      </c>
      <c r="AS167" s="38"/>
      <c r="AT167" s="38" t="str">
        <f>IFERROR(_xlfn.XLOOKUP(Table13[[#This Row],[Date]],'Raw Data'!$G:$G,'Raw Data'!$AJ:$AJ),"")</f>
        <v/>
      </c>
      <c r="AU167" s="38">
        <f>IFERROR(_xlfn.XLOOKUP(Table13[[#This Row],[Month Year]],'Modelling New'!$D:$D,'Modelling New'!$AN:$AN),"")</f>
        <v>10</v>
      </c>
      <c r="AV167" s="38">
        <f>SUMIF('Curtailment records'!$C:$C,Table13[[#This Row],[Date]],'Curtailment records'!$R:$R)/1000</f>
        <v>0</v>
      </c>
    </row>
    <row r="168" spans="1:48">
      <c r="A168" s="66">
        <f t="shared" si="15"/>
        <v>45911</v>
      </c>
      <c r="B168" s="38">
        <f>YEAR(Table13[[#This Row],[Date]])+IF(MONTH(Table13[[#This Row],[Date]])&gt;=4,1,0)</f>
        <v>2026</v>
      </c>
      <c r="C168" s="17">
        <f>YEAR(Table13[[#This Row],[Date]])</f>
        <v>2025</v>
      </c>
      <c r="D168" s="37">
        <f>Table13[[#This Row],[Date]]-DAY(Table13[[#This Row],[Date]])+1</f>
        <v>45901</v>
      </c>
      <c r="E168" s="17">
        <f t="shared" si="16"/>
        <v>30</v>
      </c>
      <c r="F168" s="135" t="str" cm="1">
        <f t="array" ref="F168">IFERROR(_xlfn.XLOOKUP(Table13[[#This Row],[Date]],Raw_Data[[#All],[Date]],Raw_Data[[#All],[Operating Hours]]),"")</f>
        <v/>
      </c>
      <c r="G168" s="24" t="str">
        <f>IFERROR(_xlfn.XLOOKUP($A168,'Raw Data'!$G:$G,'Raw Data'!S:S)/1000,"")</f>
        <v/>
      </c>
      <c r="H168" s="24"/>
      <c r="I168" s="24" t="str">
        <f>IFERROR(_xlfn.XLOOKUP($A168,'Raw Data'!$G:$G,'Raw Data'!AF:AF)/1000,"")</f>
        <v/>
      </c>
      <c r="J168" s="24"/>
      <c r="K168" s="137" t="str">
        <f>IFERROR(_xlfn.XLOOKUP($A168,'Raw Data'!$G:$G,'Raw Data'!W:W),"")</f>
        <v/>
      </c>
      <c r="L168" s="136" t="str">
        <f>IFERROR(_xlfn.XLOOKUP($A168,'Raw Data'!$G:$G,'Raw Data'!X:X),"")</f>
        <v/>
      </c>
      <c r="M168" s="136" t="str">
        <f>IFERROR(_xlfn.XLOOKUP($A168,'Raw Data'!$G:$G,'Raw Data'!Y:Y),"")</f>
        <v/>
      </c>
      <c r="N168" s="136" t="str">
        <f>IFERROR(_xlfn.XLOOKUP($A168,'Raw Data'!$G:$G,'Raw Data'!Z:Z),"")</f>
        <v/>
      </c>
      <c r="O168" s="176" t="str">
        <f>IFERROR(1-SUMIF('Plant BD'!$B:$B,$A168,'Plant BD'!$AM:$AM)/($AA168+SUMIF('Plant BD'!$B:$B,$A168,'Plant BD'!$AM:$AM)),"")</f>
        <v/>
      </c>
      <c r="P168" s="176"/>
      <c r="Q168" s="177"/>
      <c r="R168" s="179" t="str">
        <f>IFERROR(1-SUMIF('Grid BD'!$B:$B,$A168,'Grid BD'!$AE:$AE)/($AA168+SUMIF('Grid BD'!$B:$B,$A168,'Grid BD'!$AE:$AE)),"")</f>
        <v/>
      </c>
      <c r="S168" s="17"/>
      <c r="T168" s="177" t="str">
        <f>IFERROR(1-SUMIF(Tracker_BD!H:H,$A168,Tracker_BD!AI:AI)/$F168,"")</f>
        <v/>
      </c>
      <c r="U168" s="178" t="str">
        <f t="shared" si="12"/>
        <v/>
      </c>
      <c r="V168" s="17"/>
      <c r="W168" s="164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38" t="str">
        <f>IFERROR(_xlfn.XLOOKUP($A168,'Raw Data'!$G:$G,'Raw Data'!AD:AD),"")</f>
        <v/>
      </c>
      <c r="AA168" s="38" t="str">
        <f>IFERROR(_xlfn.XLOOKUP($A168,'Raw Data'!$G:$G,'Raw Data'!AE:AE)*(1+(_xlfn.XLOOKUP(Table13[[#This Row],[Month Year]],JMR!$A:$A,JMR!$J:$J))),"")</f>
        <v/>
      </c>
      <c r="AB168" s="17">
        <f>_xlfn.XLOOKUP($D168,'Modelling New'!D:D,'Modelling New'!N:N)</f>
        <v>10.507</v>
      </c>
      <c r="AC168" s="24">
        <f>IFERROR(_xlfn.XLOOKUP($D168,'Modelling New'!$D:$D,'Modelling New'!P:P),"")</f>
        <v>5.4346819400666666</v>
      </c>
      <c r="AD168" s="38">
        <f>IFERROR(_xlfn.XLOOKUP($D168,'Modelling New'!$D:$D,'Modelling New'!T:T)*1000,"")</f>
        <v>38712.103320676884</v>
      </c>
      <c r="AE168" s="164">
        <f t="shared" si="14"/>
        <v>0.67794412805514337</v>
      </c>
      <c r="AF168" s="164">
        <f>IFERROR(_xlfn.XLOOKUP($D168,'Modelling New'!$D:$D,'Modelling New'!W:W),"")</f>
        <v>0.15351711287981379</v>
      </c>
      <c r="AG168" s="164">
        <f>IFERROR(_xlfn.XLOOKUP($D168,'Modelling New'!$D:$D,'Modelling New'!AD:AD),"")</f>
        <v>0.995</v>
      </c>
      <c r="AH168" s="164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64"/>
      <c r="AO168" s="164"/>
      <c r="AP168" s="164"/>
      <c r="AQ168" s="164"/>
      <c r="AR168" s="38">
        <f>IFERROR(_xlfn.XLOOKUP($D168,'Modelling New'!$D:$D,'Modelling New'!$N:$N),"")</f>
        <v>10.507</v>
      </c>
      <c r="AS168" s="38"/>
      <c r="AT168" s="38" t="str">
        <f>IFERROR(_xlfn.XLOOKUP(Table13[[#This Row],[Date]],'Raw Data'!$G:$G,'Raw Data'!$AJ:$AJ),"")</f>
        <v/>
      </c>
      <c r="AU168" s="38">
        <f>IFERROR(_xlfn.XLOOKUP(Table13[[#This Row],[Month Year]],'Modelling New'!$D:$D,'Modelling New'!$AN:$AN),"")</f>
        <v>10</v>
      </c>
      <c r="AV168" s="38">
        <f>SUMIF('Curtailment records'!$C:$C,Table13[[#This Row],[Date]],'Curtailment records'!$R:$R)/1000</f>
        <v>0</v>
      </c>
    </row>
    <row r="169" spans="1:48">
      <c r="A169" s="66">
        <f t="shared" si="15"/>
        <v>45912</v>
      </c>
      <c r="B169" s="38">
        <f>YEAR(Table13[[#This Row],[Date]])+IF(MONTH(Table13[[#This Row],[Date]])&gt;=4,1,0)</f>
        <v>2026</v>
      </c>
      <c r="C169" s="17">
        <f>YEAR(Table13[[#This Row],[Date]])</f>
        <v>2025</v>
      </c>
      <c r="D169" s="37">
        <f>Table13[[#This Row],[Date]]-DAY(Table13[[#This Row],[Date]])+1</f>
        <v>45901</v>
      </c>
      <c r="E169" s="17">
        <f t="shared" si="16"/>
        <v>30</v>
      </c>
      <c r="F169" s="135" t="str" cm="1">
        <f t="array" ref="F169">IFERROR(_xlfn.XLOOKUP(Table13[[#This Row],[Date]],Raw_Data[[#All],[Date]],Raw_Data[[#All],[Operating Hours]]),"")</f>
        <v/>
      </c>
      <c r="G169" s="136" t="str">
        <f>IFERROR(_xlfn.XLOOKUP($A169,'Raw Data'!$G:$G,'Raw Data'!S:S)/1000,"")</f>
        <v/>
      </c>
      <c r="H169" s="136"/>
      <c r="I169" s="136" t="str">
        <f>IFERROR(_xlfn.XLOOKUP($A169,'Raw Data'!$G:$G,'Raw Data'!AF:AF)/1000,"")</f>
        <v/>
      </c>
      <c r="J169" s="136"/>
      <c r="K169" s="137" t="str">
        <f>IFERROR(_xlfn.XLOOKUP($A169,'Raw Data'!$G:$G,'Raw Data'!W:W),"")</f>
        <v/>
      </c>
      <c r="L169" s="136" t="str">
        <f>IFERROR(_xlfn.XLOOKUP($A169,'Raw Data'!$G:$G,'Raw Data'!X:X),"")</f>
        <v/>
      </c>
      <c r="M169" s="136" t="str">
        <f>IFERROR(_xlfn.XLOOKUP($A169,'Raw Data'!$G:$G,'Raw Data'!Y:Y),"")</f>
        <v/>
      </c>
      <c r="N169" s="136" t="str">
        <f>IFERROR(_xlfn.XLOOKUP($A169,'Raw Data'!$G:$G,'Raw Data'!Z:Z),"")</f>
        <v/>
      </c>
      <c r="O169" s="176" t="str">
        <f>IFERROR(1-SUMIF('Plant BD'!$B:$B,$A169,'Plant BD'!$AM:$AM)/($AA169+SUMIF('Plant BD'!$B:$B,$A169,'Plant BD'!$AM:$AM)),"")</f>
        <v/>
      </c>
      <c r="P169" s="176"/>
      <c r="Q169" s="177"/>
      <c r="R169" s="176" t="str">
        <f>IFERROR(1-SUMIF('Grid BD'!$B:$B,$A169,'Grid BD'!$AE:$AE)/($AA169+SUMIF('Grid BD'!$B:$B,$A169,'Grid BD'!$AE:$AE)),"")</f>
        <v/>
      </c>
      <c r="S169" s="17"/>
      <c r="T169" s="177" t="str">
        <f>IFERROR(1-SUMIF(Tracker_BD!H:H,$A169,Tracker_BD!AI:AI)/$F169,"")</f>
        <v/>
      </c>
      <c r="U169" s="178" t="str">
        <f t="shared" si="12"/>
        <v/>
      </c>
      <c r="V169" s="17"/>
      <c r="W169" s="164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38" t="str">
        <f>IFERROR(_xlfn.XLOOKUP($A169,'Raw Data'!$G:$G,'Raw Data'!AD:AD),"")</f>
        <v/>
      </c>
      <c r="AA169" s="38" t="str">
        <f>IFERROR(_xlfn.XLOOKUP($A169,'Raw Data'!$G:$G,'Raw Data'!AE:AE)*(1+(_xlfn.XLOOKUP(Table13[[#This Row],[Month Year]],JMR!$A:$A,JMR!$J:$J))),"")</f>
        <v/>
      </c>
      <c r="AB169" s="17">
        <f>_xlfn.XLOOKUP($D169,'Modelling New'!D:D,'Modelling New'!N:N)</f>
        <v>10.507</v>
      </c>
      <c r="AC169" s="24">
        <f>IFERROR(_xlfn.XLOOKUP($D169,'Modelling New'!$D:$D,'Modelling New'!P:P),"")</f>
        <v>5.4346819400666666</v>
      </c>
      <c r="AD169" s="38">
        <f>IFERROR(_xlfn.XLOOKUP($D169,'Modelling New'!$D:$D,'Modelling New'!T:T)*1000,"")</f>
        <v>38712.103320676884</v>
      </c>
      <c r="AE169" s="164">
        <f t="shared" si="14"/>
        <v>0.67794412805514337</v>
      </c>
      <c r="AF169" s="164">
        <f>IFERROR(_xlfn.XLOOKUP($D169,'Modelling New'!$D:$D,'Modelling New'!W:W),"")</f>
        <v>0.15351711287981379</v>
      </c>
      <c r="AG169" s="164">
        <f>IFERROR(_xlfn.XLOOKUP($D169,'Modelling New'!$D:$D,'Modelling New'!AD:AD),"")</f>
        <v>0.995</v>
      </c>
      <c r="AH169" s="164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64"/>
      <c r="AO169" s="164"/>
      <c r="AP169" s="164"/>
      <c r="AQ169" s="164"/>
      <c r="AR169" s="38">
        <f>IFERROR(_xlfn.XLOOKUP($D169,'Modelling New'!$D:$D,'Modelling New'!$N:$N),"")</f>
        <v>10.507</v>
      </c>
      <c r="AS169" s="38"/>
      <c r="AT169" s="38" t="str">
        <f>IFERROR(_xlfn.XLOOKUP(Table13[[#This Row],[Date]],'Raw Data'!$G:$G,'Raw Data'!$AJ:$AJ),"")</f>
        <v/>
      </c>
      <c r="AU169" s="38">
        <f>IFERROR(_xlfn.XLOOKUP(Table13[[#This Row],[Month Year]],'Modelling New'!$D:$D,'Modelling New'!$AN:$AN),"")</f>
        <v>10</v>
      </c>
      <c r="AV169" s="38">
        <f>SUMIF('Curtailment records'!$C:$C,Table13[[#This Row],[Date]],'Curtailment records'!$R:$R)/1000</f>
        <v>0</v>
      </c>
    </row>
    <row r="170" spans="1:48">
      <c r="A170" s="66">
        <f t="shared" si="15"/>
        <v>45913</v>
      </c>
      <c r="B170" s="38">
        <f>YEAR(Table13[[#This Row],[Date]])+IF(MONTH(Table13[[#This Row],[Date]])&gt;=4,1,0)</f>
        <v>2026</v>
      </c>
      <c r="C170" s="17">
        <f>YEAR(Table13[[#This Row],[Date]])</f>
        <v>2025</v>
      </c>
      <c r="D170" s="37">
        <f>Table13[[#This Row],[Date]]-DAY(Table13[[#This Row],[Date]])+1</f>
        <v>45901</v>
      </c>
      <c r="E170" s="17">
        <f t="shared" si="16"/>
        <v>30</v>
      </c>
      <c r="F170" s="135" t="str" cm="1">
        <f t="array" ref="F170">IFERROR(_xlfn.XLOOKUP(Table13[[#This Row],[Date]],Raw_Data[[#All],[Date]],Raw_Data[[#All],[Operating Hours]]),"")</f>
        <v/>
      </c>
      <c r="G170" s="24" t="str">
        <f>IFERROR(_xlfn.XLOOKUP($A170,'Raw Data'!$G:$G,'Raw Data'!S:S)/1000,"")</f>
        <v/>
      </c>
      <c r="H170" s="24"/>
      <c r="I170" s="24" t="str">
        <f>IFERROR(_xlfn.XLOOKUP($A170,'Raw Data'!$G:$G,'Raw Data'!AF:AF)/1000,"")</f>
        <v/>
      </c>
      <c r="J170" s="24"/>
      <c r="K170" s="137" t="str">
        <f>IFERROR(_xlfn.XLOOKUP($A170,'Raw Data'!$G:$G,'Raw Data'!W:W),"")</f>
        <v/>
      </c>
      <c r="L170" s="136" t="str">
        <f>IFERROR(_xlfn.XLOOKUP($A170,'Raw Data'!$G:$G,'Raw Data'!X:X),"")</f>
        <v/>
      </c>
      <c r="M170" s="136" t="str">
        <f>IFERROR(_xlfn.XLOOKUP($A170,'Raw Data'!$G:$G,'Raw Data'!Y:Y),"")</f>
        <v/>
      </c>
      <c r="N170" s="136" t="str">
        <f>IFERROR(_xlfn.XLOOKUP($A170,'Raw Data'!$G:$G,'Raw Data'!Z:Z),"")</f>
        <v/>
      </c>
      <c r="O170" s="176" t="str">
        <f>IFERROR(1-SUMIF('Plant BD'!$B:$B,$A170,'Plant BD'!$AM:$AM)/($AA170+SUMIF('Plant BD'!$B:$B,$A170,'Plant BD'!$AM:$AM)),"")</f>
        <v/>
      </c>
      <c r="P170" s="176"/>
      <c r="Q170" s="177"/>
      <c r="R170" s="179" t="str">
        <f>IFERROR(1-SUMIF('Grid BD'!$B:$B,$A170,'Grid BD'!$AE:$AE)/($AA170+SUMIF('Grid BD'!$B:$B,$A170,'Grid BD'!$AE:$AE)),"")</f>
        <v/>
      </c>
      <c r="S170" s="17"/>
      <c r="T170" s="177" t="str">
        <f>IFERROR(1-SUMIF(Tracker_BD!H:H,$A170,Tracker_BD!AI:AI)/$F170,"")</f>
        <v/>
      </c>
      <c r="U170" s="178" t="str">
        <f t="shared" si="12"/>
        <v/>
      </c>
      <c r="V170" s="17"/>
      <c r="W170" s="164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38" t="str">
        <f>IFERROR(_xlfn.XLOOKUP($A170,'Raw Data'!$G:$G,'Raw Data'!AD:AD),"")</f>
        <v/>
      </c>
      <c r="AA170" s="38" t="str">
        <f>IFERROR(_xlfn.XLOOKUP($A170,'Raw Data'!$G:$G,'Raw Data'!AE:AE)*(1+(_xlfn.XLOOKUP(Table13[[#This Row],[Month Year]],JMR!$A:$A,JMR!$J:$J))),"")</f>
        <v/>
      </c>
      <c r="AB170" s="17">
        <f>_xlfn.XLOOKUP($D170,'Modelling New'!D:D,'Modelling New'!N:N)</f>
        <v>10.507</v>
      </c>
      <c r="AC170" s="24">
        <f>IFERROR(_xlfn.XLOOKUP($D170,'Modelling New'!$D:$D,'Modelling New'!P:P),"")</f>
        <v>5.4346819400666666</v>
      </c>
      <c r="AD170" s="38">
        <f>IFERROR(_xlfn.XLOOKUP($D170,'Modelling New'!$D:$D,'Modelling New'!T:T)*1000,"")</f>
        <v>38712.103320676884</v>
      </c>
      <c r="AE170" s="164">
        <f t="shared" si="14"/>
        <v>0.67794412805514337</v>
      </c>
      <c r="AF170" s="164">
        <f>IFERROR(_xlfn.XLOOKUP($D170,'Modelling New'!$D:$D,'Modelling New'!W:W),"")</f>
        <v>0.15351711287981379</v>
      </c>
      <c r="AG170" s="164">
        <f>IFERROR(_xlfn.XLOOKUP($D170,'Modelling New'!$D:$D,'Modelling New'!AD:AD),"")</f>
        <v>0.995</v>
      </c>
      <c r="AH170" s="164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64"/>
      <c r="AO170" s="164"/>
      <c r="AP170" s="164"/>
      <c r="AQ170" s="164"/>
      <c r="AR170" s="38">
        <f>IFERROR(_xlfn.XLOOKUP($D170,'Modelling New'!$D:$D,'Modelling New'!$N:$N),"")</f>
        <v>10.507</v>
      </c>
      <c r="AS170" s="38"/>
      <c r="AT170" s="38" t="str">
        <f>IFERROR(_xlfn.XLOOKUP(Table13[[#This Row],[Date]],'Raw Data'!$G:$G,'Raw Data'!$AJ:$AJ),"")</f>
        <v/>
      </c>
      <c r="AU170" s="38">
        <f>IFERROR(_xlfn.XLOOKUP(Table13[[#This Row],[Month Year]],'Modelling New'!$D:$D,'Modelling New'!$AN:$AN),"")</f>
        <v>10</v>
      </c>
      <c r="AV170" s="38">
        <f>SUMIF('Curtailment records'!$C:$C,Table13[[#This Row],[Date]],'Curtailment records'!$R:$R)/1000</f>
        <v>0</v>
      </c>
    </row>
    <row r="171" spans="1:48">
      <c r="A171" s="66">
        <f t="shared" si="15"/>
        <v>45914</v>
      </c>
      <c r="B171" s="38">
        <f>YEAR(Table13[[#This Row],[Date]])+IF(MONTH(Table13[[#This Row],[Date]])&gt;=4,1,0)</f>
        <v>2026</v>
      </c>
      <c r="C171" s="17">
        <f>YEAR(Table13[[#This Row],[Date]])</f>
        <v>2025</v>
      </c>
      <c r="D171" s="37">
        <f>Table13[[#This Row],[Date]]-DAY(Table13[[#This Row],[Date]])+1</f>
        <v>45901</v>
      </c>
      <c r="E171" s="17">
        <f t="shared" si="16"/>
        <v>30</v>
      </c>
      <c r="F171" s="135" t="str" cm="1">
        <f t="array" ref="F171">IFERROR(_xlfn.XLOOKUP(Table13[[#This Row],[Date]],Raw_Data[[#All],[Date]],Raw_Data[[#All],[Operating Hours]]),"")</f>
        <v/>
      </c>
      <c r="G171" s="136" t="str">
        <f>IFERROR(_xlfn.XLOOKUP($A171,'Raw Data'!$G:$G,'Raw Data'!S:S)/1000,"")</f>
        <v/>
      </c>
      <c r="H171" s="136"/>
      <c r="I171" s="136" t="str">
        <f>IFERROR(_xlfn.XLOOKUP($A171,'Raw Data'!$G:$G,'Raw Data'!AF:AF)/1000,"")</f>
        <v/>
      </c>
      <c r="J171" s="136"/>
      <c r="K171" s="137" t="str">
        <f>IFERROR(_xlfn.XLOOKUP($A171,'Raw Data'!$G:$G,'Raw Data'!W:W),"")</f>
        <v/>
      </c>
      <c r="L171" s="136" t="str">
        <f>IFERROR(_xlfn.XLOOKUP($A171,'Raw Data'!$G:$G,'Raw Data'!X:X),"")</f>
        <v/>
      </c>
      <c r="M171" s="136" t="str">
        <f>IFERROR(_xlfn.XLOOKUP($A171,'Raw Data'!$G:$G,'Raw Data'!Y:Y),"")</f>
        <v/>
      </c>
      <c r="N171" s="136" t="str">
        <f>IFERROR(_xlfn.XLOOKUP($A171,'Raw Data'!$G:$G,'Raw Data'!Z:Z),"")</f>
        <v/>
      </c>
      <c r="O171" s="176" t="str">
        <f>IFERROR(1-SUMIF('Plant BD'!$B:$B,$A171,'Plant BD'!$AM:$AM)/($AA171+SUMIF('Plant BD'!$B:$B,$A171,'Plant BD'!$AM:$AM)),"")</f>
        <v/>
      </c>
      <c r="P171" s="176"/>
      <c r="Q171" s="177"/>
      <c r="R171" s="176" t="str">
        <f>IFERROR(1-SUMIF('Grid BD'!$B:$B,$A171,'Grid BD'!$AE:$AE)/($AA171+SUMIF('Grid BD'!$B:$B,$A171,'Grid BD'!$AE:$AE)),"")</f>
        <v/>
      </c>
      <c r="S171" s="17"/>
      <c r="T171" s="177" t="str">
        <f>IFERROR(1-SUMIF(Tracker_BD!H:H,$A171,Tracker_BD!AI:AI)/$F171,"")</f>
        <v/>
      </c>
      <c r="U171" s="178" t="str">
        <f t="shared" si="12"/>
        <v/>
      </c>
      <c r="V171" s="17"/>
      <c r="W171" s="164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38" t="str">
        <f>IFERROR(_xlfn.XLOOKUP($A171,'Raw Data'!$G:$G,'Raw Data'!AD:AD),"")</f>
        <v/>
      </c>
      <c r="AA171" s="38" t="str">
        <f>IFERROR(_xlfn.XLOOKUP($A171,'Raw Data'!$G:$G,'Raw Data'!AE:AE)*(1+(_xlfn.XLOOKUP(Table13[[#This Row],[Month Year]],JMR!$A:$A,JMR!$J:$J))),"")</f>
        <v/>
      </c>
      <c r="AB171" s="17">
        <f>_xlfn.XLOOKUP($D171,'Modelling New'!D:D,'Modelling New'!N:N)</f>
        <v>10.507</v>
      </c>
      <c r="AC171" s="24">
        <f>IFERROR(_xlfn.XLOOKUP($D171,'Modelling New'!$D:$D,'Modelling New'!P:P),"")</f>
        <v>5.4346819400666666</v>
      </c>
      <c r="AD171" s="38">
        <f>IFERROR(_xlfn.XLOOKUP($D171,'Modelling New'!$D:$D,'Modelling New'!T:T)*1000,"")</f>
        <v>38712.103320676884</v>
      </c>
      <c r="AE171" s="164">
        <f t="shared" si="14"/>
        <v>0.67794412805514337</v>
      </c>
      <c r="AF171" s="164">
        <f>IFERROR(_xlfn.XLOOKUP($D171,'Modelling New'!$D:$D,'Modelling New'!W:W),"")</f>
        <v>0.15351711287981379</v>
      </c>
      <c r="AG171" s="164">
        <f>IFERROR(_xlfn.XLOOKUP($D171,'Modelling New'!$D:$D,'Modelling New'!AD:AD),"")</f>
        <v>0.995</v>
      </c>
      <c r="AH171" s="164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64"/>
      <c r="AO171" s="164"/>
      <c r="AP171" s="164"/>
      <c r="AQ171" s="164"/>
      <c r="AR171" s="38">
        <f>IFERROR(_xlfn.XLOOKUP($D171,'Modelling New'!$D:$D,'Modelling New'!$N:$N),"")</f>
        <v>10.507</v>
      </c>
      <c r="AS171" s="38"/>
      <c r="AT171" s="38" t="str">
        <f>IFERROR(_xlfn.XLOOKUP(Table13[[#This Row],[Date]],'Raw Data'!$G:$G,'Raw Data'!$AJ:$AJ),"")</f>
        <v/>
      </c>
      <c r="AU171" s="38">
        <f>IFERROR(_xlfn.XLOOKUP(Table13[[#This Row],[Month Year]],'Modelling New'!$D:$D,'Modelling New'!$AN:$AN),"")</f>
        <v>10</v>
      </c>
      <c r="AV171" s="38">
        <f>SUMIF('Curtailment records'!$C:$C,Table13[[#This Row],[Date]],'Curtailment records'!$R:$R)/1000</f>
        <v>0</v>
      </c>
    </row>
    <row r="172" spans="1:48">
      <c r="A172" s="66">
        <f t="shared" si="15"/>
        <v>45915</v>
      </c>
      <c r="B172" s="38">
        <f>YEAR(Table13[[#This Row],[Date]])+IF(MONTH(Table13[[#This Row],[Date]])&gt;=4,1,0)</f>
        <v>2026</v>
      </c>
      <c r="C172" s="17">
        <f>YEAR(Table13[[#This Row],[Date]])</f>
        <v>2025</v>
      </c>
      <c r="D172" s="37">
        <f>Table13[[#This Row],[Date]]-DAY(Table13[[#This Row],[Date]])+1</f>
        <v>45901</v>
      </c>
      <c r="E172" s="17">
        <f t="shared" si="16"/>
        <v>30</v>
      </c>
      <c r="F172" s="135" t="str" cm="1">
        <f t="array" ref="F172">IFERROR(_xlfn.XLOOKUP(Table13[[#This Row],[Date]],Raw_Data[[#All],[Date]],Raw_Data[[#All],[Operating Hours]]),"")</f>
        <v/>
      </c>
      <c r="G172" s="24" t="str">
        <f>IFERROR(_xlfn.XLOOKUP($A172,'Raw Data'!$G:$G,'Raw Data'!S:S)/1000,"")</f>
        <v/>
      </c>
      <c r="H172" s="24"/>
      <c r="I172" s="24" t="str">
        <f>IFERROR(_xlfn.XLOOKUP($A172,'Raw Data'!$G:$G,'Raw Data'!AF:AF)/1000,"")</f>
        <v/>
      </c>
      <c r="J172" s="24"/>
      <c r="K172" s="137" t="str">
        <f>IFERROR(_xlfn.XLOOKUP($A172,'Raw Data'!$G:$G,'Raw Data'!W:W),"")</f>
        <v/>
      </c>
      <c r="L172" s="136" t="str">
        <f>IFERROR(_xlfn.XLOOKUP($A172,'Raw Data'!$G:$G,'Raw Data'!X:X),"")</f>
        <v/>
      </c>
      <c r="M172" s="136" t="str">
        <f>IFERROR(_xlfn.XLOOKUP($A172,'Raw Data'!$G:$G,'Raw Data'!Y:Y),"")</f>
        <v/>
      </c>
      <c r="N172" s="136" t="str">
        <f>IFERROR(_xlfn.XLOOKUP($A172,'Raw Data'!$G:$G,'Raw Data'!Z:Z),"")</f>
        <v/>
      </c>
      <c r="O172" s="176" t="str">
        <f>IFERROR(1-SUMIF('Plant BD'!$B:$B,$A172,'Plant BD'!$AM:$AM)/($AA172+SUMIF('Plant BD'!$B:$B,$A172,'Plant BD'!$AM:$AM)),"")</f>
        <v/>
      </c>
      <c r="P172" s="176"/>
      <c r="Q172" s="177"/>
      <c r="R172" s="179" t="str">
        <f>IFERROR(1-SUMIF('Grid BD'!$B:$B,$A172,'Grid BD'!$AE:$AE)/($AA172+SUMIF('Grid BD'!$B:$B,$A172,'Grid BD'!$AE:$AE)),"")</f>
        <v/>
      </c>
      <c r="S172" s="17"/>
      <c r="T172" s="177" t="str">
        <f>IFERROR(1-SUMIF(Tracker_BD!H:H,$A172,Tracker_BD!AI:AI)/$F172,"")</f>
        <v/>
      </c>
      <c r="U172" s="178" t="str">
        <f t="shared" si="12"/>
        <v/>
      </c>
      <c r="V172" s="17"/>
      <c r="W172" s="164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38" t="str">
        <f>IFERROR(_xlfn.XLOOKUP($A172,'Raw Data'!$G:$G,'Raw Data'!AD:AD),"")</f>
        <v/>
      </c>
      <c r="AA172" s="38" t="str">
        <f>IFERROR(_xlfn.XLOOKUP($A172,'Raw Data'!$G:$G,'Raw Data'!AE:AE)*(1+(_xlfn.XLOOKUP(Table13[[#This Row],[Month Year]],JMR!$A:$A,JMR!$J:$J))),"")</f>
        <v/>
      </c>
      <c r="AB172" s="17">
        <f>_xlfn.XLOOKUP($D172,'Modelling New'!D:D,'Modelling New'!N:N)</f>
        <v>10.507</v>
      </c>
      <c r="AC172" s="24">
        <f>IFERROR(_xlfn.XLOOKUP($D172,'Modelling New'!$D:$D,'Modelling New'!P:P),"")</f>
        <v>5.4346819400666666</v>
      </c>
      <c r="AD172" s="38">
        <f>IFERROR(_xlfn.XLOOKUP($D172,'Modelling New'!$D:$D,'Modelling New'!T:T)*1000,"")</f>
        <v>38712.103320676884</v>
      </c>
      <c r="AE172" s="164">
        <f t="shared" si="14"/>
        <v>0.67794412805514337</v>
      </c>
      <c r="AF172" s="164">
        <f>IFERROR(_xlfn.XLOOKUP($D172,'Modelling New'!$D:$D,'Modelling New'!W:W),"")</f>
        <v>0.15351711287981379</v>
      </c>
      <c r="AG172" s="164">
        <f>IFERROR(_xlfn.XLOOKUP($D172,'Modelling New'!$D:$D,'Modelling New'!AD:AD),"")</f>
        <v>0.995</v>
      </c>
      <c r="AH172" s="164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64"/>
      <c r="AO172" s="164"/>
      <c r="AP172" s="164"/>
      <c r="AQ172" s="164"/>
      <c r="AR172" s="38">
        <f>IFERROR(_xlfn.XLOOKUP($D172,'Modelling New'!$D:$D,'Modelling New'!$N:$N),"")</f>
        <v>10.507</v>
      </c>
      <c r="AS172" s="38"/>
      <c r="AT172" s="38" t="str">
        <f>IFERROR(_xlfn.XLOOKUP(Table13[[#This Row],[Date]],'Raw Data'!$G:$G,'Raw Data'!$AJ:$AJ),"")</f>
        <v/>
      </c>
      <c r="AU172" s="38">
        <f>IFERROR(_xlfn.XLOOKUP(Table13[[#This Row],[Month Year]],'Modelling New'!$D:$D,'Modelling New'!$AN:$AN),"")</f>
        <v>10</v>
      </c>
      <c r="AV172" s="38">
        <f>SUMIF('Curtailment records'!$C:$C,Table13[[#This Row],[Date]],'Curtailment records'!$R:$R)/1000</f>
        <v>0</v>
      </c>
    </row>
    <row r="173" spans="1:48">
      <c r="A173" s="66">
        <f t="shared" si="15"/>
        <v>45916</v>
      </c>
      <c r="B173" s="38">
        <f>YEAR(Table13[[#This Row],[Date]])+IF(MONTH(Table13[[#This Row],[Date]])&gt;=4,1,0)</f>
        <v>2026</v>
      </c>
      <c r="C173" s="17">
        <f>YEAR(Table13[[#This Row],[Date]])</f>
        <v>2025</v>
      </c>
      <c r="D173" s="37">
        <f>Table13[[#This Row],[Date]]-DAY(Table13[[#This Row],[Date]])+1</f>
        <v>45901</v>
      </c>
      <c r="E173" s="17">
        <f t="shared" si="16"/>
        <v>30</v>
      </c>
      <c r="F173" s="135" t="str" cm="1">
        <f t="array" ref="F173">IFERROR(_xlfn.XLOOKUP(Table13[[#This Row],[Date]],Raw_Data[[#All],[Date]],Raw_Data[[#All],[Operating Hours]]),"")</f>
        <v/>
      </c>
      <c r="G173" s="136" t="str">
        <f>IFERROR(_xlfn.XLOOKUP($A173,'Raw Data'!$G:$G,'Raw Data'!S:S)/1000,"")</f>
        <v/>
      </c>
      <c r="H173" s="136"/>
      <c r="I173" s="136" t="str">
        <f>IFERROR(_xlfn.XLOOKUP($A173,'Raw Data'!$G:$G,'Raw Data'!AF:AF)/1000,"")</f>
        <v/>
      </c>
      <c r="J173" s="136"/>
      <c r="K173" s="137" t="str">
        <f>IFERROR(_xlfn.XLOOKUP($A173,'Raw Data'!$G:$G,'Raw Data'!W:W),"")</f>
        <v/>
      </c>
      <c r="L173" s="136" t="str">
        <f>IFERROR(_xlfn.XLOOKUP($A173,'Raw Data'!$G:$G,'Raw Data'!X:X),"")</f>
        <v/>
      </c>
      <c r="M173" s="136" t="str">
        <f>IFERROR(_xlfn.XLOOKUP($A173,'Raw Data'!$G:$G,'Raw Data'!Y:Y),"")</f>
        <v/>
      </c>
      <c r="N173" s="136" t="str">
        <f>IFERROR(_xlfn.XLOOKUP($A173,'Raw Data'!$G:$G,'Raw Data'!Z:Z),"")</f>
        <v/>
      </c>
      <c r="O173" s="176" t="str">
        <f>IFERROR(1-SUMIF('Plant BD'!$B:$B,$A173,'Plant BD'!$AM:$AM)/($AA173+SUMIF('Plant BD'!$B:$B,$A173,'Plant BD'!$AM:$AM)),"")</f>
        <v/>
      </c>
      <c r="P173" s="176"/>
      <c r="Q173" s="177"/>
      <c r="R173" s="176" t="str">
        <f>IFERROR(1-SUMIF('Grid BD'!$B:$B,$A173,'Grid BD'!$AE:$AE)/($AA173+SUMIF('Grid BD'!$B:$B,$A173,'Grid BD'!$AE:$AE)),"")</f>
        <v/>
      </c>
      <c r="S173" s="17"/>
      <c r="T173" s="177" t="str">
        <f>IFERROR(1-SUMIF(Tracker_BD!H:H,$A173,Tracker_BD!AI:AI)/$F173,"")</f>
        <v/>
      </c>
      <c r="U173" s="178" t="str">
        <f t="shared" si="12"/>
        <v/>
      </c>
      <c r="V173" s="17"/>
      <c r="W173" s="164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38" t="str">
        <f>IFERROR(_xlfn.XLOOKUP($A173,'Raw Data'!$G:$G,'Raw Data'!AD:AD),"")</f>
        <v/>
      </c>
      <c r="AA173" s="38" t="str">
        <f>IFERROR(_xlfn.XLOOKUP($A173,'Raw Data'!$G:$G,'Raw Data'!AE:AE)*(1+(_xlfn.XLOOKUP(Table13[[#This Row],[Month Year]],JMR!$A:$A,JMR!$J:$J))),"")</f>
        <v/>
      </c>
      <c r="AB173" s="17">
        <f>_xlfn.XLOOKUP($D173,'Modelling New'!D:D,'Modelling New'!N:N)</f>
        <v>10.507</v>
      </c>
      <c r="AC173" s="24">
        <f>IFERROR(_xlfn.XLOOKUP($D173,'Modelling New'!$D:$D,'Modelling New'!P:P),"")</f>
        <v>5.4346819400666666</v>
      </c>
      <c r="AD173" s="38">
        <f>IFERROR(_xlfn.XLOOKUP($D173,'Modelling New'!$D:$D,'Modelling New'!T:T)*1000,"")</f>
        <v>38712.103320676884</v>
      </c>
      <c r="AE173" s="164">
        <f t="shared" si="14"/>
        <v>0.67794412805514337</v>
      </c>
      <c r="AF173" s="164">
        <f>IFERROR(_xlfn.XLOOKUP($D173,'Modelling New'!$D:$D,'Modelling New'!W:W),"")</f>
        <v>0.15351711287981379</v>
      </c>
      <c r="AG173" s="164">
        <f>IFERROR(_xlfn.XLOOKUP($D173,'Modelling New'!$D:$D,'Modelling New'!AD:AD),"")</f>
        <v>0.995</v>
      </c>
      <c r="AH173" s="164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64"/>
      <c r="AO173" s="164"/>
      <c r="AP173" s="164"/>
      <c r="AQ173" s="164"/>
      <c r="AR173" s="38">
        <f>IFERROR(_xlfn.XLOOKUP($D173,'Modelling New'!$D:$D,'Modelling New'!$N:$N),"")</f>
        <v>10.507</v>
      </c>
      <c r="AS173" s="38"/>
      <c r="AT173" s="38" t="str">
        <f>IFERROR(_xlfn.XLOOKUP(Table13[[#This Row],[Date]],'Raw Data'!$G:$G,'Raw Data'!$AJ:$AJ),"")</f>
        <v/>
      </c>
      <c r="AU173" s="38">
        <f>IFERROR(_xlfn.XLOOKUP(Table13[[#This Row],[Month Year]],'Modelling New'!$D:$D,'Modelling New'!$AN:$AN),"")</f>
        <v>10</v>
      </c>
      <c r="AV173" s="38">
        <f>SUMIF('Curtailment records'!$C:$C,Table13[[#This Row],[Date]],'Curtailment records'!$R:$R)/1000</f>
        <v>0</v>
      </c>
    </row>
    <row r="174" spans="1:48">
      <c r="A174" s="66">
        <f t="shared" si="15"/>
        <v>45917</v>
      </c>
      <c r="B174" s="38">
        <f>YEAR(Table13[[#This Row],[Date]])+IF(MONTH(Table13[[#This Row],[Date]])&gt;=4,1,0)</f>
        <v>2026</v>
      </c>
      <c r="C174" s="17">
        <f>YEAR(Table13[[#This Row],[Date]])</f>
        <v>2025</v>
      </c>
      <c r="D174" s="37">
        <f>Table13[[#This Row],[Date]]-DAY(Table13[[#This Row],[Date]])+1</f>
        <v>45901</v>
      </c>
      <c r="E174" s="17">
        <f t="shared" si="16"/>
        <v>30</v>
      </c>
      <c r="F174" s="135" t="str" cm="1">
        <f t="array" ref="F174">IFERROR(_xlfn.XLOOKUP(Table13[[#This Row],[Date]],Raw_Data[[#All],[Date]],Raw_Data[[#All],[Operating Hours]]),"")</f>
        <v/>
      </c>
      <c r="G174" s="24" t="str">
        <f>IFERROR(_xlfn.XLOOKUP($A174,'Raw Data'!$G:$G,'Raw Data'!S:S)/1000,"")</f>
        <v/>
      </c>
      <c r="H174" s="24"/>
      <c r="I174" s="24" t="str">
        <f>IFERROR(_xlfn.XLOOKUP($A174,'Raw Data'!$G:$G,'Raw Data'!AF:AF)/1000,"")</f>
        <v/>
      </c>
      <c r="J174" s="24"/>
      <c r="K174" s="137" t="str">
        <f>IFERROR(_xlfn.XLOOKUP($A174,'Raw Data'!$G:$G,'Raw Data'!W:W),"")</f>
        <v/>
      </c>
      <c r="L174" s="136" t="str">
        <f>IFERROR(_xlfn.XLOOKUP($A174,'Raw Data'!$G:$G,'Raw Data'!X:X),"")</f>
        <v/>
      </c>
      <c r="M174" s="136" t="str">
        <f>IFERROR(_xlfn.XLOOKUP($A174,'Raw Data'!$G:$G,'Raw Data'!Y:Y),"")</f>
        <v/>
      </c>
      <c r="N174" s="136" t="str">
        <f>IFERROR(_xlfn.XLOOKUP($A174,'Raw Data'!$G:$G,'Raw Data'!Z:Z),"")</f>
        <v/>
      </c>
      <c r="O174" s="176" t="str">
        <f>IFERROR(1-SUMIF('Plant BD'!$B:$B,$A174,'Plant BD'!$AM:$AM)/($AA174+SUMIF('Plant BD'!$B:$B,$A174,'Plant BD'!$AM:$AM)),"")</f>
        <v/>
      </c>
      <c r="P174" s="176"/>
      <c r="Q174" s="177"/>
      <c r="R174" s="179" t="str">
        <f>IFERROR(1-SUMIF('Grid BD'!$B:$B,$A174,'Grid BD'!$AE:$AE)/($AA174+SUMIF('Grid BD'!$B:$B,$A174,'Grid BD'!$AE:$AE)),"")</f>
        <v/>
      </c>
      <c r="S174" s="17"/>
      <c r="T174" s="177" t="str">
        <f>IFERROR(1-SUMIF(Tracker_BD!H:H,$A174,Tracker_BD!AI:AI)/$F174,"")</f>
        <v/>
      </c>
      <c r="U174" s="178" t="str">
        <f t="shared" si="12"/>
        <v/>
      </c>
      <c r="V174" s="17"/>
      <c r="W174" s="164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38" t="str">
        <f>IFERROR(_xlfn.XLOOKUP($A174,'Raw Data'!$G:$G,'Raw Data'!AD:AD),"")</f>
        <v/>
      </c>
      <c r="AA174" s="38" t="str">
        <f>IFERROR(_xlfn.XLOOKUP($A174,'Raw Data'!$G:$G,'Raw Data'!AE:AE)*(1+(_xlfn.XLOOKUP(Table13[[#This Row],[Month Year]],JMR!$A:$A,JMR!$J:$J))),"")</f>
        <v/>
      </c>
      <c r="AB174" s="17">
        <f>_xlfn.XLOOKUP($D174,'Modelling New'!D:D,'Modelling New'!N:N)</f>
        <v>10.507</v>
      </c>
      <c r="AC174" s="24">
        <f>IFERROR(_xlfn.XLOOKUP($D174,'Modelling New'!$D:$D,'Modelling New'!P:P),"")</f>
        <v>5.4346819400666666</v>
      </c>
      <c r="AD174" s="38">
        <f>IFERROR(_xlfn.XLOOKUP($D174,'Modelling New'!$D:$D,'Modelling New'!T:T)*1000,"")</f>
        <v>38712.103320676884</v>
      </c>
      <c r="AE174" s="164">
        <f t="shared" si="14"/>
        <v>0.67794412805514337</v>
      </c>
      <c r="AF174" s="164">
        <f>IFERROR(_xlfn.XLOOKUP($D174,'Modelling New'!$D:$D,'Modelling New'!W:W),"")</f>
        <v>0.15351711287981379</v>
      </c>
      <c r="AG174" s="164">
        <f>IFERROR(_xlfn.XLOOKUP($D174,'Modelling New'!$D:$D,'Modelling New'!AD:AD),"")</f>
        <v>0.995</v>
      </c>
      <c r="AH174" s="164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64"/>
      <c r="AO174" s="164"/>
      <c r="AP174" s="164"/>
      <c r="AQ174" s="164"/>
      <c r="AR174" s="38">
        <f>IFERROR(_xlfn.XLOOKUP($D174,'Modelling New'!$D:$D,'Modelling New'!$N:$N),"")</f>
        <v>10.507</v>
      </c>
      <c r="AS174" s="38"/>
      <c r="AT174" s="38" t="str">
        <f>IFERROR(_xlfn.XLOOKUP(Table13[[#This Row],[Date]],'Raw Data'!$G:$G,'Raw Data'!$AJ:$AJ),"")</f>
        <v/>
      </c>
      <c r="AU174" s="38">
        <f>IFERROR(_xlfn.XLOOKUP(Table13[[#This Row],[Month Year]],'Modelling New'!$D:$D,'Modelling New'!$AN:$AN),"")</f>
        <v>10</v>
      </c>
      <c r="AV174" s="38">
        <f>SUMIF('Curtailment records'!$C:$C,Table13[[#This Row],[Date]],'Curtailment records'!$R:$R)/1000</f>
        <v>0</v>
      </c>
    </row>
    <row r="175" spans="1:48">
      <c r="A175" s="66">
        <f t="shared" si="15"/>
        <v>45918</v>
      </c>
      <c r="B175" s="38">
        <f>YEAR(Table13[[#This Row],[Date]])+IF(MONTH(Table13[[#This Row],[Date]])&gt;=4,1,0)</f>
        <v>2026</v>
      </c>
      <c r="C175" s="17">
        <f>YEAR(Table13[[#This Row],[Date]])</f>
        <v>2025</v>
      </c>
      <c r="D175" s="37">
        <f>Table13[[#This Row],[Date]]-DAY(Table13[[#This Row],[Date]])+1</f>
        <v>45901</v>
      </c>
      <c r="E175" s="17">
        <f t="shared" si="16"/>
        <v>30</v>
      </c>
      <c r="F175" s="135" t="str" cm="1">
        <f t="array" ref="F175">IFERROR(_xlfn.XLOOKUP(Table13[[#This Row],[Date]],Raw_Data[[#All],[Date]],Raw_Data[[#All],[Operating Hours]]),"")</f>
        <v/>
      </c>
      <c r="G175" s="136" t="str">
        <f>IFERROR(_xlfn.XLOOKUP($A175,'Raw Data'!$G:$G,'Raw Data'!S:S)/1000,"")</f>
        <v/>
      </c>
      <c r="H175" s="136"/>
      <c r="I175" s="136" t="str">
        <f>IFERROR(_xlfn.XLOOKUP($A175,'Raw Data'!$G:$G,'Raw Data'!AF:AF)/1000,"")</f>
        <v/>
      </c>
      <c r="J175" s="136"/>
      <c r="K175" s="137" t="str">
        <f>IFERROR(_xlfn.XLOOKUP($A175,'Raw Data'!$G:$G,'Raw Data'!W:W),"")</f>
        <v/>
      </c>
      <c r="L175" s="136" t="str">
        <f>IFERROR(_xlfn.XLOOKUP($A175,'Raw Data'!$G:$G,'Raw Data'!X:X),"")</f>
        <v/>
      </c>
      <c r="M175" s="136" t="str">
        <f>IFERROR(_xlfn.XLOOKUP($A175,'Raw Data'!$G:$G,'Raw Data'!Y:Y),"")</f>
        <v/>
      </c>
      <c r="N175" s="136" t="str">
        <f>IFERROR(_xlfn.XLOOKUP($A175,'Raw Data'!$G:$G,'Raw Data'!Z:Z),"")</f>
        <v/>
      </c>
      <c r="O175" s="176" t="str">
        <f>IFERROR(1-SUMIF('Plant BD'!$B:$B,$A175,'Plant BD'!$AM:$AM)/($AA175+SUMIF('Plant BD'!$B:$B,$A175,'Plant BD'!$AM:$AM)),"")</f>
        <v/>
      </c>
      <c r="P175" s="176"/>
      <c r="Q175" s="177"/>
      <c r="R175" s="176" t="str">
        <f>IFERROR(1-SUMIF('Grid BD'!$B:$B,$A175,'Grid BD'!$AE:$AE)/($AA175+SUMIF('Grid BD'!$B:$B,$A175,'Grid BD'!$AE:$AE)),"")</f>
        <v/>
      </c>
      <c r="S175" s="17"/>
      <c r="T175" s="177" t="str">
        <f>IFERROR(1-SUMIF(Tracker_BD!H:H,$A175,Tracker_BD!AI:AI)/$F175,"")</f>
        <v/>
      </c>
      <c r="U175" s="178" t="str">
        <f t="shared" si="12"/>
        <v/>
      </c>
      <c r="V175" s="17"/>
      <c r="W175" s="164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38" t="str">
        <f>IFERROR(_xlfn.XLOOKUP($A175,'Raw Data'!$G:$G,'Raw Data'!AD:AD),"")</f>
        <v/>
      </c>
      <c r="AA175" s="38" t="str">
        <f>IFERROR(_xlfn.XLOOKUP($A175,'Raw Data'!$G:$G,'Raw Data'!AE:AE)*(1+(_xlfn.XLOOKUP(Table13[[#This Row],[Month Year]],JMR!$A:$A,JMR!$J:$J))),"")</f>
        <v/>
      </c>
      <c r="AB175" s="17">
        <f>_xlfn.XLOOKUP($D175,'Modelling New'!D:D,'Modelling New'!N:N)</f>
        <v>10.507</v>
      </c>
      <c r="AC175" s="24">
        <f>IFERROR(_xlfn.XLOOKUP($D175,'Modelling New'!$D:$D,'Modelling New'!P:P),"")</f>
        <v>5.4346819400666666</v>
      </c>
      <c r="AD175" s="38">
        <f>IFERROR(_xlfn.XLOOKUP($D175,'Modelling New'!$D:$D,'Modelling New'!T:T)*1000,"")</f>
        <v>38712.103320676884</v>
      </c>
      <c r="AE175" s="164">
        <f t="shared" si="14"/>
        <v>0.67794412805514337</v>
      </c>
      <c r="AF175" s="164">
        <f>IFERROR(_xlfn.XLOOKUP($D175,'Modelling New'!$D:$D,'Modelling New'!W:W),"")</f>
        <v>0.15351711287981379</v>
      </c>
      <c r="AG175" s="164">
        <f>IFERROR(_xlfn.XLOOKUP($D175,'Modelling New'!$D:$D,'Modelling New'!AD:AD),"")</f>
        <v>0.995</v>
      </c>
      <c r="AH175" s="164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64"/>
      <c r="AO175" s="164"/>
      <c r="AP175" s="164"/>
      <c r="AQ175" s="164"/>
      <c r="AR175" s="38">
        <f>IFERROR(_xlfn.XLOOKUP($D175,'Modelling New'!$D:$D,'Modelling New'!$N:$N),"")</f>
        <v>10.507</v>
      </c>
      <c r="AS175" s="38"/>
      <c r="AT175" s="38" t="str">
        <f>IFERROR(_xlfn.XLOOKUP(Table13[[#This Row],[Date]],'Raw Data'!$G:$G,'Raw Data'!$AJ:$AJ),"")</f>
        <v/>
      </c>
      <c r="AU175" s="38">
        <f>IFERROR(_xlfn.XLOOKUP(Table13[[#This Row],[Month Year]],'Modelling New'!$D:$D,'Modelling New'!$AN:$AN),"")</f>
        <v>10</v>
      </c>
      <c r="AV175" s="38">
        <f>SUMIF('Curtailment records'!$C:$C,Table13[[#This Row],[Date]],'Curtailment records'!$R:$R)/1000</f>
        <v>0</v>
      </c>
    </row>
    <row r="176" spans="1:48">
      <c r="A176" s="66">
        <f t="shared" si="15"/>
        <v>45919</v>
      </c>
      <c r="B176" s="38">
        <f>YEAR(Table13[[#This Row],[Date]])+IF(MONTH(Table13[[#This Row],[Date]])&gt;=4,1,0)</f>
        <v>2026</v>
      </c>
      <c r="C176" s="17">
        <f>YEAR(Table13[[#This Row],[Date]])</f>
        <v>2025</v>
      </c>
      <c r="D176" s="37">
        <f>Table13[[#This Row],[Date]]-DAY(Table13[[#This Row],[Date]])+1</f>
        <v>45901</v>
      </c>
      <c r="E176" s="17">
        <f t="shared" si="16"/>
        <v>30</v>
      </c>
      <c r="F176" s="135" t="str" cm="1">
        <f t="array" ref="F176">IFERROR(_xlfn.XLOOKUP(Table13[[#This Row],[Date]],Raw_Data[[#All],[Date]],Raw_Data[[#All],[Operating Hours]]),"")</f>
        <v/>
      </c>
      <c r="G176" s="24" t="str">
        <f>IFERROR(_xlfn.XLOOKUP($A176,'Raw Data'!$G:$G,'Raw Data'!S:S)/1000,"")</f>
        <v/>
      </c>
      <c r="H176" s="24"/>
      <c r="I176" s="24" t="str">
        <f>IFERROR(_xlfn.XLOOKUP($A176,'Raw Data'!$G:$G,'Raw Data'!AF:AF)/1000,"")</f>
        <v/>
      </c>
      <c r="J176" s="24"/>
      <c r="K176" s="137" t="str">
        <f>IFERROR(_xlfn.XLOOKUP($A176,'Raw Data'!$G:$G,'Raw Data'!W:W),"")</f>
        <v/>
      </c>
      <c r="L176" s="136" t="str">
        <f>IFERROR(_xlfn.XLOOKUP($A176,'Raw Data'!$G:$G,'Raw Data'!X:X),"")</f>
        <v/>
      </c>
      <c r="M176" s="136" t="str">
        <f>IFERROR(_xlfn.XLOOKUP($A176,'Raw Data'!$G:$G,'Raw Data'!Y:Y),"")</f>
        <v/>
      </c>
      <c r="N176" s="136" t="str">
        <f>IFERROR(_xlfn.XLOOKUP($A176,'Raw Data'!$G:$G,'Raw Data'!Z:Z),"")</f>
        <v/>
      </c>
      <c r="O176" s="176" t="str">
        <f>IFERROR(1-SUMIF('Plant BD'!$B:$B,$A176,'Plant BD'!$AM:$AM)/($AA176+SUMIF('Plant BD'!$B:$B,$A176,'Plant BD'!$AM:$AM)),"")</f>
        <v/>
      </c>
      <c r="P176" s="176"/>
      <c r="Q176" s="177"/>
      <c r="R176" s="179" t="str">
        <f>IFERROR(1-SUMIF('Grid BD'!$B:$B,$A176,'Grid BD'!$AE:$AE)/($AA176+SUMIF('Grid BD'!$B:$B,$A176,'Grid BD'!$AE:$AE)),"")</f>
        <v/>
      </c>
      <c r="S176" s="17"/>
      <c r="T176" s="177" t="str">
        <f>IFERROR(1-SUMIF(Tracker_BD!H:H,$A176,Tracker_BD!AI:AI)/$F176,"")</f>
        <v/>
      </c>
      <c r="U176" s="178" t="str">
        <f t="shared" si="12"/>
        <v/>
      </c>
      <c r="V176" s="17"/>
      <c r="W176" s="164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38" t="str">
        <f>IFERROR(_xlfn.XLOOKUP($A176,'Raw Data'!$G:$G,'Raw Data'!AD:AD),"")</f>
        <v/>
      </c>
      <c r="AA176" s="38" t="str">
        <f>IFERROR(_xlfn.XLOOKUP($A176,'Raw Data'!$G:$G,'Raw Data'!AE:AE)*(1+(_xlfn.XLOOKUP(Table13[[#This Row],[Month Year]],JMR!$A:$A,JMR!$J:$J))),"")</f>
        <v/>
      </c>
      <c r="AB176" s="17">
        <f>_xlfn.XLOOKUP($D176,'Modelling New'!D:D,'Modelling New'!N:N)</f>
        <v>10.507</v>
      </c>
      <c r="AC176" s="24">
        <f>IFERROR(_xlfn.XLOOKUP($D176,'Modelling New'!$D:$D,'Modelling New'!P:P),"")</f>
        <v>5.4346819400666666</v>
      </c>
      <c r="AD176" s="38">
        <f>IFERROR(_xlfn.XLOOKUP($D176,'Modelling New'!$D:$D,'Modelling New'!T:T)*1000,"")</f>
        <v>38712.103320676884</v>
      </c>
      <c r="AE176" s="164">
        <f t="shared" si="14"/>
        <v>0.67794412805514337</v>
      </c>
      <c r="AF176" s="164">
        <f>IFERROR(_xlfn.XLOOKUP($D176,'Modelling New'!$D:$D,'Modelling New'!W:W),"")</f>
        <v>0.15351711287981379</v>
      </c>
      <c r="AG176" s="164">
        <f>IFERROR(_xlfn.XLOOKUP($D176,'Modelling New'!$D:$D,'Modelling New'!AD:AD),"")</f>
        <v>0.995</v>
      </c>
      <c r="AH176" s="164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64"/>
      <c r="AO176" s="164"/>
      <c r="AP176" s="164"/>
      <c r="AQ176" s="164"/>
      <c r="AR176" s="38">
        <f>IFERROR(_xlfn.XLOOKUP($D176,'Modelling New'!$D:$D,'Modelling New'!$N:$N),"")</f>
        <v>10.507</v>
      </c>
      <c r="AS176" s="38"/>
      <c r="AT176" s="38" t="str">
        <f>IFERROR(_xlfn.XLOOKUP(Table13[[#This Row],[Date]],'Raw Data'!$G:$G,'Raw Data'!$AJ:$AJ),"")</f>
        <v/>
      </c>
      <c r="AU176" s="38">
        <f>IFERROR(_xlfn.XLOOKUP(Table13[[#This Row],[Month Year]],'Modelling New'!$D:$D,'Modelling New'!$AN:$AN),"")</f>
        <v>10</v>
      </c>
      <c r="AV176" s="38">
        <f>SUMIF('Curtailment records'!$C:$C,Table13[[#This Row],[Date]],'Curtailment records'!$R:$R)/1000</f>
        <v>0</v>
      </c>
    </row>
    <row r="177" spans="1:48">
      <c r="A177" s="66">
        <f t="shared" si="15"/>
        <v>45920</v>
      </c>
      <c r="B177" s="38">
        <f>YEAR(Table13[[#This Row],[Date]])+IF(MONTH(Table13[[#This Row],[Date]])&gt;=4,1,0)</f>
        <v>2026</v>
      </c>
      <c r="C177" s="17">
        <f>YEAR(Table13[[#This Row],[Date]])</f>
        <v>2025</v>
      </c>
      <c r="D177" s="37">
        <f>Table13[[#This Row],[Date]]-DAY(Table13[[#This Row],[Date]])+1</f>
        <v>45901</v>
      </c>
      <c r="E177" s="17">
        <f t="shared" si="16"/>
        <v>30</v>
      </c>
      <c r="F177" s="135" t="str" cm="1">
        <f t="array" ref="F177">IFERROR(_xlfn.XLOOKUP(Table13[[#This Row],[Date]],Raw_Data[[#All],[Date]],Raw_Data[[#All],[Operating Hours]]),"")</f>
        <v/>
      </c>
      <c r="G177" s="136" t="str">
        <f>IFERROR(_xlfn.XLOOKUP($A177,'Raw Data'!$G:$G,'Raw Data'!S:S)/1000,"")</f>
        <v/>
      </c>
      <c r="H177" s="136"/>
      <c r="I177" s="136" t="str">
        <f>IFERROR(_xlfn.XLOOKUP($A177,'Raw Data'!$G:$G,'Raw Data'!AF:AF)/1000,"")</f>
        <v/>
      </c>
      <c r="J177" s="136"/>
      <c r="K177" s="137" t="str">
        <f>IFERROR(_xlfn.XLOOKUP($A177,'Raw Data'!$G:$G,'Raw Data'!W:W),"")</f>
        <v/>
      </c>
      <c r="L177" s="136" t="str">
        <f>IFERROR(_xlfn.XLOOKUP($A177,'Raw Data'!$G:$G,'Raw Data'!X:X),"")</f>
        <v/>
      </c>
      <c r="M177" s="136" t="str">
        <f>IFERROR(_xlfn.XLOOKUP($A177,'Raw Data'!$G:$G,'Raw Data'!Y:Y),"")</f>
        <v/>
      </c>
      <c r="N177" s="136" t="str">
        <f>IFERROR(_xlfn.XLOOKUP($A177,'Raw Data'!$G:$G,'Raw Data'!Z:Z),"")</f>
        <v/>
      </c>
      <c r="O177" s="176" t="str">
        <f>IFERROR(1-SUMIF('Plant BD'!$B:$B,$A177,'Plant BD'!$AM:$AM)/($AA177+SUMIF('Plant BD'!$B:$B,$A177,'Plant BD'!$AM:$AM)),"")</f>
        <v/>
      </c>
      <c r="P177" s="176"/>
      <c r="Q177" s="177"/>
      <c r="R177" s="176" t="str">
        <f>IFERROR(1-SUMIF('Grid BD'!$B:$B,$A177,'Grid BD'!$AE:$AE)/($AA177+SUMIF('Grid BD'!$B:$B,$A177,'Grid BD'!$AE:$AE)),"")</f>
        <v/>
      </c>
      <c r="S177" s="17"/>
      <c r="T177" s="177" t="str">
        <f>IFERROR(1-SUMIF(Tracker_BD!H:H,$A177,Tracker_BD!AI:AI)/$F177,"")</f>
        <v/>
      </c>
      <c r="U177" s="178" t="str">
        <f t="shared" si="12"/>
        <v/>
      </c>
      <c r="V177" s="17"/>
      <c r="W177" s="164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38" t="str">
        <f>IFERROR(_xlfn.XLOOKUP($A177,'Raw Data'!$G:$G,'Raw Data'!AD:AD),"")</f>
        <v/>
      </c>
      <c r="AA177" s="38" t="str">
        <f>IFERROR(_xlfn.XLOOKUP($A177,'Raw Data'!$G:$G,'Raw Data'!AE:AE)*(1+(_xlfn.XLOOKUP(Table13[[#This Row],[Month Year]],JMR!$A:$A,JMR!$J:$J))),"")</f>
        <v/>
      </c>
      <c r="AB177" s="17">
        <f>_xlfn.XLOOKUP($D177,'Modelling New'!D:D,'Modelling New'!N:N)</f>
        <v>10.507</v>
      </c>
      <c r="AC177" s="24">
        <f>IFERROR(_xlfn.XLOOKUP($D177,'Modelling New'!$D:$D,'Modelling New'!P:P),"")</f>
        <v>5.4346819400666666</v>
      </c>
      <c r="AD177" s="38">
        <f>IFERROR(_xlfn.XLOOKUP($D177,'Modelling New'!$D:$D,'Modelling New'!T:T)*1000,"")</f>
        <v>38712.103320676884</v>
      </c>
      <c r="AE177" s="164">
        <f t="shared" si="14"/>
        <v>0.67794412805514337</v>
      </c>
      <c r="AF177" s="164">
        <f>IFERROR(_xlfn.XLOOKUP($D177,'Modelling New'!$D:$D,'Modelling New'!W:W),"")</f>
        <v>0.15351711287981379</v>
      </c>
      <c r="AG177" s="164">
        <f>IFERROR(_xlfn.XLOOKUP($D177,'Modelling New'!$D:$D,'Modelling New'!AD:AD),"")</f>
        <v>0.995</v>
      </c>
      <c r="AH177" s="164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64"/>
      <c r="AO177" s="164"/>
      <c r="AP177" s="164"/>
      <c r="AQ177" s="164"/>
      <c r="AR177" s="38">
        <f>IFERROR(_xlfn.XLOOKUP($D177,'Modelling New'!$D:$D,'Modelling New'!$N:$N),"")</f>
        <v>10.507</v>
      </c>
      <c r="AS177" s="38"/>
      <c r="AT177" s="38" t="str">
        <f>IFERROR(_xlfn.XLOOKUP(Table13[[#This Row],[Date]],'Raw Data'!$G:$G,'Raw Data'!$AJ:$AJ),"")</f>
        <v/>
      </c>
      <c r="AU177" s="38">
        <f>IFERROR(_xlfn.XLOOKUP(Table13[[#This Row],[Month Year]],'Modelling New'!$D:$D,'Modelling New'!$AN:$AN),"")</f>
        <v>10</v>
      </c>
      <c r="AV177" s="38">
        <f>SUMIF('Curtailment records'!$C:$C,Table13[[#This Row],[Date]],'Curtailment records'!$R:$R)/1000</f>
        <v>0</v>
      </c>
    </row>
    <row r="178" spans="1:48">
      <c r="A178" s="66">
        <f t="shared" si="15"/>
        <v>45921</v>
      </c>
      <c r="B178" s="38">
        <f>YEAR(Table13[[#This Row],[Date]])+IF(MONTH(Table13[[#This Row],[Date]])&gt;=4,1,0)</f>
        <v>2026</v>
      </c>
      <c r="C178" s="17">
        <f>YEAR(Table13[[#This Row],[Date]])</f>
        <v>2025</v>
      </c>
      <c r="D178" s="37">
        <f>Table13[[#This Row],[Date]]-DAY(Table13[[#This Row],[Date]])+1</f>
        <v>45901</v>
      </c>
      <c r="E178" s="17">
        <f t="shared" si="16"/>
        <v>30</v>
      </c>
      <c r="F178" s="135" t="str" cm="1">
        <f t="array" ref="F178">IFERROR(_xlfn.XLOOKUP(Table13[[#This Row],[Date]],Raw_Data[[#All],[Date]],Raw_Data[[#All],[Operating Hours]]),"")</f>
        <v/>
      </c>
      <c r="G178" s="24" t="str">
        <f>IFERROR(_xlfn.XLOOKUP($A178,'Raw Data'!$G:$G,'Raw Data'!S:S)/1000,"")</f>
        <v/>
      </c>
      <c r="H178" s="24"/>
      <c r="I178" s="24" t="str">
        <f>IFERROR(_xlfn.XLOOKUP($A178,'Raw Data'!$G:$G,'Raw Data'!AF:AF)/1000,"")</f>
        <v/>
      </c>
      <c r="J178" s="24"/>
      <c r="K178" s="137" t="str">
        <f>IFERROR(_xlfn.XLOOKUP($A178,'Raw Data'!$G:$G,'Raw Data'!W:W),"")</f>
        <v/>
      </c>
      <c r="L178" s="136" t="str">
        <f>IFERROR(_xlfn.XLOOKUP($A178,'Raw Data'!$G:$G,'Raw Data'!X:X),"")</f>
        <v/>
      </c>
      <c r="M178" s="136" t="str">
        <f>IFERROR(_xlfn.XLOOKUP($A178,'Raw Data'!$G:$G,'Raw Data'!Y:Y),"")</f>
        <v/>
      </c>
      <c r="N178" s="136" t="str">
        <f>IFERROR(_xlfn.XLOOKUP($A178,'Raw Data'!$G:$G,'Raw Data'!Z:Z),"")</f>
        <v/>
      </c>
      <c r="O178" s="176" t="str">
        <f>IFERROR(1-SUMIF('Plant BD'!$B:$B,$A178,'Plant BD'!$AM:$AM)/($AA178+SUMIF('Plant BD'!$B:$B,$A178,'Plant BD'!$AM:$AM)),"")</f>
        <v/>
      </c>
      <c r="P178" s="176"/>
      <c r="Q178" s="177"/>
      <c r="R178" s="179" t="str">
        <f>IFERROR(1-SUMIF('Grid BD'!$B:$B,$A178,'Grid BD'!$AE:$AE)/($AA178+SUMIF('Grid BD'!$B:$B,$A178,'Grid BD'!$AE:$AE)),"")</f>
        <v/>
      </c>
      <c r="S178" s="17"/>
      <c r="T178" s="177" t="str">
        <f>IFERROR(1-SUMIF(Tracker_BD!H:H,$A178,Tracker_BD!AI:AI)/$F178,"")</f>
        <v/>
      </c>
      <c r="U178" s="178" t="str">
        <f t="shared" si="12"/>
        <v/>
      </c>
      <c r="V178" s="17"/>
      <c r="W178" s="164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38" t="str">
        <f>IFERROR(_xlfn.XLOOKUP($A178,'Raw Data'!$G:$G,'Raw Data'!AD:AD),"")</f>
        <v/>
      </c>
      <c r="AA178" s="38" t="str">
        <f>IFERROR(_xlfn.XLOOKUP($A178,'Raw Data'!$G:$G,'Raw Data'!AE:AE)*(1+(_xlfn.XLOOKUP(Table13[[#This Row],[Month Year]],JMR!$A:$A,JMR!$J:$J))),"")</f>
        <v/>
      </c>
      <c r="AB178" s="17">
        <f>_xlfn.XLOOKUP($D178,'Modelling New'!D:D,'Modelling New'!N:N)</f>
        <v>10.507</v>
      </c>
      <c r="AC178" s="24">
        <f>IFERROR(_xlfn.XLOOKUP($D178,'Modelling New'!$D:$D,'Modelling New'!P:P),"")</f>
        <v>5.4346819400666666</v>
      </c>
      <c r="AD178" s="38">
        <f>IFERROR(_xlfn.XLOOKUP($D178,'Modelling New'!$D:$D,'Modelling New'!T:T)*1000,"")</f>
        <v>38712.103320676884</v>
      </c>
      <c r="AE178" s="164">
        <f t="shared" si="14"/>
        <v>0.67794412805514337</v>
      </c>
      <c r="AF178" s="164">
        <f>IFERROR(_xlfn.XLOOKUP($D178,'Modelling New'!$D:$D,'Modelling New'!W:W),"")</f>
        <v>0.15351711287981379</v>
      </c>
      <c r="AG178" s="164">
        <f>IFERROR(_xlfn.XLOOKUP($D178,'Modelling New'!$D:$D,'Modelling New'!AD:AD),"")</f>
        <v>0.995</v>
      </c>
      <c r="AH178" s="164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64"/>
      <c r="AO178" s="164"/>
      <c r="AP178" s="164"/>
      <c r="AQ178" s="164"/>
      <c r="AR178" s="38">
        <f>IFERROR(_xlfn.XLOOKUP($D178,'Modelling New'!$D:$D,'Modelling New'!$N:$N),"")</f>
        <v>10.507</v>
      </c>
      <c r="AS178" s="38"/>
      <c r="AT178" s="38" t="str">
        <f>IFERROR(_xlfn.XLOOKUP(Table13[[#This Row],[Date]],'Raw Data'!$G:$G,'Raw Data'!$AJ:$AJ),"")</f>
        <v/>
      </c>
      <c r="AU178" s="38">
        <f>IFERROR(_xlfn.XLOOKUP(Table13[[#This Row],[Month Year]],'Modelling New'!$D:$D,'Modelling New'!$AN:$AN),"")</f>
        <v>10</v>
      </c>
      <c r="AV178" s="38">
        <f>SUMIF('Curtailment records'!$C:$C,Table13[[#This Row],[Date]],'Curtailment records'!$R:$R)/1000</f>
        <v>0</v>
      </c>
    </row>
    <row r="179" spans="1:48">
      <c r="A179" s="66">
        <f t="shared" si="15"/>
        <v>45922</v>
      </c>
      <c r="B179" s="38">
        <f>YEAR(Table13[[#This Row],[Date]])+IF(MONTH(Table13[[#This Row],[Date]])&gt;=4,1,0)</f>
        <v>2026</v>
      </c>
      <c r="C179" s="17">
        <f>YEAR(Table13[[#This Row],[Date]])</f>
        <v>2025</v>
      </c>
      <c r="D179" s="37">
        <f>Table13[[#This Row],[Date]]-DAY(Table13[[#This Row],[Date]])+1</f>
        <v>45901</v>
      </c>
      <c r="E179" s="17">
        <f t="shared" si="16"/>
        <v>30</v>
      </c>
      <c r="F179" s="135" t="str" cm="1">
        <f t="array" ref="F179">IFERROR(_xlfn.XLOOKUP(Table13[[#This Row],[Date]],Raw_Data[[#All],[Date]],Raw_Data[[#All],[Operating Hours]]),"")</f>
        <v/>
      </c>
      <c r="G179" s="136" t="str">
        <f>IFERROR(_xlfn.XLOOKUP($A179,'Raw Data'!$G:$G,'Raw Data'!S:S)/1000,"")</f>
        <v/>
      </c>
      <c r="H179" s="136"/>
      <c r="I179" s="136" t="str">
        <f>IFERROR(_xlfn.XLOOKUP($A179,'Raw Data'!$G:$G,'Raw Data'!AF:AF)/1000,"")</f>
        <v/>
      </c>
      <c r="J179" s="136"/>
      <c r="K179" s="137" t="str">
        <f>IFERROR(_xlfn.XLOOKUP($A179,'Raw Data'!$G:$G,'Raw Data'!W:W),"")</f>
        <v/>
      </c>
      <c r="L179" s="136" t="str">
        <f>IFERROR(_xlfn.XLOOKUP($A179,'Raw Data'!$G:$G,'Raw Data'!X:X),"")</f>
        <v/>
      </c>
      <c r="M179" s="136" t="str">
        <f>IFERROR(_xlfn.XLOOKUP($A179,'Raw Data'!$G:$G,'Raw Data'!Y:Y),"")</f>
        <v/>
      </c>
      <c r="N179" s="136" t="str">
        <f>IFERROR(_xlfn.XLOOKUP($A179,'Raw Data'!$G:$G,'Raw Data'!Z:Z),"")</f>
        <v/>
      </c>
      <c r="O179" s="176" t="str">
        <f>IFERROR(1-SUMIF('Plant BD'!$B:$B,$A179,'Plant BD'!$AM:$AM)/($AA179+SUMIF('Plant BD'!$B:$B,$A179,'Plant BD'!$AM:$AM)),"")</f>
        <v/>
      </c>
      <c r="P179" s="176"/>
      <c r="Q179" s="177"/>
      <c r="R179" s="176" t="str">
        <f>IFERROR(1-SUMIF('Grid BD'!$B:$B,$A179,'Grid BD'!$AE:$AE)/($AA179+SUMIF('Grid BD'!$B:$B,$A179,'Grid BD'!$AE:$AE)),"")</f>
        <v/>
      </c>
      <c r="S179" s="17"/>
      <c r="T179" s="177" t="str">
        <f>IFERROR(1-SUMIF(Tracker_BD!H:H,$A179,Tracker_BD!AI:AI)/$F179,"")</f>
        <v/>
      </c>
      <c r="U179" s="178" t="str">
        <f t="shared" si="12"/>
        <v/>
      </c>
      <c r="V179" s="17"/>
      <c r="W179" s="164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38" t="str">
        <f>IFERROR(_xlfn.XLOOKUP($A179,'Raw Data'!$G:$G,'Raw Data'!AD:AD),"")</f>
        <v/>
      </c>
      <c r="AA179" s="38" t="str">
        <f>IFERROR(_xlfn.XLOOKUP($A179,'Raw Data'!$G:$G,'Raw Data'!AE:AE)*(1+(_xlfn.XLOOKUP(Table13[[#This Row],[Month Year]],JMR!$A:$A,JMR!$J:$J))),"")</f>
        <v/>
      </c>
      <c r="AB179" s="17">
        <f>_xlfn.XLOOKUP($D179,'Modelling New'!D:D,'Modelling New'!N:N)</f>
        <v>10.507</v>
      </c>
      <c r="AC179" s="24">
        <f>IFERROR(_xlfn.XLOOKUP($D179,'Modelling New'!$D:$D,'Modelling New'!P:P),"")</f>
        <v>5.4346819400666666</v>
      </c>
      <c r="AD179" s="38">
        <f>IFERROR(_xlfn.XLOOKUP($D179,'Modelling New'!$D:$D,'Modelling New'!T:T)*1000,"")</f>
        <v>38712.103320676884</v>
      </c>
      <c r="AE179" s="164">
        <f t="shared" si="14"/>
        <v>0.67794412805514337</v>
      </c>
      <c r="AF179" s="164">
        <f>IFERROR(_xlfn.XLOOKUP($D179,'Modelling New'!$D:$D,'Modelling New'!W:W),"")</f>
        <v>0.15351711287981379</v>
      </c>
      <c r="AG179" s="164">
        <f>IFERROR(_xlfn.XLOOKUP($D179,'Modelling New'!$D:$D,'Modelling New'!AD:AD),"")</f>
        <v>0.995</v>
      </c>
      <c r="AH179" s="164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64"/>
      <c r="AO179" s="164"/>
      <c r="AP179" s="164"/>
      <c r="AQ179" s="164"/>
      <c r="AR179" s="38">
        <f>IFERROR(_xlfn.XLOOKUP($D179,'Modelling New'!$D:$D,'Modelling New'!$N:$N),"")</f>
        <v>10.507</v>
      </c>
      <c r="AS179" s="38"/>
      <c r="AT179" s="38" t="str">
        <f>IFERROR(_xlfn.XLOOKUP(Table13[[#This Row],[Date]],'Raw Data'!$G:$G,'Raw Data'!$AJ:$AJ),"")</f>
        <v/>
      </c>
      <c r="AU179" s="38">
        <f>IFERROR(_xlfn.XLOOKUP(Table13[[#This Row],[Month Year]],'Modelling New'!$D:$D,'Modelling New'!$AN:$AN),"")</f>
        <v>10</v>
      </c>
      <c r="AV179" s="38">
        <f>SUMIF('Curtailment records'!$C:$C,Table13[[#This Row],[Date]],'Curtailment records'!$R:$R)/1000</f>
        <v>0</v>
      </c>
    </row>
    <row r="180" spans="1:48">
      <c r="A180" s="66">
        <f t="shared" si="15"/>
        <v>45923</v>
      </c>
      <c r="B180" s="38">
        <f>YEAR(Table13[[#This Row],[Date]])+IF(MONTH(Table13[[#This Row],[Date]])&gt;=4,1,0)</f>
        <v>2026</v>
      </c>
      <c r="C180" s="17">
        <f>YEAR(Table13[[#This Row],[Date]])</f>
        <v>2025</v>
      </c>
      <c r="D180" s="37">
        <f>Table13[[#This Row],[Date]]-DAY(Table13[[#This Row],[Date]])+1</f>
        <v>45901</v>
      </c>
      <c r="E180" s="17">
        <f t="shared" si="16"/>
        <v>30</v>
      </c>
      <c r="F180" s="135" t="str" cm="1">
        <f t="array" ref="F180">IFERROR(_xlfn.XLOOKUP(Table13[[#This Row],[Date]],Raw_Data[[#All],[Date]],Raw_Data[[#All],[Operating Hours]]),"")</f>
        <v/>
      </c>
      <c r="G180" s="24" t="str">
        <f>IFERROR(_xlfn.XLOOKUP($A180,'Raw Data'!$G:$G,'Raw Data'!S:S)/1000,"")</f>
        <v/>
      </c>
      <c r="H180" s="24"/>
      <c r="I180" s="24" t="str">
        <f>IFERROR(_xlfn.XLOOKUP($A180,'Raw Data'!$G:$G,'Raw Data'!AF:AF)/1000,"")</f>
        <v/>
      </c>
      <c r="J180" s="24"/>
      <c r="K180" s="137" t="str">
        <f>IFERROR(_xlfn.XLOOKUP($A180,'Raw Data'!$G:$G,'Raw Data'!W:W),"")</f>
        <v/>
      </c>
      <c r="L180" s="136" t="str">
        <f>IFERROR(_xlfn.XLOOKUP($A180,'Raw Data'!$G:$G,'Raw Data'!X:X),"")</f>
        <v/>
      </c>
      <c r="M180" s="136" t="str">
        <f>IFERROR(_xlfn.XLOOKUP($A180,'Raw Data'!$G:$G,'Raw Data'!Y:Y),"")</f>
        <v/>
      </c>
      <c r="N180" s="136" t="str">
        <f>IFERROR(_xlfn.XLOOKUP($A180,'Raw Data'!$G:$G,'Raw Data'!Z:Z),"")</f>
        <v/>
      </c>
      <c r="O180" s="176" t="str">
        <f>IFERROR(1-SUMIF('Plant BD'!$B:$B,$A180,'Plant BD'!$AM:$AM)/($AA180+SUMIF('Plant BD'!$B:$B,$A180,'Plant BD'!$AM:$AM)),"")</f>
        <v/>
      </c>
      <c r="P180" s="176"/>
      <c r="Q180" s="177"/>
      <c r="R180" s="179" t="str">
        <f>IFERROR(1-SUMIF('Grid BD'!$B:$B,$A180,'Grid BD'!$AE:$AE)/($AA180+SUMIF('Grid BD'!$B:$B,$A180,'Grid BD'!$AE:$AE)),"")</f>
        <v/>
      </c>
      <c r="S180" s="17"/>
      <c r="T180" s="177" t="str">
        <f>IFERROR(1-SUMIF(Tracker_BD!H:H,$A180,Tracker_BD!AI:AI)/$F180,"")</f>
        <v/>
      </c>
      <c r="U180" s="178" t="str">
        <f t="shared" si="12"/>
        <v/>
      </c>
      <c r="V180" s="17"/>
      <c r="W180" s="164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38" t="str">
        <f>IFERROR(_xlfn.XLOOKUP($A180,'Raw Data'!$G:$G,'Raw Data'!AD:AD),"")</f>
        <v/>
      </c>
      <c r="AA180" s="38" t="str">
        <f>IFERROR(_xlfn.XLOOKUP($A180,'Raw Data'!$G:$G,'Raw Data'!AE:AE)*(1+(_xlfn.XLOOKUP(Table13[[#This Row],[Month Year]],JMR!$A:$A,JMR!$J:$J))),"")</f>
        <v/>
      </c>
      <c r="AB180" s="17">
        <f>_xlfn.XLOOKUP($D180,'Modelling New'!D:D,'Modelling New'!N:N)</f>
        <v>10.507</v>
      </c>
      <c r="AC180" s="24">
        <f>IFERROR(_xlfn.XLOOKUP($D180,'Modelling New'!$D:$D,'Modelling New'!P:P),"")</f>
        <v>5.4346819400666666</v>
      </c>
      <c r="AD180" s="38">
        <f>IFERROR(_xlfn.XLOOKUP($D180,'Modelling New'!$D:$D,'Modelling New'!T:T)*1000,"")</f>
        <v>38712.103320676884</v>
      </c>
      <c r="AE180" s="164">
        <f t="shared" si="14"/>
        <v>0.67794412805514337</v>
      </c>
      <c r="AF180" s="164">
        <f>IFERROR(_xlfn.XLOOKUP($D180,'Modelling New'!$D:$D,'Modelling New'!W:W),"")</f>
        <v>0.15351711287981379</v>
      </c>
      <c r="AG180" s="164">
        <f>IFERROR(_xlfn.XLOOKUP($D180,'Modelling New'!$D:$D,'Modelling New'!AD:AD),"")</f>
        <v>0.995</v>
      </c>
      <c r="AH180" s="164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64"/>
      <c r="AO180" s="164"/>
      <c r="AP180" s="164"/>
      <c r="AQ180" s="164"/>
      <c r="AR180" s="38">
        <f>IFERROR(_xlfn.XLOOKUP($D180,'Modelling New'!$D:$D,'Modelling New'!$N:$N),"")</f>
        <v>10.507</v>
      </c>
      <c r="AS180" s="38"/>
      <c r="AT180" s="38" t="str">
        <f>IFERROR(_xlfn.XLOOKUP(Table13[[#This Row],[Date]],'Raw Data'!$G:$G,'Raw Data'!$AJ:$AJ),"")</f>
        <v/>
      </c>
      <c r="AU180" s="38">
        <f>IFERROR(_xlfn.XLOOKUP(Table13[[#This Row],[Month Year]],'Modelling New'!$D:$D,'Modelling New'!$AN:$AN),"")</f>
        <v>10</v>
      </c>
      <c r="AV180" s="38">
        <f>SUMIF('Curtailment records'!$C:$C,Table13[[#This Row],[Date]],'Curtailment records'!$R:$R)/1000</f>
        <v>0</v>
      </c>
    </row>
    <row r="181" spans="1:48">
      <c r="A181" s="66">
        <f t="shared" si="15"/>
        <v>45924</v>
      </c>
      <c r="B181" s="38">
        <f>YEAR(Table13[[#This Row],[Date]])+IF(MONTH(Table13[[#This Row],[Date]])&gt;=4,1,0)</f>
        <v>2026</v>
      </c>
      <c r="C181" s="17">
        <f>YEAR(Table13[[#This Row],[Date]])</f>
        <v>2025</v>
      </c>
      <c r="D181" s="37">
        <f>Table13[[#This Row],[Date]]-DAY(Table13[[#This Row],[Date]])+1</f>
        <v>45901</v>
      </c>
      <c r="E181" s="17">
        <f t="shared" si="16"/>
        <v>30</v>
      </c>
      <c r="F181" s="135" t="str" cm="1">
        <f t="array" ref="F181">IFERROR(_xlfn.XLOOKUP(Table13[[#This Row],[Date]],Raw_Data[[#All],[Date]],Raw_Data[[#All],[Operating Hours]]),"")</f>
        <v/>
      </c>
      <c r="G181" s="136" t="str">
        <f>IFERROR(_xlfn.XLOOKUP($A181,'Raw Data'!$G:$G,'Raw Data'!S:S)/1000,"")</f>
        <v/>
      </c>
      <c r="H181" s="136"/>
      <c r="I181" s="136" t="str">
        <f>IFERROR(_xlfn.XLOOKUP($A181,'Raw Data'!$G:$G,'Raw Data'!AF:AF)/1000,"")</f>
        <v/>
      </c>
      <c r="J181" s="136"/>
      <c r="K181" s="137" t="str">
        <f>IFERROR(_xlfn.XLOOKUP($A181,'Raw Data'!$G:$G,'Raw Data'!W:W),"")</f>
        <v/>
      </c>
      <c r="L181" s="136" t="str">
        <f>IFERROR(_xlfn.XLOOKUP($A181,'Raw Data'!$G:$G,'Raw Data'!X:X),"")</f>
        <v/>
      </c>
      <c r="M181" s="136" t="str">
        <f>IFERROR(_xlfn.XLOOKUP($A181,'Raw Data'!$G:$G,'Raw Data'!Y:Y),"")</f>
        <v/>
      </c>
      <c r="N181" s="136" t="str">
        <f>IFERROR(_xlfn.XLOOKUP($A181,'Raw Data'!$G:$G,'Raw Data'!Z:Z),"")</f>
        <v/>
      </c>
      <c r="O181" s="176" t="str">
        <f>IFERROR(1-SUMIF('Plant BD'!$B:$B,$A181,'Plant BD'!$AM:$AM)/($AA181+SUMIF('Plant BD'!$B:$B,$A181,'Plant BD'!$AM:$AM)),"")</f>
        <v/>
      </c>
      <c r="P181" s="176"/>
      <c r="Q181" s="177"/>
      <c r="R181" s="176" t="str">
        <f>IFERROR(1-SUMIF('Grid BD'!$B:$B,$A181,'Grid BD'!$AE:$AE)/($AA181+SUMIF('Grid BD'!$B:$B,$A181,'Grid BD'!$AE:$AE)),"")</f>
        <v/>
      </c>
      <c r="S181" s="17"/>
      <c r="T181" s="177" t="str">
        <f>IFERROR(1-SUMIF(Tracker_BD!H:H,$A181,Tracker_BD!AI:AI)/$F181,"")</f>
        <v/>
      </c>
      <c r="U181" s="178" t="str">
        <f t="shared" si="12"/>
        <v/>
      </c>
      <c r="V181" s="17"/>
      <c r="W181" s="164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38" t="str">
        <f>IFERROR(_xlfn.XLOOKUP($A181,'Raw Data'!$G:$G,'Raw Data'!AD:AD),"")</f>
        <v/>
      </c>
      <c r="AA181" s="38" t="str">
        <f>IFERROR(_xlfn.XLOOKUP($A181,'Raw Data'!$G:$G,'Raw Data'!AE:AE)*(1+(_xlfn.XLOOKUP(Table13[[#This Row],[Month Year]],JMR!$A:$A,JMR!$J:$J))),"")</f>
        <v/>
      </c>
      <c r="AB181" s="17">
        <f>_xlfn.XLOOKUP($D181,'Modelling New'!D:D,'Modelling New'!N:N)</f>
        <v>10.507</v>
      </c>
      <c r="AC181" s="24">
        <f>IFERROR(_xlfn.XLOOKUP($D181,'Modelling New'!$D:$D,'Modelling New'!P:P),"")</f>
        <v>5.4346819400666666</v>
      </c>
      <c r="AD181" s="38">
        <f>IFERROR(_xlfn.XLOOKUP($D181,'Modelling New'!$D:$D,'Modelling New'!T:T)*1000,"")</f>
        <v>38712.103320676884</v>
      </c>
      <c r="AE181" s="164">
        <f t="shared" si="14"/>
        <v>0.67794412805514337</v>
      </c>
      <c r="AF181" s="164">
        <f>IFERROR(_xlfn.XLOOKUP($D181,'Modelling New'!$D:$D,'Modelling New'!W:W),"")</f>
        <v>0.15351711287981379</v>
      </c>
      <c r="AG181" s="164">
        <f>IFERROR(_xlfn.XLOOKUP($D181,'Modelling New'!$D:$D,'Modelling New'!AD:AD),"")</f>
        <v>0.995</v>
      </c>
      <c r="AH181" s="164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64"/>
      <c r="AO181" s="164"/>
      <c r="AP181" s="164"/>
      <c r="AQ181" s="164"/>
      <c r="AR181" s="38">
        <f>IFERROR(_xlfn.XLOOKUP($D181,'Modelling New'!$D:$D,'Modelling New'!$N:$N),"")</f>
        <v>10.507</v>
      </c>
      <c r="AS181" s="38"/>
      <c r="AT181" s="38" t="str">
        <f>IFERROR(_xlfn.XLOOKUP(Table13[[#This Row],[Date]],'Raw Data'!$G:$G,'Raw Data'!$AJ:$AJ),"")</f>
        <v/>
      </c>
      <c r="AU181" s="38">
        <f>IFERROR(_xlfn.XLOOKUP(Table13[[#This Row],[Month Year]],'Modelling New'!$D:$D,'Modelling New'!$AN:$AN),"")</f>
        <v>10</v>
      </c>
      <c r="AV181" s="38">
        <f>SUMIF('Curtailment records'!$C:$C,Table13[[#This Row],[Date]],'Curtailment records'!$R:$R)/1000</f>
        <v>0</v>
      </c>
    </row>
    <row r="182" spans="1:48">
      <c r="A182" s="66">
        <f t="shared" si="15"/>
        <v>45925</v>
      </c>
      <c r="B182" s="38">
        <f>YEAR(Table13[[#This Row],[Date]])+IF(MONTH(Table13[[#This Row],[Date]])&gt;=4,1,0)</f>
        <v>2026</v>
      </c>
      <c r="C182" s="17">
        <f>YEAR(Table13[[#This Row],[Date]])</f>
        <v>2025</v>
      </c>
      <c r="D182" s="37">
        <f>Table13[[#This Row],[Date]]-DAY(Table13[[#This Row],[Date]])+1</f>
        <v>45901</v>
      </c>
      <c r="E182" s="17">
        <f t="shared" si="16"/>
        <v>30</v>
      </c>
      <c r="F182" s="135" t="str" cm="1">
        <f t="array" ref="F182">IFERROR(_xlfn.XLOOKUP(Table13[[#This Row],[Date]],Raw_Data[[#All],[Date]],Raw_Data[[#All],[Operating Hours]]),"")</f>
        <v/>
      </c>
      <c r="G182" s="24" t="str">
        <f>IFERROR(_xlfn.XLOOKUP($A182,'Raw Data'!$G:$G,'Raw Data'!S:S)/1000,"")</f>
        <v/>
      </c>
      <c r="H182" s="24"/>
      <c r="I182" s="24" t="str">
        <f>IFERROR(_xlfn.XLOOKUP($A182,'Raw Data'!$G:$G,'Raw Data'!AF:AF)/1000,"")</f>
        <v/>
      </c>
      <c r="J182" s="24"/>
      <c r="K182" s="137" t="str">
        <f>IFERROR(_xlfn.XLOOKUP($A182,'Raw Data'!$G:$G,'Raw Data'!W:W),"")</f>
        <v/>
      </c>
      <c r="L182" s="136" t="str">
        <f>IFERROR(_xlfn.XLOOKUP($A182,'Raw Data'!$G:$G,'Raw Data'!X:X),"")</f>
        <v/>
      </c>
      <c r="M182" s="136" t="str">
        <f>IFERROR(_xlfn.XLOOKUP($A182,'Raw Data'!$G:$G,'Raw Data'!Y:Y),"")</f>
        <v/>
      </c>
      <c r="N182" s="136" t="str">
        <f>IFERROR(_xlfn.XLOOKUP($A182,'Raw Data'!$G:$G,'Raw Data'!Z:Z),"")</f>
        <v/>
      </c>
      <c r="O182" s="176" t="str">
        <f>IFERROR(1-SUMIF('Plant BD'!$B:$B,$A182,'Plant BD'!$AM:$AM)/($AA182+SUMIF('Plant BD'!$B:$B,$A182,'Plant BD'!$AM:$AM)),"")</f>
        <v/>
      </c>
      <c r="P182" s="176"/>
      <c r="Q182" s="177"/>
      <c r="R182" s="179" t="str">
        <f>IFERROR(1-SUMIF('Grid BD'!$B:$B,$A182,'Grid BD'!$AE:$AE)/($AA182+SUMIF('Grid BD'!$B:$B,$A182,'Grid BD'!$AE:$AE)),"")</f>
        <v/>
      </c>
      <c r="S182" s="17"/>
      <c r="T182" s="177" t="str">
        <f>IFERROR(1-SUMIF(Tracker_BD!H:H,$A182,Tracker_BD!AI:AI)/$F182,"")</f>
        <v/>
      </c>
      <c r="U182" s="178" t="str">
        <f t="shared" si="12"/>
        <v/>
      </c>
      <c r="V182" s="17"/>
      <c r="W182" s="164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38" t="str">
        <f>IFERROR(_xlfn.XLOOKUP($A182,'Raw Data'!$G:$G,'Raw Data'!AD:AD),"")</f>
        <v/>
      </c>
      <c r="AA182" s="38" t="str">
        <f>IFERROR(_xlfn.XLOOKUP($A182,'Raw Data'!$G:$G,'Raw Data'!AE:AE)*(1+(_xlfn.XLOOKUP(Table13[[#This Row],[Month Year]],JMR!$A:$A,JMR!$J:$J))),"")</f>
        <v/>
      </c>
      <c r="AB182" s="17">
        <f>_xlfn.XLOOKUP($D182,'Modelling New'!D:D,'Modelling New'!N:N)</f>
        <v>10.507</v>
      </c>
      <c r="AC182" s="24">
        <f>IFERROR(_xlfn.XLOOKUP($D182,'Modelling New'!$D:$D,'Modelling New'!P:P),"")</f>
        <v>5.4346819400666666</v>
      </c>
      <c r="AD182" s="38">
        <f>IFERROR(_xlfn.XLOOKUP($D182,'Modelling New'!$D:$D,'Modelling New'!T:T)*1000,"")</f>
        <v>38712.103320676884</v>
      </c>
      <c r="AE182" s="164">
        <f t="shared" si="14"/>
        <v>0.67794412805514337</v>
      </c>
      <c r="AF182" s="164">
        <f>IFERROR(_xlfn.XLOOKUP($D182,'Modelling New'!$D:$D,'Modelling New'!W:W),"")</f>
        <v>0.15351711287981379</v>
      </c>
      <c r="AG182" s="164">
        <f>IFERROR(_xlfn.XLOOKUP($D182,'Modelling New'!$D:$D,'Modelling New'!AD:AD),"")</f>
        <v>0.995</v>
      </c>
      <c r="AH182" s="164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64"/>
      <c r="AO182" s="164"/>
      <c r="AP182" s="164"/>
      <c r="AQ182" s="164"/>
      <c r="AR182" s="38">
        <f>IFERROR(_xlfn.XLOOKUP($D182,'Modelling New'!$D:$D,'Modelling New'!$N:$N),"")</f>
        <v>10.507</v>
      </c>
      <c r="AS182" s="38"/>
      <c r="AT182" s="38" t="str">
        <f>IFERROR(_xlfn.XLOOKUP(Table13[[#This Row],[Date]],'Raw Data'!$G:$G,'Raw Data'!$AJ:$AJ),"")</f>
        <v/>
      </c>
      <c r="AU182" s="38">
        <f>IFERROR(_xlfn.XLOOKUP(Table13[[#This Row],[Month Year]],'Modelling New'!$D:$D,'Modelling New'!$AN:$AN),"")</f>
        <v>10</v>
      </c>
      <c r="AV182" s="38">
        <f>SUMIF('Curtailment records'!$C:$C,Table13[[#This Row],[Date]],'Curtailment records'!$R:$R)/1000</f>
        <v>0</v>
      </c>
    </row>
    <row r="183" spans="1:48">
      <c r="A183" s="66">
        <f t="shared" si="15"/>
        <v>45926</v>
      </c>
      <c r="B183" s="38">
        <f>YEAR(Table13[[#This Row],[Date]])+IF(MONTH(Table13[[#This Row],[Date]])&gt;=4,1,0)</f>
        <v>2026</v>
      </c>
      <c r="C183" s="17">
        <f>YEAR(Table13[[#This Row],[Date]])</f>
        <v>2025</v>
      </c>
      <c r="D183" s="37">
        <f>Table13[[#This Row],[Date]]-DAY(Table13[[#This Row],[Date]])+1</f>
        <v>45901</v>
      </c>
      <c r="E183" s="17">
        <f t="shared" si="16"/>
        <v>30</v>
      </c>
      <c r="F183" s="135" t="str" cm="1">
        <f t="array" ref="F183">IFERROR(_xlfn.XLOOKUP(Table13[[#This Row],[Date]],Raw_Data[[#All],[Date]],Raw_Data[[#All],[Operating Hours]]),"")</f>
        <v/>
      </c>
      <c r="G183" s="136" t="str">
        <f>IFERROR(_xlfn.XLOOKUP($A183,'Raw Data'!$G:$G,'Raw Data'!S:S)/1000,"")</f>
        <v/>
      </c>
      <c r="H183" s="136"/>
      <c r="I183" s="136" t="str">
        <f>IFERROR(_xlfn.XLOOKUP($A183,'Raw Data'!$G:$G,'Raw Data'!AF:AF)/1000,"")</f>
        <v/>
      </c>
      <c r="J183" s="136"/>
      <c r="K183" s="137" t="str">
        <f>IFERROR(_xlfn.XLOOKUP($A183,'Raw Data'!$G:$G,'Raw Data'!W:W),"")</f>
        <v/>
      </c>
      <c r="L183" s="136" t="str">
        <f>IFERROR(_xlfn.XLOOKUP($A183,'Raw Data'!$G:$G,'Raw Data'!X:X),"")</f>
        <v/>
      </c>
      <c r="M183" s="136" t="str">
        <f>IFERROR(_xlfn.XLOOKUP($A183,'Raw Data'!$G:$G,'Raw Data'!Y:Y),"")</f>
        <v/>
      </c>
      <c r="N183" s="136" t="str">
        <f>IFERROR(_xlfn.XLOOKUP($A183,'Raw Data'!$G:$G,'Raw Data'!Z:Z),"")</f>
        <v/>
      </c>
      <c r="O183" s="176" t="str">
        <f>IFERROR(1-SUMIF('Plant BD'!$B:$B,$A183,'Plant BD'!$AM:$AM)/($AA183+SUMIF('Plant BD'!$B:$B,$A183,'Plant BD'!$AM:$AM)),"")</f>
        <v/>
      </c>
      <c r="P183" s="176"/>
      <c r="Q183" s="177"/>
      <c r="R183" s="176" t="str">
        <f>IFERROR(1-SUMIF('Grid BD'!$B:$B,$A183,'Grid BD'!$AE:$AE)/($AA183+SUMIF('Grid BD'!$B:$B,$A183,'Grid BD'!$AE:$AE)),"")</f>
        <v/>
      </c>
      <c r="S183" s="17"/>
      <c r="T183" s="177" t="str">
        <f>IFERROR(1-SUMIF(Tracker_BD!H:H,$A183,Tracker_BD!AI:AI)/$F183,"")</f>
        <v/>
      </c>
      <c r="U183" s="178" t="str">
        <f t="shared" si="12"/>
        <v/>
      </c>
      <c r="V183" s="17"/>
      <c r="W183" s="164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38" t="str">
        <f>IFERROR(_xlfn.XLOOKUP($A183,'Raw Data'!$G:$G,'Raw Data'!AD:AD),"")</f>
        <v/>
      </c>
      <c r="AA183" s="38" t="str">
        <f>IFERROR(_xlfn.XLOOKUP($A183,'Raw Data'!$G:$G,'Raw Data'!AE:AE)*(1+(_xlfn.XLOOKUP(Table13[[#This Row],[Month Year]],JMR!$A:$A,JMR!$J:$J))),"")</f>
        <v/>
      </c>
      <c r="AB183" s="17">
        <f>_xlfn.XLOOKUP($D183,'Modelling New'!D:D,'Modelling New'!N:N)</f>
        <v>10.507</v>
      </c>
      <c r="AC183" s="24">
        <f>IFERROR(_xlfn.XLOOKUP($D183,'Modelling New'!$D:$D,'Modelling New'!P:P),"")</f>
        <v>5.4346819400666666</v>
      </c>
      <c r="AD183" s="38">
        <f>IFERROR(_xlfn.XLOOKUP($D183,'Modelling New'!$D:$D,'Modelling New'!T:T)*1000,"")</f>
        <v>38712.103320676884</v>
      </c>
      <c r="AE183" s="164">
        <f t="shared" si="14"/>
        <v>0.67794412805514337</v>
      </c>
      <c r="AF183" s="164">
        <f>IFERROR(_xlfn.XLOOKUP($D183,'Modelling New'!$D:$D,'Modelling New'!W:W),"")</f>
        <v>0.15351711287981379</v>
      </c>
      <c r="AG183" s="164">
        <f>IFERROR(_xlfn.XLOOKUP($D183,'Modelling New'!$D:$D,'Modelling New'!AD:AD),"")</f>
        <v>0.995</v>
      </c>
      <c r="AH183" s="164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64"/>
      <c r="AO183" s="164"/>
      <c r="AP183" s="164"/>
      <c r="AQ183" s="164"/>
      <c r="AR183" s="38">
        <f>IFERROR(_xlfn.XLOOKUP($D183,'Modelling New'!$D:$D,'Modelling New'!$N:$N),"")</f>
        <v>10.507</v>
      </c>
      <c r="AS183" s="38"/>
      <c r="AT183" s="38" t="str">
        <f>IFERROR(_xlfn.XLOOKUP(Table13[[#This Row],[Date]],'Raw Data'!$G:$G,'Raw Data'!$AJ:$AJ),"")</f>
        <v/>
      </c>
      <c r="AU183" s="38">
        <f>IFERROR(_xlfn.XLOOKUP(Table13[[#This Row],[Month Year]],'Modelling New'!$D:$D,'Modelling New'!$AN:$AN),"")</f>
        <v>10</v>
      </c>
      <c r="AV183" s="38">
        <f>SUMIF('Curtailment records'!$C:$C,Table13[[#This Row],[Date]],'Curtailment records'!$R:$R)/1000</f>
        <v>0</v>
      </c>
    </row>
    <row r="184" spans="1:48">
      <c r="A184" s="66">
        <f t="shared" si="15"/>
        <v>45927</v>
      </c>
      <c r="B184" s="38">
        <f>YEAR(Table13[[#This Row],[Date]])+IF(MONTH(Table13[[#This Row],[Date]])&gt;=4,1,0)</f>
        <v>2026</v>
      </c>
      <c r="C184" s="17">
        <f>YEAR(Table13[[#This Row],[Date]])</f>
        <v>2025</v>
      </c>
      <c r="D184" s="37">
        <f>Table13[[#This Row],[Date]]-DAY(Table13[[#This Row],[Date]])+1</f>
        <v>45901</v>
      </c>
      <c r="E184" s="17">
        <f t="shared" si="16"/>
        <v>30</v>
      </c>
      <c r="F184" s="135" t="str" cm="1">
        <f t="array" ref="F184">IFERROR(_xlfn.XLOOKUP(Table13[[#This Row],[Date]],Raw_Data[[#All],[Date]],Raw_Data[[#All],[Operating Hours]]),"")</f>
        <v/>
      </c>
      <c r="G184" s="24" t="str">
        <f>IFERROR(_xlfn.XLOOKUP($A184,'Raw Data'!$G:$G,'Raw Data'!S:S)/1000,"")</f>
        <v/>
      </c>
      <c r="H184" s="24"/>
      <c r="I184" s="24" t="str">
        <f>IFERROR(_xlfn.XLOOKUP($A184,'Raw Data'!$G:$G,'Raw Data'!AF:AF)/1000,"")</f>
        <v/>
      </c>
      <c r="J184" s="24"/>
      <c r="K184" s="137" t="str">
        <f>IFERROR(_xlfn.XLOOKUP($A184,'Raw Data'!$G:$G,'Raw Data'!W:W),"")</f>
        <v/>
      </c>
      <c r="L184" s="136" t="str">
        <f>IFERROR(_xlfn.XLOOKUP($A184,'Raw Data'!$G:$G,'Raw Data'!X:X),"")</f>
        <v/>
      </c>
      <c r="M184" s="136" t="str">
        <f>IFERROR(_xlfn.XLOOKUP($A184,'Raw Data'!$G:$G,'Raw Data'!Y:Y),"")</f>
        <v/>
      </c>
      <c r="N184" s="136" t="str">
        <f>IFERROR(_xlfn.XLOOKUP($A184,'Raw Data'!$G:$G,'Raw Data'!Z:Z),"")</f>
        <v/>
      </c>
      <c r="O184" s="176" t="str">
        <f>IFERROR(1-SUMIF('Plant BD'!$B:$B,$A184,'Plant BD'!$AM:$AM)/($AA184+SUMIF('Plant BD'!$B:$B,$A184,'Plant BD'!$AM:$AM)),"")</f>
        <v/>
      </c>
      <c r="P184" s="176"/>
      <c r="Q184" s="177"/>
      <c r="R184" s="179" t="str">
        <f>IFERROR(1-SUMIF('Grid BD'!$B:$B,$A184,'Grid BD'!$AE:$AE)/($AA184+SUMIF('Grid BD'!$B:$B,$A184,'Grid BD'!$AE:$AE)),"")</f>
        <v/>
      </c>
      <c r="S184" s="17"/>
      <c r="T184" s="177" t="str">
        <f>IFERROR(1-SUMIF(Tracker_BD!H:H,$A184,Tracker_BD!AI:AI)/$F184,"")</f>
        <v/>
      </c>
      <c r="U184" s="178" t="str">
        <f t="shared" si="12"/>
        <v/>
      </c>
      <c r="V184" s="17"/>
      <c r="W184" s="164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38" t="str">
        <f>IFERROR(_xlfn.XLOOKUP($A184,'Raw Data'!$G:$G,'Raw Data'!AD:AD),"")</f>
        <v/>
      </c>
      <c r="AA184" s="38" t="str">
        <f>IFERROR(_xlfn.XLOOKUP($A184,'Raw Data'!$G:$G,'Raw Data'!AE:AE)*(1+(_xlfn.XLOOKUP(Table13[[#This Row],[Month Year]],JMR!$A:$A,JMR!$J:$J))),"")</f>
        <v/>
      </c>
      <c r="AB184" s="17">
        <f>_xlfn.XLOOKUP($D184,'Modelling New'!D:D,'Modelling New'!N:N)</f>
        <v>10.507</v>
      </c>
      <c r="AC184" s="24">
        <f>IFERROR(_xlfn.XLOOKUP($D184,'Modelling New'!$D:$D,'Modelling New'!P:P),"")</f>
        <v>5.4346819400666666</v>
      </c>
      <c r="AD184" s="38">
        <f>IFERROR(_xlfn.XLOOKUP($D184,'Modelling New'!$D:$D,'Modelling New'!T:T)*1000,"")</f>
        <v>38712.103320676884</v>
      </c>
      <c r="AE184" s="164">
        <f t="shared" si="14"/>
        <v>0.67794412805514337</v>
      </c>
      <c r="AF184" s="164">
        <f>IFERROR(_xlfn.XLOOKUP($D184,'Modelling New'!$D:$D,'Modelling New'!W:W),"")</f>
        <v>0.15351711287981379</v>
      </c>
      <c r="AG184" s="164">
        <f>IFERROR(_xlfn.XLOOKUP($D184,'Modelling New'!$D:$D,'Modelling New'!AD:AD),"")</f>
        <v>0.995</v>
      </c>
      <c r="AH184" s="164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64"/>
      <c r="AO184" s="164"/>
      <c r="AP184" s="164"/>
      <c r="AQ184" s="164"/>
      <c r="AR184" s="38">
        <f>IFERROR(_xlfn.XLOOKUP($D184,'Modelling New'!$D:$D,'Modelling New'!$N:$N),"")</f>
        <v>10.507</v>
      </c>
      <c r="AS184" s="38"/>
      <c r="AT184" s="38" t="str">
        <f>IFERROR(_xlfn.XLOOKUP(Table13[[#This Row],[Date]],'Raw Data'!$G:$G,'Raw Data'!$AJ:$AJ),"")</f>
        <v/>
      </c>
      <c r="AU184" s="38">
        <f>IFERROR(_xlfn.XLOOKUP(Table13[[#This Row],[Month Year]],'Modelling New'!$D:$D,'Modelling New'!$AN:$AN),"")</f>
        <v>10</v>
      </c>
      <c r="AV184" s="38">
        <f>SUMIF('Curtailment records'!$C:$C,Table13[[#This Row],[Date]],'Curtailment records'!$R:$R)/1000</f>
        <v>0</v>
      </c>
    </row>
    <row r="185" spans="1:48">
      <c r="A185" s="66">
        <f t="shared" si="15"/>
        <v>45928</v>
      </c>
      <c r="B185" s="38">
        <f>YEAR(Table13[[#This Row],[Date]])+IF(MONTH(Table13[[#This Row],[Date]])&gt;=4,1,0)</f>
        <v>2026</v>
      </c>
      <c r="C185" s="17">
        <f>YEAR(Table13[[#This Row],[Date]])</f>
        <v>2025</v>
      </c>
      <c r="D185" s="37">
        <f>Table13[[#This Row],[Date]]-DAY(Table13[[#This Row],[Date]])+1</f>
        <v>45901</v>
      </c>
      <c r="E185" s="17">
        <f t="shared" si="16"/>
        <v>30</v>
      </c>
      <c r="F185" s="135" t="str" cm="1">
        <f t="array" ref="F185">IFERROR(_xlfn.XLOOKUP(Table13[[#This Row],[Date]],Raw_Data[[#All],[Date]],Raw_Data[[#All],[Operating Hours]]),"")</f>
        <v/>
      </c>
      <c r="G185" s="136" t="str">
        <f>IFERROR(_xlfn.XLOOKUP($A185,'Raw Data'!$G:$G,'Raw Data'!S:S)/1000,"")</f>
        <v/>
      </c>
      <c r="H185" s="136"/>
      <c r="I185" s="136" t="str">
        <f>IFERROR(_xlfn.XLOOKUP($A185,'Raw Data'!$G:$G,'Raw Data'!AF:AF)/1000,"")</f>
        <v/>
      </c>
      <c r="J185" s="136"/>
      <c r="K185" s="137" t="str">
        <f>IFERROR(_xlfn.XLOOKUP($A185,'Raw Data'!$G:$G,'Raw Data'!W:W),"")</f>
        <v/>
      </c>
      <c r="L185" s="136" t="str">
        <f>IFERROR(_xlfn.XLOOKUP($A185,'Raw Data'!$G:$G,'Raw Data'!X:X),"")</f>
        <v/>
      </c>
      <c r="M185" s="136" t="str">
        <f>IFERROR(_xlfn.XLOOKUP($A185,'Raw Data'!$G:$G,'Raw Data'!Y:Y),"")</f>
        <v/>
      </c>
      <c r="N185" s="136" t="str">
        <f>IFERROR(_xlfn.XLOOKUP($A185,'Raw Data'!$G:$G,'Raw Data'!Z:Z),"")</f>
        <v/>
      </c>
      <c r="O185" s="176" t="str">
        <f>IFERROR(1-SUMIF('Plant BD'!$B:$B,$A185,'Plant BD'!$AM:$AM)/($AA185+SUMIF('Plant BD'!$B:$B,$A185,'Plant BD'!$AM:$AM)),"")</f>
        <v/>
      </c>
      <c r="P185" s="176"/>
      <c r="Q185" s="177"/>
      <c r="R185" s="176" t="str">
        <f>IFERROR(1-SUMIF('Grid BD'!$B:$B,$A185,'Grid BD'!$AE:$AE)/($AA185+SUMIF('Grid BD'!$B:$B,$A185,'Grid BD'!$AE:$AE)),"")</f>
        <v/>
      </c>
      <c r="S185" s="17"/>
      <c r="T185" s="177" t="str">
        <f>IFERROR(1-SUMIF(Tracker_BD!H:H,$A185,Tracker_BD!AI:AI)/$F185,"")</f>
        <v/>
      </c>
      <c r="U185" s="178" t="str">
        <f t="shared" si="12"/>
        <v/>
      </c>
      <c r="V185" s="17"/>
      <c r="W185" s="164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38" t="str">
        <f>IFERROR(_xlfn.XLOOKUP($A185,'Raw Data'!$G:$G,'Raw Data'!AD:AD),"")</f>
        <v/>
      </c>
      <c r="AA185" s="38" t="str">
        <f>IFERROR(_xlfn.XLOOKUP($A185,'Raw Data'!$G:$G,'Raw Data'!AE:AE)*(1+(_xlfn.XLOOKUP(Table13[[#This Row],[Month Year]],JMR!$A:$A,JMR!$J:$J))),"")</f>
        <v/>
      </c>
      <c r="AB185" s="17">
        <f>_xlfn.XLOOKUP($D185,'Modelling New'!D:D,'Modelling New'!N:N)</f>
        <v>10.507</v>
      </c>
      <c r="AC185" s="24">
        <f>IFERROR(_xlfn.XLOOKUP($D185,'Modelling New'!$D:$D,'Modelling New'!P:P),"")</f>
        <v>5.4346819400666666</v>
      </c>
      <c r="AD185" s="38">
        <f>IFERROR(_xlfn.XLOOKUP($D185,'Modelling New'!$D:$D,'Modelling New'!T:T)*1000,"")</f>
        <v>38712.103320676884</v>
      </c>
      <c r="AE185" s="164">
        <f t="shared" si="14"/>
        <v>0.67794412805514337</v>
      </c>
      <c r="AF185" s="164">
        <f>IFERROR(_xlfn.XLOOKUP($D185,'Modelling New'!$D:$D,'Modelling New'!W:W),"")</f>
        <v>0.15351711287981379</v>
      </c>
      <c r="AG185" s="164">
        <f>IFERROR(_xlfn.XLOOKUP($D185,'Modelling New'!$D:$D,'Modelling New'!AD:AD),"")</f>
        <v>0.995</v>
      </c>
      <c r="AH185" s="164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64"/>
      <c r="AO185" s="164"/>
      <c r="AP185" s="164"/>
      <c r="AQ185" s="164"/>
      <c r="AR185" s="38">
        <f>IFERROR(_xlfn.XLOOKUP($D185,'Modelling New'!$D:$D,'Modelling New'!$N:$N),"")</f>
        <v>10.507</v>
      </c>
      <c r="AS185" s="38"/>
      <c r="AT185" s="38" t="str">
        <f>IFERROR(_xlfn.XLOOKUP(Table13[[#This Row],[Date]],'Raw Data'!$G:$G,'Raw Data'!$AJ:$AJ),"")</f>
        <v/>
      </c>
      <c r="AU185" s="38">
        <f>IFERROR(_xlfn.XLOOKUP(Table13[[#This Row],[Month Year]],'Modelling New'!$D:$D,'Modelling New'!$AN:$AN),"")</f>
        <v>10</v>
      </c>
      <c r="AV185" s="38">
        <f>SUMIF('Curtailment records'!$C:$C,Table13[[#This Row],[Date]],'Curtailment records'!$R:$R)/1000</f>
        <v>0</v>
      </c>
    </row>
    <row r="186" spans="1:48">
      <c r="A186" s="66">
        <f t="shared" si="15"/>
        <v>45929</v>
      </c>
      <c r="B186" s="38">
        <f>YEAR(Table13[[#This Row],[Date]])+IF(MONTH(Table13[[#This Row],[Date]])&gt;=4,1,0)</f>
        <v>2026</v>
      </c>
      <c r="C186" s="17">
        <f>YEAR(Table13[[#This Row],[Date]])</f>
        <v>2025</v>
      </c>
      <c r="D186" s="37">
        <f>Table13[[#This Row],[Date]]-DAY(Table13[[#This Row],[Date]])+1</f>
        <v>45901</v>
      </c>
      <c r="E186" s="17">
        <f t="shared" si="16"/>
        <v>30</v>
      </c>
      <c r="F186" s="135" t="str" cm="1">
        <f t="array" ref="F186">IFERROR(_xlfn.XLOOKUP(Table13[[#This Row],[Date]],Raw_Data[[#All],[Date]],Raw_Data[[#All],[Operating Hours]]),"")</f>
        <v/>
      </c>
      <c r="G186" s="24" t="str">
        <f>IFERROR(_xlfn.XLOOKUP($A186,'Raw Data'!$G:$G,'Raw Data'!S:S)/1000,"")</f>
        <v/>
      </c>
      <c r="H186" s="24"/>
      <c r="I186" s="24" t="str">
        <f>IFERROR(_xlfn.XLOOKUP($A186,'Raw Data'!$G:$G,'Raw Data'!AF:AF)/1000,"")</f>
        <v/>
      </c>
      <c r="J186" s="24"/>
      <c r="K186" s="137" t="str">
        <f>IFERROR(_xlfn.XLOOKUP($A186,'Raw Data'!$G:$G,'Raw Data'!W:W),"")</f>
        <v/>
      </c>
      <c r="L186" s="136" t="str">
        <f>IFERROR(_xlfn.XLOOKUP($A186,'Raw Data'!$G:$G,'Raw Data'!X:X),"")</f>
        <v/>
      </c>
      <c r="M186" s="136" t="str">
        <f>IFERROR(_xlfn.XLOOKUP($A186,'Raw Data'!$G:$G,'Raw Data'!Y:Y),"")</f>
        <v/>
      </c>
      <c r="N186" s="136" t="str">
        <f>IFERROR(_xlfn.XLOOKUP($A186,'Raw Data'!$G:$G,'Raw Data'!Z:Z),"")</f>
        <v/>
      </c>
      <c r="O186" s="176" t="str">
        <f>IFERROR(1-SUMIF('Plant BD'!$B:$B,$A186,'Plant BD'!$AM:$AM)/($AA186+SUMIF('Plant BD'!$B:$B,$A186,'Plant BD'!$AM:$AM)),"")</f>
        <v/>
      </c>
      <c r="P186" s="176"/>
      <c r="Q186" s="177"/>
      <c r="R186" s="179" t="str">
        <f>IFERROR(1-SUMIF('Grid BD'!$B:$B,$A186,'Grid BD'!$AE:$AE)/($AA186+SUMIF('Grid BD'!$B:$B,$A186,'Grid BD'!$AE:$AE)),"")</f>
        <v/>
      </c>
      <c r="S186" s="17"/>
      <c r="T186" s="177" t="str">
        <f>IFERROR(1-SUMIF(Tracker_BD!H:H,$A186,Tracker_BD!AI:AI)/$F186,"")</f>
        <v/>
      </c>
      <c r="U186" s="178" t="str">
        <f t="shared" si="12"/>
        <v/>
      </c>
      <c r="V186" s="17"/>
      <c r="W186" s="164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38" t="str">
        <f>IFERROR(_xlfn.XLOOKUP($A186,'Raw Data'!$G:$G,'Raw Data'!AD:AD),"")</f>
        <v/>
      </c>
      <c r="AA186" s="38" t="str">
        <f>IFERROR(_xlfn.XLOOKUP($A186,'Raw Data'!$G:$G,'Raw Data'!AE:AE)*(1+(_xlfn.XLOOKUP(Table13[[#This Row],[Month Year]],JMR!$A:$A,JMR!$J:$J))),"")</f>
        <v/>
      </c>
      <c r="AB186" s="17">
        <f>_xlfn.XLOOKUP($D186,'Modelling New'!D:D,'Modelling New'!N:N)</f>
        <v>10.507</v>
      </c>
      <c r="AC186" s="24">
        <f>IFERROR(_xlfn.XLOOKUP($D186,'Modelling New'!$D:$D,'Modelling New'!P:P),"")</f>
        <v>5.4346819400666666</v>
      </c>
      <c r="AD186" s="38">
        <f>IFERROR(_xlfn.XLOOKUP($D186,'Modelling New'!$D:$D,'Modelling New'!T:T)*1000,"")</f>
        <v>38712.103320676884</v>
      </c>
      <c r="AE186" s="164">
        <f t="shared" si="14"/>
        <v>0.67794412805514337</v>
      </c>
      <c r="AF186" s="164">
        <f>IFERROR(_xlfn.XLOOKUP($D186,'Modelling New'!$D:$D,'Modelling New'!W:W),"")</f>
        <v>0.15351711287981379</v>
      </c>
      <c r="AG186" s="164">
        <f>IFERROR(_xlfn.XLOOKUP($D186,'Modelling New'!$D:$D,'Modelling New'!AD:AD),"")</f>
        <v>0.995</v>
      </c>
      <c r="AH186" s="164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64"/>
      <c r="AO186" s="164"/>
      <c r="AP186" s="164"/>
      <c r="AQ186" s="164"/>
      <c r="AR186" s="38">
        <f>IFERROR(_xlfn.XLOOKUP($D186,'Modelling New'!$D:$D,'Modelling New'!$N:$N),"")</f>
        <v>10.507</v>
      </c>
      <c r="AS186" s="38"/>
      <c r="AT186" s="38" t="str">
        <f>IFERROR(_xlfn.XLOOKUP(Table13[[#This Row],[Date]],'Raw Data'!$G:$G,'Raw Data'!$AJ:$AJ),"")</f>
        <v/>
      </c>
      <c r="AU186" s="38">
        <f>IFERROR(_xlfn.XLOOKUP(Table13[[#This Row],[Month Year]],'Modelling New'!$D:$D,'Modelling New'!$AN:$AN),"")</f>
        <v>10</v>
      </c>
      <c r="AV186" s="38">
        <f>SUMIF('Curtailment records'!$C:$C,Table13[[#This Row],[Date]],'Curtailment records'!$R:$R)/1000</f>
        <v>0</v>
      </c>
    </row>
    <row r="187" spans="1:48">
      <c r="A187" s="66">
        <f t="shared" si="15"/>
        <v>45930</v>
      </c>
      <c r="B187" s="38">
        <f>YEAR(Table13[[#This Row],[Date]])+IF(MONTH(Table13[[#This Row],[Date]])&gt;=4,1,0)</f>
        <v>2026</v>
      </c>
      <c r="C187" s="17">
        <f>YEAR(Table13[[#This Row],[Date]])</f>
        <v>2025</v>
      </c>
      <c r="D187" s="37">
        <f>Table13[[#This Row],[Date]]-DAY(Table13[[#This Row],[Date]])+1</f>
        <v>45901</v>
      </c>
      <c r="E187" s="17">
        <f t="shared" si="16"/>
        <v>30</v>
      </c>
      <c r="F187" s="135" t="str" cm="1">
        <f t="array" ref="F187">IFERROR(_xlfn.XLOOKUP(Table13[[#This Row],[Date]],Raw_Data[[#All],[Date]],Raw_Data[[#All],[Operating Hours]]),"")</f>
        <v/>
      </c>
      <c r="G187" s="136" t="str">
        <f>IFERROR(_xlfn.XLOOKUP($A187,'Raw Data'!$G:$G,'Raw Data'!S:S)/1000,"")</f>
        <v/>
      </c>
      <c r="H187" s="136"/>
      <c r="I187" s="136" t="str">
        <f>IFERROR(_xlfn.XLOOKUP($A187,'Raw Data'!$G:$G,'Raw Data'!AF:AF)/1000,"")</f>
        <v/>
      </c>
      <c r="J187" s="136"/>
      <c r="K187" s="137" t="str">
        <f>IFERROR(_xlfn.XLOOKUP($A187,'Raw Data'!$G:$G,'Raw Data'!W:W),"")</f>
        <v/>
      </c>
      <c r="L187" s="136" t="str">
        <f>IFERROR(_xlfn.XLOOKUP($A187,'Raw Data'!$G:$G,'Raw Data'!X:X),"")</f>
        <v/>
      </c>
      <c r="M187" s="136" t="str">
        <f>IFERROR(_xlfn.XLOOKUP($A187,'Raw Data'!$G:$G,'Raw Data'!Y:Y),"")</f>
        <v/>
      </c>
      <c r="N187" s="136" t="str">
        <f>IFERROR(_xlfn.XLOOKUP($A187,'Raw Data'!$G:$G,'Raw Data'!Z:Z),"")</f>
        <v/>
      </c>
      <c r="O187" s="176" t="str">
        <f>IFERROR(1-SUMIF('Plant BD'!$B:$B,$A187,'Plant BD'!$AM:$AM)/($AA187+SUMIF('Plant BD'!$B:$B,$A187,'Plant BD'!$AM:$AM)),"")</f>
        <v/>
      </c>
      <c r="P187" s="176"/>
      <c r="Q187" s="177"/>
      <c r="R187" s="176" t="str">
        <f>IFERROR(1-SUMIF('Grid BD'!$B:$B,$A187,'Grid BD'!$AE:$AE)/($AA187+SUMIF('Grid BD'!$B:$B,$A187,'Grid BD'!$AE:$AE)),"")</f>
        <v/>
      </c>
      <c r="S187" s="17"/>
      <c r="T187" s="177" t="str">
        <f>IFERROR(1-SUMIF(Tracker_BD!H:H,$A187,Tracker_BD!AI:AI)/$F187,"")</f>
        <v/>
      </c>
      <c r="U187" s="178" t="str">
        <f t="shared" si="12"/>
        <v/>
      </c>
      <c r="V187" s="17"/>
      <c r="W187" s="164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38" t="str">
        <f>IFERROR(_xlfn.XLOOKUP($A187,'Raw Data'!$G:$G,'Raw Data'!AD:AD),"")</f>
        <v/>
      </c>
      <c r="AA187" s="38" t="str">
        <f>IFERROR(_xlfn.XLOOKUP($A187,'Raw Data'!$G:$G,'Raw Data'!AE:AE)*(1+(_xlfn.XLOOKUP(Table13[[#This Row],[Month Year]],JMR!$A:$A,JMR!$J:$J))),"")</f>
        <v/>
      </c>
      <c r="AB187" s="17">
        <f>_xlfn.XLOOKUP($D187,'Modelling New'!D:D,'Modelling New'!N:N)</f>
        <v>10.507</v>
      </c>
      <c r="AC187" s="24">
        <f>IFERROR(_xlfn.XLOOKUP($D187,'Modelling New'!$D:$D,'Modelling New'!P:P),"")</f>
        <v>5.4346819400666666</v>
      </c>
      <c r="AD187" s="38">
        <f>IFERROR(_xlfn.XLOOKUP($D187,'Modelling New'!$D:$D,'Modelling New'!T:T)*1000,"")</f>
        <v>38712.103320676884</v>
      </c>
      <c r="AE187" s="164">
        <f t="shared" si="14"/>
        <v>0.67794412805514337</v>
      </c>
      <c r="AF187" s="164">
        <f>IFERROR(_xlfn.XLOOKUP($D187,'Modelling New'!$D:$D,'Modelling New'!W:W),"")</f>
        <v>0.15351711287981379</v>
      </c>
      <c r="AG187" s="164">
        <f>IFERROR(_xlfn.XLOOKUP($D187,'Modelling New'!$D:$D,'Modelling New'!AD:AD),"")</f>
        <v>0.995</v>
      </c>
      <c r="AH187" s="164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64"/>
      <c r="AO187" s="164"/>
      <c r="AP187" s="164"/>
      <c r="AQ187" s="164"/>
      <c r="AR187" s="38">
        <f>IFERROR(_xlfn.XLOOKUP($D187,'Modelling New'!$D:$D,'Modelling New'!$N:$N),"")</f>
        <v>10.507</v>
      </c>
      <c r="AS187" s="38"/>
      <c r="AT187" s="38" t="str">
        <f>IFERROR(_xlfn.XLOOKUP(Table13[[#This Row],[Date]],'Raw Data'!$G:$G,'Raw Data'!$AJ:$AJ),"")</f>
        <v/>
      </c>
      <c r="AU187" s="38">
        <f>IFERROR(_xlfn.XLOOKUP(Table13[[#This Row],[Month Year]],'Modelling New'!$D:$D,'Modelling New'!$AN:$AN),"")</f>
        <v>10</v>
      </c>
      <c r="AV187" s="38">
        <f>SUMIF('Curtailment records'!$C:$C,Table13[[#This Row],[Date]],'Curtailment records'!$R:$R)/1000</f>
        <v>0</v>
      </c>
    </row>
    <row r="188" spans="1:48">
      <c r="A188" s="66">
        <f t="shared" si="15"/>
        <v>45931</v>
      </c>
      <c r="B188" s="38">
        <f>YEAR(Table13[[#This Row],[Date]])+IF(MONTH(Table13[[#This Row],[Date]])&gt;=4,1,0)</f>
        <v>2026</v>
      </c>
      <c r="C188" s="17">
        <f>YEAR(Table13[[#This Row],[Date]])</f>
        <v>2025</v>
      </c>
      <c r="D188" s="37">
        <f>Table13[[#This Row],[Date]]-DAY(Table13[[#This Row],[Date]])+1</f>
        <v>45931</v>
      </c>
      <c r="E188" s="17">
        <f t="shared" si="16"/>
        <v>31</v>
      </c>
      <c r="F188" s="135" t="str" cm="1">
        <f t="array" ref="F188">IFERROR(_xlfn.XLOOKUP(Table13[[#This Row],[Date]],Raw_Data[[#All],[Date]],Raw_Data[[#All],[Operating Hours]]),"")</f>
        <v/>
      </c>
      <c r="G188" s="24" t="str">
        <f>IFERROR(_xlfn.XLOOKUP($A188,'Raw Data'!$G:$G,'Raw Data'!S:S)/1000,"")</f>
        <v/>
      </c>
      <c r="H188" s="24"/>
      <c r="I188" s="24" t="str">
        <f>IFERROR(_xlfn.XLOOKUP($A188,'Raw Data'!$G:$G,'Raw Data'!AF:AF)/1000,"")</f>
        <v/>
      </c>
      <c r="J188" s="24"/>
      <c r="K188" s="137" t="str">
        <f>IFERROR(_xlfn.XLOOKUP($A188,'Raw Data'!$G:$G,'Raw Data'!W:W),"")</f>
        <v/>
      </c>
      <c r="L188" s="136" t="str">
        <f>IFERROR(_xlfn.XLOOKUP($A188,'Raw Data'!$G:$G,'Raw Data'!X:X),"")</f>
        <v/>
      </c>
      <c r="M188" s="136" t="str">
        <f>IFERROR(_xlfn.XLOOKUP($A188,'Raw Data'!$G:$G,'Raw Data'!Y:Y),"")</f>
        <v/>
      </c>
      <c r="N188" s="136" t="str">
        <f>IFERROR(_xlfn.XLOOKUP($A188,'Raw Data'!$G:$G,'Raw Data'!Z:Z),"")</f>
        <v/>
      </c>
      <c r="O188" s="176" t="str">
        <f>IFERROR(1-SUMIF('Plant BD'!$B:$B,$A188,'Plant BD'!$AM:$AM)/($AA188+SUMIF('Plant BD'!$B:$B,$A188,'Plant BD'!$AM:$AM)),"")</f>
        <v/>
      </c>
      <c r="P188" s="176"/>
      <c r="Q188" s="177"/>
      <c r="R188" s="179" t="str">
        <f>IFERROR(1-SUMIF('Grid BD'!$B:$B,$A188,'Grid BD'!$AE:$AE)/($AA188+SUMIF('Grid BD'!$B:$B,$A188,'Grid BD'!$AE:$AE)),"")</f>
        <v/>
      </c>
      <c r="S188" s="17"/>
      <c r="T188" s="177" t="str">
        <f>IFERROR(1-SUMIF(Tracker_BD!H:H,$A188,Tracker_BD!AI:AI)/$F188,"")</f>
        <v/>
      </c>
      <c r="U188" s="178" t="str">
        <f t="shared" si="12"/>
        <v/>
      </c>
      <c r="V188" s="17"/>
      <c r="W188" s="164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38" t="str">
        <f>IFERROR(_xlfn.XLOOKUP($A188,'Raw Data'!$G:$G,'Raw Data'!AD:AD),"")</f>
        <v/>
      </c>
      <c r="AA188" s="38" t="str">
        <f>IFERROR(_xlfn.XLOOKUP($A188,'Raw Data'!$G:$G,'Raw Data'!AE:AE)*(1+(_xlfn.XLOOKUP(Table13[[#This Row],[Month Year]],JMR!$A:$A,JMR!$J:$J))),"")</f>
        <v/>
      </c>
      <c r="AB188" s="17">
        <f>_xlfn.XLOOKUP($D188,'Modelling New'!D:D,'Modelling New'!N:N)</f>
        <v>10.507</v>
      </c>
      <c r="AC188" s="24">
        <f>IFERROR(_xlfn.XLOOKUP($D188,'Modelling New'!$D:$D,'Modelling New'!P:P),"")</f>
        <v>5.4651178025806448</v>
      </c>
      <c r="AD188" s="38">
        <f>IFERROR(_xlfn.XLOOKUP($D188,'Modelling New'!$D:$D,'Modelling New'!T:T)*1000,"")</f>
        <v>40947.895422803231</v>
      </c>
      <c r="AE188" s="164">
        <f t="shared" si="14"/>
        <v>0.71310474367994436</v>
      </c>
      <c r="AF188" s="164">
        <f>IFERROR(_xlfn.XLOOKUP($D188,'Modelling New'!$D:$D,'Modelling New'!W:W),"")</f>
        <v>0.16238339290791545</v>
      </c>
      <c r="AG188" s="164">
        <f>IFERROR(_xlfn.XLOOKUP($D188,'Modelling New'!$D:$D,'Modelling New'!AD:AD),"")</f>
        <v>0.995</v>
      </c>
      <c r="AH188" s="164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64"/>
      <c r="AO188" s="164"/>
      <c r="AP188" s="164"/>
      <c r="AQ188" s="164"/>
      <c r="AR188" s="38">
        <f>IFERROR(_xlfn.XLOOKUP($D188,'Modelling New'!$D:$D,'Modelling New'!$N:$N),"")</f>
        <v>10.507</v>
      </c>
      <c r="AS188" s="38"/>
      <c r="AT188" s="38" t="str">
        <f>IFERROR(_xlfn.XLOOKUP(Table13[[#This Row],[Date]],'Raw Data'!$G:$G,'Raw Data'!$AJ:$AJ),"")</f>
        <v/>
      </c>
      <c r="AU188" s="38">
        <f>IFERROR(_xlfn.XLOOKUP(Table13[[#This Row],[Month Year]],'Modelling New'!$D:$D,'Modelling New'!$AN:$AN),"")</f>
        <v>10</v>
      </c>
      <c r="AV188" s="38">
        <f>SUMIF('Curtailment records'!$C:$C,Table13[[#This Row],[Date]],'Curtailment records'!$R:$R)/1000</f>
        <v>0</v>
      </c>
    </row>
    <row r="189" spans="1:48">
      <c r="A189" s="66">
        <f t="shared" si="15"/>
        <v>45932</v>
      </c>
      <c r="B189" s="38">
        <f>YEAR(Table13[[#This Row],[Date]])+IF(MONTH(Table13[[#This Row],[Date]])&gt;=4,1,0)</f>
        <v>2026</v>
      </c>
      <c r="C189" s="17">
        <f>YEAR(Table13[[#This Row],[Date]])</f>
        <v>2025</v>
      </c>
      <c r="D189" s="37">
        <f>Table13[[#This Row],[Date]]-DAY(Table13[[#This Row],[Date]])+1</f>
        <v>45931</v>
      </c>
      <c r="E189" s="17">
        <f t="shared" si="16"/>
        <v>31</v>
      </c>
      <c r="F189" s="135" t="str" cm="1">
        <f t="array" ref="F189">IFERROR(_xlfn.XLOOKUP(Table13[[#This Row],[Date]],Raw_Data[[#All],[Date]],Raw_Data[[#All],[Operating Hours]]),"")</f>
        <v/>
      </c>
      <c r="G189" s="136" t="str">
        <f>IFERROR(_xlfn.XLOOKUP($A189,'Raw Data'!$G:$G,'Raw Data'!S:S)/1000,"")</f>
        <v/>
      </c>
      <c r="H189" s="136"/>
      <c r="I189" s="136" t="str">
        <f>IFERROR(_xlfn.XLOOKUP($A189,'Raw Data'!$G:$G,'Raw Data'!AF:AF)/1000,"")</f>
        <v/>
      </c>
      <c r="J189" s="136"/>
      <c r="K189" s="137" t="str">
        <f>IFERROR(_xlfn.XLOOKUP($A189,'Raw Data'!$G:$G,'Raw Data'!W:W),"")</f>
        <v/>
      </c>
      <c r="L189" s="136" t="str">
        <f>IFERROR(_xlfn.XLOOKUP($A189,'Raw Data'!$G:$G,'Raw Data'!X:X),"")</f>
        <v/>
      </c>
      <c r="M189" s="136" t="str">
        <f>IFERROR(_xlfn.XLOOKUP($A189,'Raw Data'!$G:$G,'Raw Data'!Y:Y),"")</f>
        <v/>
      </c>
      <c r="N189" s="136" t="str">
        <f>IFERROR(_xlfn.XLOOKUP($A189,'Raw Data'!$G:$G,'Raw Data'!Z:Z),"")</f>
        <v/>
      </c>
      <c r="O189" s="176" t="str">
        <f>IFERROR(1-SUMIF('Plant BD'!$B:$B,$A189,'Plant BD'!$AM:$AM)/($AA189+SUMIF('Plant BD'!$B:$B,$A189,'Plant BD'!$AM:$AM)),"")</f>
        <v/>
      </c>
      <c r="P189" s="176"/>
      <c r="Q189" s="177"/>
      <c r="R189" s="176" t="str">
        <f>IFERROR(1-SUMIF('Grid BD'!$B:$B,$A189,'Grid BD'!$AE:$AE)/($AA189+SUMIF('Grid BD'!$B:$B,$A189,'Grid BD'!$AE:$AE)),"")</f>
        <v/>
      </c>
      <c r="S189" s="17"/>
      <c r="T189" s="177" t="str">
        <f>IFERROR(1-SUMIF(Tracker_BD!H:H,$A189,Tracker_BD!AI:AI)/$F189,"")</f>
        <v/>
      </c>
      <c r="U189" s="178" t="str">
        <f t="shared" ref="U189:U252" si="17">IFERROR(AA189/(I189*1000)/AB189,"")</f>
        <v/>
      </c>
      <c r="V189" s="17"/>
      <c r="W189" s="164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38" t="str">
        <f>IFERROR(_xlfn.XLOOKUP($A189,'Raw Data'!$G:$G,'Raw Data'!AD:AD),"")</f>
        <v/>
      </c>
      <c r="AA189" s="38" t="str">
        <f>IFERROR(_xlfn.XLOOKUP($A189,'Raw Data'!$G:$G,'Raw Data'!AE:AE)*(1+(_xlfn.XLOOKUP(Table13[[#This Row],[Month Year]],JMR!$A:$A,JMR!$J:$J))),"")</f>
        <v/>
      </c>
      <c r="AB189" s="17">
        <f>_xlfn.XLOOKUP($D189,'Modelling New'!D:D,'Modelling New'!N:N)</f>
        <v>10.507</v>
      </c>
      <c r="AC189" s="24">
        <f>IFERROR(_xlfn.XLOOKUP($D189,'Modelling New'!$D:$D,'Modelling New'!P:P),"")</f>
        <v>5.4651178025806448</v>
      </c>
      <c r="AD189" s="38">
        <f>IFERROR(_xlfn.XLOOKUP($D189,'Modelling New'!$D:$D,'Modelling New'!T:T)*1000,"")</f>
        <v>40947.895422803231</v>
      </c>
      <c r="AE189" s="164">
        <f t="shared" ref="AE189:AE252" si="19">IFERROR(AD189/AC189/AB189/1000,"")</f>
        <v>0.71310474367994436</v>
      </c>
      <c r="AF189" s="164">
        <f>IFERROR(_xlfn.XLOOKUP($D189,'Modelling New'!$D:$D,'Modelling New'!W:W),"")</f>
        <v>0.16238339290791545</v>
      </c>
      <c r="AG189" s="164">
        <f>IFERROR(_xlfn.XLOOKUP($D189,'Modelling New'!$D:$D,'Modelling New'!AD:AD),"")</f>
        <v>0.995</v>
      </c>
      <c r="AH189" s="164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64"/>
      <c r="AO189" s="164"/>
      <c r="AP189" s="164"/>
      <c r="AQ189" s="164"/>
      <c r="AR189" s="38">
        <f>IFERROR(_xlfn.XLOOKUP($D189,'Modelling New'!$D:$D,'Modelling New'!$N:$N),"")</f>
        <v>10.507</v>
      </c>
      <c r="AS189" s="38"/>
      <c r="AT189" s="38" t="str">
        <f>IFERROR(_xlfn.XLOOKUP(Table13[[#This Row],[Date]],'Raw Data'!$G:$G,'Raw Data'!$AJ:$AJ),"")</f>
        <v/>
      </c>
      <c r="AU189" s="38">
        <f>IFERROR(_xlfn.XLOOKUP(Table13[[#This Row],[Month Year]],'Modelling New'!$D:$D,'Modelling New'!$AN:$AN),"")</f>
        <v>10</v>
      </c>
      <c r="AV189" s="38">
        <f>SUMIF('Curtailment records'!$C:$C,Table13[[#This Row],[Date]],'Curtailment records'!$R:$R)/1000</f>
        <v>0</v>
      </c>
    </row>
    <row r="190" spans="1:48">
      <c r="A190" s="66">
        <f t="shared" si="15"/>
        <v>45933</v>
      </c>
      <c r="B190" s="38">
        <f>YEAR(Table13[[#This Row],[Date]])+IF(MONTH(Table13[[#This Row],[Date]])&gt;=4,1,0)</f>
        <v>2026</v>
      </c>
      <c r="C190" s="17">
        <f>YEAR(Table13[[#This Row],[Date]])</f>
        <v>2025</v>
      </c>
      <c r="D190" s="37">
        <f>Table13[[#This Row],[Date]]-DAY(Table13[[#This Row],[Date]])+1</f>
        <v>45931</v>
      </c>
      <c r="E190" s="17">
        <f t="shared" si="16"/>
        <v>31</v>
      </c>
      <c r="F190" s="135" t="str" cm="1">
        <f t="array" ref="F190">IFERROR(_xlfn.XLOOKUP(Table13[[#This Row],[Date]],Raw_Data[[#All],[Date]],Raw_Data[[#All],[Operating Hours]]),"")</f>
        <v/>
      </c>
      <c r="G190" s="24" t="str">
        <f>IFERROR(_xlfn.XLOOKUP($A190,'Raw Data'!$G:$G,'Raw Data'!S:S)/1000,"")</f>
        <v/>
      </c>
      <c r="H190" s="24"/>
      <c r="I190" s="24" t="str">
        <f>IFERROR(_xlfn.XLOOKUP($A190,'Raw Data'!$G:$G,'Raw Data'!AF:AF)/1000,"")</f>
        <v/>
      </c>
      <c r="J190" s="24"/>
      <c r="K190" s="137" t="str">
        <f>IFERROR(_xlfn.XLOOKUP($A190,'Raw Data'!$G:$G,'Raw Data'!W:W),"")</f>
        <v/>
      </c>
      <c r="L190" s="136" t="str">
        <f>IFERROR(_xlfn.XLOOKUP($A190,'Raw Data'!$G:$G,'Raw Data'!X:X),"")</f>
        <v/>
      </c>
      <c r="M190" s="136" t="str">
        <f>IFERROR(_xlfn.XLOOKUP($A190,'Raw Data'!$G:$G,'Raw Data'!Y:Y),"")</f>
        <v/>
      </c>
      <c r="N190" s="136" t="str">
        <f>IFERROR(_xlfn.XLOOKUP($A190,'Raw Data'!$G:$G,'Raw Data'!Z:Z),"")</f>
        <v/>
      </c>
      <c r="O190" s="176" t="str">
        <f>IFERROR(1-SUMIF('Plant BD'!$B:$B,$A190,'Plant BD'!$AM:$AM)/($AA190+SUMIF('Plant BD'!$B:$B,$A190,'Plant BD'!$AM:$AM)),"")</f>
        <v/>
      </c>
      <c r="P190" s="176"/>
      <c r="Q190" s="177"/>
      <c r="R190" s="179" t="str">
        <f>IFERROR(1-SUMIF('Grid BD'!$B:$B,$A190,'Grid BD'!$AE:$AE)/($AA190+SUMIF('Grid BD'!$B:$B,$A190,'Grid BD'!$AE:$AE)),"")</f>
        <v/>
      </c>
      <c r="S190" s="17"/>
      <c r="T190" s="177" t="str">
        <f>IFERROR(1-SUMIF(Tracker_BD!H:H,$A190,Tracker_BD!AI:AI)/$F190,"")</f>
        <v/>
      </c>
      <c r="U190" s="178" t="str">
        <f t="shared" si="17"/>
        <v/>
      </c>
      <c r="V190" s="17"/>
      <c r="W190" s="164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38" t="str">
        <f>IFERROR(_xlfn.XLOOKUP($A190,'Raw Data'!$G:$G,'Raw Data'!AD:AD),"")</f>
        <v/>
      </c>
      <c r="AA190" s="38" t="str">
        <f>IFERROR(_xlfn.XLOOKUP($A190,'Raw Data'!$G:$G,'Raw Data'!AE:AE)*(1+(_xlfn.XLOOKUP(Table13[[#This Row],[Month Year]],JMR!$A:$A,JMR!$J:$J))),"")</f>
        <v/>
      </c>
      <c r="AB190" s="17">
        <f>_xlfn.XLOOKUP($D190,'Modelling New'!D:D,'Modelling New'!N:N)</f>
        <v>10.507</v>
      </c>
      <c r="AC190" s="24">
        <f>IFERROR(_xlfn.XLOOKUP($D190,'Modelling New'!$D:$D,'Modelling New'!P:P),"")</f>
        <v>5.4651178025806448</v>
      </c>
      <c r="AD190" s="38">
        <f>IFERROR(_xlfn.XLOOKUP($D190,'Modelling New'!$D:$D,'Modelling New'!T:T)*1000,"")</f>
        <v>40947.895422803231</v>
      </c>
      <c r="AE190" s="164">
        <f t="shared" si="19"/>
        <v>0.71310474367994436</v>
      </c>
      <c r="AF190" s="164">
        <f>IFERROR(_xlfn.XLOOKUP($D190,'Modelling New'!$D:$D,'Modelling New'!W:W),"")</f>
        <v>0.16238339290791545</v>
      </c>
      <c r="AG190" s="164">
        <f>IFERROR(_xlfn.XLOOKUP($D190,'Modelling New'!$D:$D,'Modelling New'!AD:AD),"")</f>
        <v>0.995</v>
      </c>
      <c r="AH190" s="164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64"/>
      <c r="AO190" s="164"/>
      <c r="AP190" s="164"/>
      <c r="AQ190" s="164"/>
      <c r="AR190" s="38">
        <f>IFERROR(_xlfn.XLOOKUP($D190,'Modelling New'!$D:$D,'Modelling New'!$N:$N),"")</f>
        <v>10.507</v>
      </c>
      <c r="AS190" s="38"/>
      <c r="AT190" s="38" t="str">
        <f>IFERROR(_xlfn.XLOOKUP(Table13[[#This Row],[Date]],'Raw Data'!$G:$G,'Raw Data'!$AJ:$AJ),"")</f>
        <v/>
      </c>
      <c r="AU190" s="38">
        <f>IFERROR(_xlfn.XLOOKUP(Table13[[#This Row],[Month Year]],'Modelling New'!$D:$D,'Modelling New'!$AN:$AN),"")</f>
        <v>10</v>
      </c>
      <c r="AV190" s="38">
        <f>SUMIF('Curtailment records'!$C:$C,Table13[[#This Row],[Date]],'Curtailment records'!$R:$R)/1000</f>
        <v>0</v>
      </c>
    </row>
    <row r="191" spans="1:48">
      <c r="A191" s="66">
        <f t="shared" si="15"/>
        <v>45934</v>
      </c>
      <c r="B191" s="38">
        <f>YEAR(Table13[[#This Row],[Date]])+IF(MONTH(Table13[[#This Row],[Date]])&gt;=4,1,0)</f>
        <v>2026</v>
      </c>
      <c r="C191" s="17">
        <f>YEAR(Table13[[#This Row],[Date]])</f>
        <v>2025</v>
      </c>
      <c r="D191" s="37">
        <f>Table13[[#This Row],[Date]]-DAY(Table13[[#This Row],[Date]])+1</f>
        <v>45931</v>
      </c>
      <c r="E191" s="17">
        <f t="shared" si="16"/>
        <v>31</v>
      </c>
      <c r="F191" s="135" t="str" cm="1">
        <f t="array" ref="F191">IFERROR(_xlfn.XLOOKUP(Table13[[#This Row],[Date]],Raw_Data[[#All],[Date]],Raw_Data[[#All],[Operating Hours]]),"")</f>
        <v/>
      </c>
      <c r="G191" s="136" t="str">
        <f>IFERROR(_xlfn.XLOOKUP($A191,'Raw Data'!$G:$G,'Raw Data'!S:S)/1000,"")</f>
        <v/>
      </c>
      <c r="H191" s="136"/>
      <c r="I191" s="136" t="str">
        <f>IFERROR(_xlfn.XLOOKUP($A191,'Raw Data'!$G:$G,'Raw Data'!AF:AF)/1000,"")</f>
        <v/>
      </c>
      <c r="J191" s="136"/>
      <c r="K191" s="137" t="str">
        <f>IFERROR(_xlfn.XLOOKUP($A191,'Raw Data'!$G:$G,'Raw Data'!W:W),"")</f>
        <v/>
      </c>
      <c r="L191" s="136" t="str">
        <f>IFERROR(_xlfn.XLOOKUP($A191,'Raw Data'!$G:$G,'Raw Data'!X:X),"")</f>
        <v/>
      </c>
      <c r="M191" s="136" t="str">
        <f>IFERROR(_xlfn.XLOOKUP($A191,'Raw Data'!$G:$G,'Raw Data'!Y:Y),"")</f>
        <v/>
      </c>
      <c r="N191" s="136" t="str">
        <f>IFERROR(_xlfn.XLOOKUP($A191,'Raw Data'!$G:$G,'Raw Data'!Z:Z),"")</f>
        <v/>
      </c>
      <c r="O191" s="176" t="str">
        <f>IFERROR(1-SUMIF('Plant BD'!$B:$B,$A191,'Plant BD'!$AM:$AM)/($AA191+SUMIF('Plant BD'!$B:$B,$A191,'Plant BD'!$AM:$AM)),"")</f>
        <v/>
      </c>
      <c r="P191" s="176"/>
      <c r="Q191" s="177"/>
      <c r="R191" s="176" t="str">
        <f>IFERROR(1-SUMIF('Grid BD'!$B:$B,$A191,'Grid BD'!$AE:$AE)/($AA191+SUMIF('Grid BD'!$B:$B,$A191,'Grid BD'!$AE:$AE)),"")</f>
        <v/>
      </c>
      <c r="S191" s="17"/>
      <c r="T191" s="177" t="str">
        <f>IFERROR(1-SUMIF(Tracker_BD!H:H,$A191,Tracker_BD!AI:AI)/$F191,"")</f>
        <v/>
      </c>
      <c r="U191" s="178" t="str">
        <f t="shared" si="17"/>
        <v/>
      </c>
      <c r="V191" s="17"/>
      <c r="W191" s="164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38" t="str">
        <f>IFERROR(_xlfn.XLOOKUP($A191,'Raw Data'!$G:$G,'Raw Data'!AD:AD),"")</f>
        <v/>
      </c>
      <c r="AA191" s="38" t="str">
        <f>IFERROR(_xlfn.XLOOKUP($A191,'Raw Data'!$G:$G,'Raw Data'!AE:AE)*(1+(_xlfn.XLOOKUP(Table13[[#This Row],[Month Year]],JMR!$A:$A,JMR!$J:$J))),"")</f>
        <v/>
      </c>
      <c r="AB191" s="17">
        <f>_xlfn.XLOOKUP($D191,'Modelling New'!D:D,'Modelling New'!N:N)</f>
        <v>10.507</v>
      </c>
      <c r="AC191" s="24">
        <f>IFERROR(_xlfn.XLOOKUP($D191,'Modelling New'!$D:$D,'Modelling New'!P:P),"")</f>
        <v>5.4651178025806448</v>
      </c>
      <c r="AD191" s="38">
        <f>IFERROR(_xlfn.XLOOKUP($D191,'Modelling New'!$D:$D,'Modelling New'!T:T)*1000,"")</f>
        <v>40947.895422803231</v>
      </c>
      <c r="AE191" s="164">
        <f t="shared" si="19"/>
        <v>0.71310474367994436</v>
      </c>
      <c r="AF191" s="164">
        <f>IFERROR(_xlfn.XLOOKUP($D191,'Modelling New'!$D:$D,'Modelling New'!W:W),"")</f>
        <v>0.16238339290791545</v>
      </c>
      <c r="AG191" s="164">
        <f>IFERROR(_xlfn.XLOOKUP($D191,'Modelling New'!$D:$D,'Modelling New'!AD:AD),"")</f>
        <v>0.995</v>
      </c>
      <c r="AH191" s="164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64"/>
      <c r="AO191" s="164"/>
      <c r="AP191" s="164"/>
      <c r="AQ191" s="164"/>
      <c r="AR191" s="38">
        <f>IFERROR(_xlfn.XLOOKUP($D191,'Modelling New'!$D:$D,'Modelling New'!$N:$N),"")</f>
        <v>10.507</v>
      </c>
      <c r="AS191" s="38"/>
      <c r="AT191" s="38" t="str">
        <f>IFERROR(_xlfn.XLOOKUP(Table13[[#This Row],[Date]],'Raw Data'!$G:$G,'Raw Data'!$AJ:$AJ),"")</f>
        <v/>
      </c>
      <c r="AU191" s="38">
        <f>IFERROR(_xlfn.XLOOKUP(Table13[[#This Row],[Month Year]],'Modelling New'!$D:$D,'Modelling New'!$AN:$AN),"")</f>
        <v>10</v>
      </c>
      <c r="AV191" s="38">
        <f>SUMIF('Curtailment records'!$C:$C,Table13[[#This Row],[Date]],'Curtailment records'!$R:$R)/1000</f>
        <v>0</v>
      </c>
    </row>
    <row r="192" spans="1:48">
      <c r="A192" s="66">
        <f t="shared" si="15"/>
        <v>45935</v>
      </c>
      <c r="B192" s="38">
        <f>YEAR(Table13[[#This Row],[Date]])+IF(MONTH(Table13[[#This Row],[Date]])&gt;=4,1,0)</f>
        <v>2026</v>
      </c>
      <c r="C192" s="17">
        <f>YEAR(Table13[[#This Row],[Date]])</f>
        <v>2025</v>
      </c>
      <c r="D192" s="37">
        <f>Table13[[#This Row],[Date]]-DAY(Table13[[#This Row],[Date]])+1</f>
        <v>45931</v>
      </c>
      <c r="E192" s="17">
        <f t="shared" si="16"/>
        <v>31</v>
      </c>
      <c r="F192" s="135" t="str" cm="1">
        <f t="array" ref="F192">IFERROR(_xlfn.XLOOKUP(Table13[[#This Row],[Date]],Raw_Data[[#All],[Date]],Raw_Data[[#All],[Operating Hours]]),"")</f>
        <v/>
      </c>
      <c r="G192" s="24" t="str">
        <f>IFERROR(_xlfn.XLOOKUP($A192,'Raw Data'!$G:$G,'Raw Data'!S:S)/1000,"")</f>
        <v/>
      </c>
      <c r="H192" s="24"/>
      <c r="I192" s="24" t="str">
        <f>IFERROR(_xlfn.XLOOKUP($A192,'Raw Data'!$G:$G,'Raw Data'!AF:AF)/1000,"")</f>
        <v/>
      </c>
      <c r="J192" s="24"/>
      <c r="K192" s="137" t="str">
        <f>IFERROR(_xlfn.XLOOKUP($A192,'Raw Data'!$G:$G,'Raw Data'!W:W),"")</f>
        <v/>
      </c>
      <c r="L192" s="136" t="str">
        <f>IFERROR(_xlfn.XLOOKUP($A192,'Raw Data'!$G:$G,'Raw Data'!X:X),"")</f>
        <v/>
      </c>
      <c r="M192" s="136" t="str">
        <f>IFERROR(_xlfn.XLOOKUP($A192,'Raw Data'!$G:$G,'Raw Data'!Y:Y),"")</f>
        <v/>
      </c>
      <c r="N192" s="136" t="str">
        <f>IFERROR(_xlfn.XLOOKUP($A192,'Raw Data'!$G:$G,'Raw Data'!Z:Z),"")</f>
        <v/>
      </c>
      <c r="O192" s="176" t="str">
        <f>IFERROR(1-SUMIF('Plant BD'!$B:$B,$A192,'Plant BD'!$AM:$AM)/($AA192+SUMIF('Plant BD'!$B:$B,$A192,'Plant BD'!$AM:$AM)),"")</f>
        <v/>
      </c>
      <c r="P192" s="176"/>
      <c r="Q192" s="177"/>
      <c r="R192" s="179" t="str">
        <f>IFERROR(1-SUMIF('Grid BD'!$B:$B,$A192,'Grid BD'!$AE:$AE)/($AA192+SUMIF('Grid BD'!$B:$B,$A192,'Grid BD'!$AE:$AE)),"")</f>
        <v/>
      </c>
      <c r="S192" s="17"/>
      <c r="T192" s="177" t="str">
        <f>IFERROR(1-SUMIF(Tracker_BD!H:H,$A192,Tracker_BD!AI:AI)/$F192,"")</f>
        <v/>
      </c>
      <c r="U192" s="178" t="str">
        <f t="shared" si="17"/>
        <v/>
      </c>
      <c r="V192" s="17"/>
      <c r="W192" s="164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38" t="str">
        <f>IFERROR(_xlfn.XLOOKUP($A192,'Raw Data'!$G:$G,'Raw Data'!AD:AD),"")</f>
        <v/>
      </c>
      <c r="AA192" s="38" t="str">
        <f>IFERROR(_xlfn.XLOOKUP($A192,'Raw Data'!$G:$G,'Raw Data'!AE:AE)*(1+(_xlfn.XLOOKUP(Table13[[#This Row],[Month Year]],JMR!$A:$A,JMR!$J:$J))),"")</f>
        <v/>
      </c>
      <c r="AB192" s="17">
        <f>_xlfn.XLOOKUP($D192,'Modelling New'!D:D,'Modelling New'!N:N)</f>
        <v>10.507</v>
      </c>
      <c r="AC192" s="24">
        <f>IFERROR(_xlfn.XLOOKUP($D192,'Modelling New'!$D:$D,'Modelling New'!P:P),"")</f>
        <v>5.4651178025806448</v>
      </c>
      <c r="AD192" s="38">
        <f>IFERROR(_xlfn.XLOOKUP($D192,'Modelling New'!$D:$D,'Modelling New'!T:T)*1000,"")</f>
        <v>40947.895422803231</v>
      </c>
      <c r="AE192" s="164">
        <f t="shared" si="19"/>
        <v>0.71310474367994436</v>
      </c>
      <c r="AF192" s="164">
        <f>IFERROR(_xlfn.XLOOKUP($D192,'Modelling New'!$D:$D,'Modelling New'!W:W),"")</f>
        <v>0.16238339290791545</v>
      </c>
      <c r="AG192" s="164">
        <f>IFERROR(_xlfn.XLOOKUP($D192,'Modelling New'!$D:$D,'Modelling New'!AD:AD),"")</f>
        <v>0.995</v>
      </c>
      <c r="AH192" s="164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64"/>
      <c r="AO192" s="164"/>
      <c r="AP192" s="164"/>
      <c r="AQ192" s="164"/>
      <c r="AR192" s="38">
        <f>IFERROR(_xlfn.XLOOKUP($D192,'Modelling New'!$D:$D,'Modelling New'!$N:$N),"")</f>
        <v>10.507</v>
      </c>
      <c r="AS192" s="38"/>
      <c r="AT192" s="38" t="str">
        <f>IFERROR(_xlfn.XLOOKUP(Table13[[#This Row],[Date]],'Raw Data'!$G:$G,'Raw Data'!$AJ:$AJ),"")</f>
        <v/>
      </c>
      <c r="AU192" s="38">
        <f>IFERROR(_xlfn.XLOOKUP(Table13[[#This Row],[Month Year]],'Modelling New'!$D:$D,'Modelling New'!$AN:$AN),"")</f>
        <v>10</v>
      </c>
      <c r="AV192" s="38">
        <f>SUMIF('Curtailment records'!$C:$C,Table13[[#This Row],[Date]],'Curtailment records'!$R:$R)/1000</f>
        <v>0</v>
      </c>
    </row>
    <row r="193" spans="1:48">
      <c r="A193" s="66">
        <f t="shared" si="15"/>
        <v>45936</v>
      </c>
      <c r="B193" s="38">
        <f>YEAR(Table13[[#This Row],[Date]])+IF(MONTH(Table13[[#This Row],[Date]])&gt;=4,1,0)</f>
        <v>2026</v>
      </c>
      <c r="C193" s="17">
        <f>YEAR(Table13[[#This Row],[Date]])</f>
        <v>2025</v>
      </c>
      <c r="D193" s="37">
        <f>Table13[[#This Row],[Date]]-DAY(Table13[[#This Row],[Date]])+1</f>
        <v>45931</v>
      </c>
      <c r="E193" s="17">
        <f t="shared" si="16"/>
        <v>31</v>
      </c>
      <c r="F193" s="135" t="str" cm="1">
        <f t="array" ref="F193">IFERROR(_xlfn.XLOOKUP(Table13[[#This Row],[Date]],Raw_Data[[#All],[Date]],Raw_Data[[#All],[Operating Hours]]),"")</f>
        <v/>
      </c>
      <c r="G193" s="136" t="str">
        <f>IFERROR(_xlfn.XLOOKUP($A193,'Raw Data'!$G:$G,'Raw Data'!S:S)/1000,"")</f>
        <v/>
      </c>
      <c r="H193" s="136"/>
      <c r="I193" s="136" t="str">
        <f>IFERROR(_xlfn.XLOOKUP($A193,'Raw Data'!$G:$G,'Raw Data'!AF:AF)/1000,"")</f>
        <v/>
      </c>
      <c r="J193" s="136"/>
      <c r="K193" s="137" t="str">
        <f>IFERROR(_xlfn.XLOOKUP($A193,'Raw Data'!$G:$G,'Raw Data'!W:W),"")</f>
        <v/>
      </c>
      <c r="L193" s="136" t="str">
        <f>IFERROR(_xlfn.XLOOKUP($A193,'Raw Data'!$G:$G,'Raw Data'!X:X),"")</f>
        <v/>
      </c>
      <c r="M193" s="136" t="str">
        <f>IFERROR(_xlfn.XLOOKUP($A193,'Raw Data'!$G:$G,'Raw Data'!Y:Y),"")</f>
        <v/>
      </c>
      <c r="N193" s="136" t="str">
        <f>IFERROR(_xlfn.XLOOKUP($A193,'Raw Data'!$G:$G,'Raw Data'!Z:Z),"")</f>
        <v/>
      </c>
      <c r="O193" s="176" t="str">
        <f>IFERROR(1-SUMIF('Plant BD'!$B:$B,$A193,'Plant BD'!$AM:$AM)/($AA193+SUMIF('Plant BD'!$B:$B,$A193,'Plant BD'!$AM:$AM)),"")</f>
        <v/>
      </c>
      <c r="P193" s="176"/>
      <c r="Q193" s="177"/>
      <c r="R193" s="176" t="str">
        <f>IFERROR(1-SUMIF('Grid BD'!$B:$B,$A193,'Grid BD'!$AE:$AE)/($AA193+SUMIF('Grid BD'!$B:$B,$A193,'Grid BD'!$AE:$AE)),"")</f>
        <v/>
      </c>
      <c r="S193" s="17"/>
      <c r="T193" s="177" t="str">
        <f>IFERROR(1-SUMIF(Tracker_BD!H:H,$A193,Tracker_BD!AI:AI)/$F193,"")</f>
        <v/>
      </c>
      <c r="U193" s="178" t="str">
        <f t="shared" si="17"/>
        <v/>
      </c>
      <c r="V193" s="17"/>
      <c r="W193" s="164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38" t="str">
        <f>IFERROR(_xlfn.XLOOKUP($A193,'Raw Data'!$G:$G,'Raw Data'!AD:AD),"")</f>
        <v/>
      </c>
      <c r="AA193" s="38" t="str">
        <f>IFERROR(_xlfn.XLOOKUP($A193,'Raw Data'!$G:$G,'Raw Data'!AE:AE)*(1+(_xlfn.XLOOKUP(Table13[[#This Row],[Month Year]],JMR!$A:$A,JMR!$J:$J))),"")</f>
        <v/>
      </c>
      <c r="AB193" s="17">
        <f>_xlfn.XLOOKUP($D193,'Modelling New'!D:D,'Modelling New'!N:N)</f>
        <v>10.507</v>
      </c>
      <c r="AC193" s="24">
        <f>IFERROR(_xlfn.XLOOKUP($D193,'Modelling New'!$D:$D,'Modelling New'!P:P),"")</f>
        <v>5.4651178025806448</v>
      </c>
      <c r="AD193" s="38">
        <f>IFERROR(_xlfn.XLOOKUP($D193,'Modelling New'!$D:$D,'Modelling New'!T:T)*1000,"")</f>
        <v>40947.895422803231</v>
      </c>
      <c r="AE193" s="164">
        <f t="shared" si="19"/>
        <v>0.71310474367994436</v>
      </c>
      <c r="AF193" s="164">
        <f>IFERROR(_xlfn.XLOOKUP($D193,'Modelling New'!$D:$D,'Modelling New'!W:W),"")</f>
        <v>0.16238339290791545</v>
      </c>
      <c r="AG193" s="164">
        <f>IFERROR(_xlfn.XLOOKUP($D193,'Modelling New'!$D:$D,'Modelling New'!AD:AD),"")</f>
        <v>0.995</v>
      </c>
      <c r="AH193" s="164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64"/>
      <c r="AO193" s="164"/>
      <c r="AP193" s="164"/>
      <c r="AQ193" s="164"/>
      <c r="AR193" s="38">
        <f>IFERROR(_xlfn.XLOOKUP($D193,'Modelling New'!$D:$D,'Modelling New'!$N:$N),"")</f>
        <v>10.507</v>
      </c>
      <c r="AS193" s="38"/>
      <c r="AT193" s="38" t="str">
        <f>IFERROR(_xlfn.XLOOKUP(Table13[[#This Row],[Date]],'Raw Data'!$G:$G,'Raw Data'!$AJ:$AJ),"")</f>
        <v/>
      </c>
      <c r="AU193" s="38">
        <f>IFERROR(_xlfn.XLOOKUP(Table13[[#This Row],[Month Year]],'Modelling New'!$D:$D,'Modelling New'!$AN:$AN),"")</f>
        <v>10</v>
      </c>
      <c r="AV193" s="38">
        <f>SUMIF('Curtailment records'!$C:$C,Table13[[#This Row],[Date]],'Curtailment records'!$R:$R)/1000</f>
        <v>0</v>
      </c>
    </row>
    <row r="194" spans="1:48">
      <c r="A194" s="66">
        <f t="shared" si="15"/>
        <v>45937</v>
      </c>
      <c r="B194" s="38">
        <f>YEAR(Table13[[#This Row],[Date]])+IF(MONTH(Table13[[#This Row],[Date]])&gt;=4,1,0)</f>
        <v>2026</v>
      </c>
      <c r="C194" s="17">
        <f>YEAR(Table13[[#This Row],[Date]])</f>
        <v>2025</v>
      </c>
      <c r="D194" s="37">
        <f>Table13[[#This Row],[Date]]-DAY(Table13[[#This Row],[Date]])+1</f>
        <v>45931</v>
      </c>
      <c r="E194" s="17">
        <f t="shared" si="16"/>
        <v>31</v>
      </c>
      <c r="F194" s="135" t="str" cm="1">
        <f t="array" ref="F194">IFERROR(_xlfn.XLOOKUP(Table13[[#This Row],[Date]],Raw_Data[[#All],[Date]],Raw_Data[[#All],[Operating Hours]]),"")</f>
        <v/>
      </c>
      <c r="G194" s="24" t="str">
        <f>IFERROR(_xlfn.XLOOKUP($A194,'Raw Data'!$G:$G,'Raw Data'!S:S)/1000,"")</f>
        <v/>
      </c>
      <c r="H194" s="24"/>
      <c r="I194" s="24" t="str">
        <f>IFERROR(_xlfn.XLOOKUP($A194,'Raw Data'!$G:$G,'Raw Data'!AF:AF)/1000,"")</f>
        <v/>
      </c>
      <c r="J194" s="24"/>
      <c r="K194" s="137" t="str">
        <f>IFERROR(_xlfn.XLOOKUP($A194,'Raw Data'!$G:$G,'Raw Data'!W:W),"")</f>
        <v/>
      </c>
      <c r="L194" s="136" t="str">
        <f>IFERROR(_xlfn.XLOOKUP($A194,'Raw Data'!$G:$G,'Raw Data'!X:X),"")</f>
        <v/>
      </c>
      <c r="M194" s="136" t="str">
        <f>IFERROR(_xlfn.XLOOKUP($A194,'Raw Data'!$G:$G,'Raw Data'!Y:Y),"")</f>
        <v/>
      </c>
      <c r="N194" s="136" t="str">
        <f>IFERROR(_xlfn.XLOOKUP($A194,'Raw Data'!$G:$G,'Raw Data'!Z:Z),"")</f>
        <v/>
      </c>
      <c r="O194" s="176" t="str">
        <f>IFERROR(1-SUMIF('Plant BD'!$B:$B,$A194,'Plant BD'!$AM:$AM)/($AA194+SUMIF('Plant BD'!$B:$B,$A194,'Plant BD'!$AM:$AM)),"")</f>
        <v/>
      </c>
      <c r="P194" s="176"/>
      <c r="Q194" s="177"/>
      <c r="R194" s="179" t="str">
        <f>IFERROR(1-SUMIF('Grid BD'!$B:$B,$A194,'Grid BD'!$AE:$AE)/($AA194+SUMIF('Grid BD'!$B:$B,$A194,'Grid BD'!$AE:$AE)),"")</f>
        <v/>
      </c>
      <c r="S194" s="17"/>
      <c r="T194" s="177" t="str">
        <f>IFERROR(1-SUMIF(Tracker_BD!H:H,$A194,Tracker_BD!AI:AI)/$F194,"")</f>
        <v/>
      </c>
      <c r="U194" s="178" t="str">
        <f t="shared" si="17"/>
        <v/>
      </c>
      <c r="V194" s="17"/>
      <c r="W194" s="164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38" t="str">
        <f>IFERROR(_xlfn.XLOOKUP($A194,'Raw Data'!$G:$G,'Raw Data'!AD:AD),"")</f>
        <v/>
      </c>
      <c r="AA194" s="38" t="str">
        <f>IFERROR(_xlfn.XLOOKUP($A194,'Raw Data'!$G:$G,'Raw Data'!AE:AE)*(1+(_xlfn.XLOOKUP(Table13[[#This Row],[Month Year]],JMR!$A:$A,JMR!$J:$J))),"")</f>
        <v/>
      </c>
      <c r="AB194" s="17">
        <f>_xlfn.XLOOKUP($D194,'Modelling New'!D:D,'Modelling New'!N:N)</f>
        <v>10.507</v>
      </c>
      <c r="AC194" s="24">
        <f>IFERROR(_xlfn.XLOOKUP($D194,'Modelling New'!$D:$D,'Modelling New'!P:P),"")</f>
        <v>5.4651178025806448</v>
      </c>
      <c r="AD194" s="38">
        <f>IFERROR(_xlfn.XLOOKUP($D194,'Modelling New'!$D:$D,'Modelling New'!T:T)*1000,"")</f>
        <v>40947.895422803231</v>
      </c>
      <c r="AE194" s="164">
        <f t="shared" si="19"/>
        <v>0.71310474367994436</v>
      </c>
      <c r="AF194" s="164">
        <f>IFERROR(_xlfn.XLOOKUP($D194,'Modelling New'!$D:$D,'Modelling New'!W:W),"")</f>
        <v>0.16238339290791545</v>
      </c>
      <c r="AG194" s="164">
        <f>IFERROR(_xlfn.XLOOKUP($D194,'Modelling New'!$D:$D,'Modelling New'!AD:AD),"")</f>
        <v>0.995</v>
      </c>
      <c r="AH194" s="164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64"/>
      <c r="AO194" s="164"/>
      <c r="AP194" s="164"/>
      <c r="AQ194" s="164"/>
      <c r="AR194" s="38">
        <f>IFERROR(_xlfn.XLOOKUP($D194,'Modelling New'!$D:$D,'Modelling New'!$N:$N),"")</f>
        <v>10.507</v>
      </c>
      <c r="AS194" s="38"/>
      <c r="AT194" s="38" t="str">
        <f>IFERROR(_xlfn.XLOOKUP(Table13[[#This Row],[Date]],'Raw Data'!$G:$G,'Raw Data'!$AJ:$AJ),"")</f>
        <v/>
      </c>
      <c r="AU194" s="38">
        <f>IFERROR(_xlfn.XLOOKUP(Table13[[#This Row],[Month Year]],'Modelling New'!$D:$D,'Modelling New'!$AN:$AN),"")</f>
        <v>10</v>
      </c>
      <c r="AV194" s="38">
        <f>SUMIF('Curtailment records'!$C:$C,Table13[[#This Row],[Date]],'Curtailment records'!$R:$R)/1000</f>
        <v>0</v>
      </c>
    </row>
    <row r="195" spans="1:48">
      <c r="A195" s="66">
        <f t="shared" si="15"/>
        <v>45938</v>
      </c>
      <c r="B195" s="38">
        <f>YEAR(Table13[[#This Row],[Date]])+IF(MONTH(Table13[[#This Row],[Date]])&gt;=4,1,0)</f>
        <v>2026</v>
      </c>
      <c r="C195" s="17">
        <f>YEAR(Table13[[#This Row],[Date]])</f>
        <v>2025</v>
      </c>
      <c r="D195" s="37">
        <f>Table13[[#This Row],[Date]]-DAY(Table13[[#This Row],[Date]])+1</f>
        <v>45931</v>
      </c>
      <c r="E195" s="17">
        <f t="shared" si="16"/>
        <v>31</v>
      </c>
      <c r="F195" s="135" t="str" cm="1">
        <f t="array" ref="F195">IFERROR(_xlfn.XLOOKUP(Table13[[#This Row],[Date]],Raw_Data[[#All],[Date]],Raw_Data[[#All],[Operating Hours]]),"")</f>
        <v/>
      </c>
      <c r="G195" s="136" t="str">
        <f>IFERROR(_xlfn.XLOOKUP($A195,'Raw Data'!$G:$G,'Raw Data'!S:S)/1000,"")</f>
        <v/>
      </c>
      <c r="H195" s="136"/>
      <c r="I195" s="136" t="str">
        <f>IFERROR(_xlfn.XLOOKUP($A195,'Raw Data'!$G:$G,'Raw Data'!AF:AF)/1000,"")</f>
        <v/>
      </c>
      <c r="J195" s="136"/>
      <c r="K195" s="137" t="str">
        <f>IFERROR(_xlfn.XLOOKUP($A195,'Raw Data'!$G:$G,'Raw Data'!W:W),"")</f>
        <v/>
      </c>
      <c r="L195" s="136" t="str">
        <f>IFERROR(_xlfn.XLOOKUP($A195,'Raw Data'!$G:$G,'Raw Data'!X:X),"")</f>
        <v/>
      </c>
      <c r="M195" s="136" t="str">
        <f>IFERROR(_xlfn.XLOOKUP($A195,'Raw Data'!$G:$G,'Raw Data'!Y:Y),"")</f>
        <v/>
      </c>
      <c r="N195" s="136" t="str">
        <f>IFERROR(_xlfn.XLOOKUP($A195,'Raw Data'!$G:$G,'Raw Data'!Z:Z),"")</f>
        <v/>
      </c>
      <c r="O195" s="176" t="str">
        <f>IFERROR(1-SUMIF('Plant BD'!$B:$B,$A195,'Plant BD'!$AM:$AM)/($AA195+SUMIF('Plant BD'!$B:$B,$A195,'Plant BD'!$AM:$AM)),"")</f>
        <v/>
      </c>
      <c r="P195" s="176"/>
      <c r="Q195" s="177"/>
      <c r="R195" s="176" t="str">
        <f>IFERROR(1-SUMIF('Grid BD'!$B:$B,$A195,'Grid BD'!$AE:$AE)/($AA195+SUMIF('Grid BD'!$B:$B,$A195,'Grid BD'!$AE:$AE)),"")</f>
        <v/>
      </c>
      <c r="S195" s="17"/>
      <c r="T195" s="177" t="str">
        <f>IFERROR(1-SUMIF(Tracker_BD!H:H,$A195,Tracker_BD!AI:AI)/$F195,"")</f>
        <v/>
      </c>
      <c r="U195" s="178" t="str">
        <f t="shared" si="17"/>
        <v/>
      </c>
      <c r="V195" s="17"/>
      <c r="W195" s="164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38" t="str">
        <f>IFERROR(_xlfn.XLOOKUP($A195,'Raw Data'!$G:$G,'Raw Data'!AD:AD),"")</f>
        <v/>
      </c>
      <c r="AA195" s="38" t="str">
        <f>IFERROR(_xlfn.XLOOKUP($A195,'Raw Data'!$G:$G,'Raw Data'!AE:AE)*(1+(_xlfn.XLOOKUP(Table13[[#This Row],[Month Year]],JMR!$A:$A,JMR!$J:$J))),"")</f>
        <v/>
      </c>
      <c r="AB195" s="17">
        <f>_xlfn.XLOOKUP($D195,'Modelling New'!D:D,'Modelling New'!N:N)</f>
        <v>10.507</v>
      </c>
      <c r="AC195" s="24">
        <f>IFERROR(_xlfn.XLOOKUP($D195,'Modelling New'!$D:$D,'Modelling New'!P:P),"")</f>
        <v>5.4651178025806448</v>
      </c>
      <c r="AD195" s="38">
        <f>IFERROR(_xlfn.XLOOKUP($D195,'Modelling New'!$D:$D,'Modelling New'!T:T)*1000,"")</f>
        <v>40947.895422803231</v>
      </c>
      <c r="AE195" s="164">
        <f t="shared" si="19"/>
        <v>0.71310474367994436</v>
      </c>
      <c r="AF195" s="164">
        <f>IFERROR(_xlfn.XLOOKUP($D195,'Modelling New'!$D:$D,'Modelling New'!W:W),"")</f>
        <v>0.16238339290791545</v>
      </c>
      <c r="AG195" s="164">
        <f>IFERROR(_xlfn.XLOOKUP($D195,'Modelling New'!$D:$D,'Modelling New'!AD:AD),"")</f>
        <v>0.995</v>
      </c>
      <c r="AH195" s="164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64"/>
      <c r="AO195" s="164"/>
      <c r="AP195" s="164"/>
      <c r="AQ195" s="164"/>
      <c r="AR195" s="38">
        <f>IFERROR(_xlfn.XLOOKUP($D195,'Modelling New'!$D:$D,'Modelling New'!$N:$N),"")</f>
        <v>10.507</v>
      </c>
      <c r="AS195" s="38"/>
      <c r="AT195" s="38" t="str">
        <f>IFERROR(_xlfn.XLOOKUP(Table13[[#This Row],[Date]],'Raw Data'!$G:$G,'Raw Data'!$AJ:$AJ),"")</f>
        <v/>
      </c>
      <c r="AU195" s="38">
        <f>IFERROR(_xlfn.XLOOKUP(Table13[[#This Row],[Month Year]],'Modelling New'!$D:$D,'Modelling New'!$AN:$AN),"")</f>
        <v>10</v>
      </c>
      <c r="AV195" s="38">
        <f>SUMIF('Curtailment records'!$C:$C,Table13[[#This Row],[Date]],'Curtailment records'!$R:$R)/1000</f>
        <v>0</v>
      </c>
    </row>
    <row r="196" spans="1:48">
      <c r="A196" s="66">
        <f t="shared" si="15"/>
        <v>45939</v>
      </c>
      <c r="B196" s="38">
        <f>YEAR(Table13[[#This Row],[Date]])+IF(MONTH(Table13[[#This Row],[Date]])&gt;=4,1,0)</f>
        <v>2026</v>
      </c>
      <c r="C196" s="17">
        <f>YEAR(Table13[[#This Row],[Date]])</f>
        <v>2025</v>
      </c>
      <c r="D196" s="37">
        <f>Table13[[#This Row],[Date]]-DAY(Table13[[#This Row],[Date]])+1</f>
        <v>45931</v>
      </c>
      <c r="E196" s="17">
        <f t="shared" si="16"/>
        <v>31</v>
      </c>
      <c r="F196" s="135" t="str" cm="1">
        <f t="array" ref="F196">IFERROR(_xlfn.XLOOKUP(Table13[[#This Row],[Date]],Raw_Data[[#All],[Date]],Raw_Data[[#All],[Operating Hours]]),"")</f>
        <v/>
      </c>
      <c r="G196" s="24" t="str">
        <f>IFERROR(_xlfn.XLOOKUP($A196,'Raw Data'!$G:$G,'Raw Data'!S:S)/1000,"")</f>
        <v/>
      </c>
      <c r="H196" s="24"/>
      <c r="I196" s="24" t="str">
        <f>IFERROR(_xlfn.XLOOKUP($A196,'Raw Data'!$G:$G,'Raw Data'!AF:AF)/1000,"")</f>
        <v/>
      </c>
      <c r="J196" s="24"/>
      <c r="K196" s="137" t="str">
        <f>IFERROR(_xlfn.XLOOKUP($A196,'Raw Data'!$G:$G,'Raw Data'!W:W),"")</f>
        <v/>
      </c>
      <c r="L196" s="136" t="str">
        <f>IFERROR(_xlfn.XLOOKUP($A196,'Raw Data'!$G:$G,'Raw Data'!X:X),"")</f>
        <v/>
      </c>
      <c r="M196" s="136" t="str">
        <f>IFERROR(_xlfn.XLOOKUP($A196,'Raw Data'!$G:$G,'Raw Data'!Y:Y),"")</f>
        <v/>
      </c>
      <c r="N196" s="136" t="str">
        <f>IFERROR(_xlfn.XLOOKUP($A196,'Raw Data'!$G:$G,'Raw Data'!Z:Z),"")</f>
        <v/>
      </c>
      <c r="O196" s="176" t="str">
        <f>IFERROR(1-SUMIF('Plant BD'!$B:$B,$A196,'Plant BD'!$AM:$AM)/($AA196+SUMIF('Plant BD'!$B:$B,$A196,'Plant BD'!$AM:$AM)),"")</f>
        <v/>
      </c>
      <c r="P196" s="176"/>
      <c r="Q196" s="177"/>
      <c r="R196" s="179" t="str">
        <f>IFERROR(1-SUMIF('Grid BD'!$B:$B,$A196,'Grid BD'!$AE:$AE)/($AA196+SUMIF('Grid BD'!$B:$B,$A196,'Grid BD'!$AE:$AE)),"")</f>
        <v/>
      </c>
      <c r="S196" s="17"/>
      <c r="T196" s="177" t="str">
        <f>IFERROR(1-SUMIF(Tracker_BD!H:H,$A196,Tracker_BD!AI:AI)/$F196,"")</f>
        <v/>
      </c>
      <c r="U196" s="178" t="str">
        <f t="shared" si="17"/>
        <v/>
      </c>
      <c r="V196" s="17"/>
      <c r="W196" s="164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38" t="str">
        <f>IFERROR(_xlfn.XLOOKUP($A196,'Raw Data'!$G:$G,'Raw Data'!AD:AD),"")</f>
        <v/>
      </c>
      <c r="AA196" s="38" t="str">
        <f>IFERROR(_xlfn.XLOOKUP($A196,'Raw Data'!$G:$G,'Raw Data'!AE:AE)*(1+(_xlfn.XLOOKUP(Table13[[#This Row],[Month Year]],JMR!$A:$A,JMR!$J:$J))),"")</f>
        <v/>
      </c>
      <c r="AB196" s="17">
        <f>_xlfn.XLOOKUP($D196,'Modelling New'!D:D,'Modelling New'!N:N)</f>
        <v>10.507</v>
      </c>
      <c r="AC196" s="24">
        <f>IFERROR(_xlfn.XLOOKUP($D196,'Modelling New'!$D:$D,'Modelling New'!P:P),"")</f>
        <v>5.4651178025806448</v>
      </c>
      <c r="AD196" s="38">
        <f>IFERROR(_xlfn.XLOOKUP($D196,'Modelling New'!$D:$D,'Modelling New'!T:T)*1000,"")</f>
        <v>40947.895422803231</v>
      </c>
      <c r="AE196" s="164">
        <f t="shared" si="19"/>
        <v>0.71310474367994436</v>
      </c>
      <c r="AF196" s="164">
        <f>IFERROR(_xlfn.XLOOKUP($D196,'Modelling New'!$D:$D,'Modelling New'!W:W),"")</f>
        <v>0.16238339290791545</v>
      </c>
      <c r="AG196" s="164">
        <f>IFERROR(_xlfn.XLOOKUP($D196,'Modelling New'!$D:$D,'Modelling New'!AD:AD),"")</f>
        <v>0.995</v>
      </c>
      <c r="AH196" s="164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64"/>
      <c r="AO196" s="164"/>
      <c r="AP196" s="164"/>
      <c r="AQ196" s="164"/>
      <c r="AR196" s="38">
        <f>IFERROR(_xlfn.XLOOKUP($D196,'Modelling New'!$D:$D,'Modelling New'!$N:$N),"")</f>
        <v>10.507</v>
      </c>
      <c r="AS196" s="38"/>
      <c r="AT196" s="38" t="str">
        <f>IFERROR(_xlfn.XLOOKUP(Table13[[#This Row],[Date]],'Raw Data'!$G:$G,'Raw Data'!$AJ:$AJ),"")</f>
        <v/>
      </c>
      <c r="AU196" s="38">
        <f>IFERROR(_xlfn.XLOOKUP(Table13[[#This Row],[Month Year]],'Modelling New'!$D:$D,'Modelling New'!$AN:$AN),"")</f>
        <v>10</v>
      </c>
      <c r="AV196" s="38">
        <f>SUMIF('Curtailment records'!$C:$C,Table13[[#This Row],[Date]],'Curtailment records'!$R:$R)/1000</f>
        <v>0</v>
      </c>
    </row>
    <row r="197" spans="1:48">
      <c r="A197" s="66">
        <f t="shared" si="15"/>
        <v>45940</v>
      </c>
      <c r="B197" s="38">
        <f>YEAR(Table13[[#This Row],[Date]])+IF(MONTH(Table13[[#This Row],[Date]])&gt;=4,1,0)</f>
        <v>2026</v>
      </c>
      <c r="C197" s="17">
        <f>YEAR(Table13[[#This Row],[Date]])</f>
        <v>2025</v>
      </c>
      <c r="D197" s="37">
        <f>Table13[[#This Row],[Date]]-DAY(Table13[[#This Row],[Date]])+1</f>
        <v>45931</v>
      </c>
      <c r="E197" s="17">
        <f t="shared" si="16"/>
        <v>31</v>
      </c>
      <c r="F197" s="135" t="str" cm="1">
        <f t="array" ref="F197">IFERROR(_xlfn.XLOOKUP(Table13[[#This Row],[Date]],Raw_Data[[#All],[Date]],Raw_Data[[#All],[Operating Hours]]),"")</f>
        <v/>
      </c>
      <c r="G197" s="136" t="str">
        <f>IFERROR(_xlfn.XLOOKUP($A197,'Raw Data'!$G:$G,'Raw Data'!S:S)/1000,"")</f>
        <v/>
      </c>
      <c r="H197" s="136"/>
      <c r="I197" s="136" t="str">
        <f>IFERROR(_xlfn.XLOOKUP($A197,'Raw Data'!$G:$G,'Raw Data'!AF:AF)/1000,"")</f>
        <v/>
      </c>
      <c r="J197" s="136"/>
      <c r="K197" s="137" t="str">
        <f>IFERROR(_xlfn.XLOOKUP($A197,'Raw Data'!$G:$G,'Raw Data'!W:W),"")</f>
        <v/>
      </c>
      <c r="L197" s="136" t="str">
        <f>IFERROR(_xlfn.XLOOKUP($A197,'Raw Data'!$G:$G,'Raw Data'!X:X),"")</f>
        <v/>
      </c>
      <c r="M197" s="136" t="str">
        <f>IFERROR(_xlfn.XLOOKUP($A197,'Raw Data'!$G:$G,'Raw Data'!Y:Y),"")</f>
        <v/>
      </c>
      <c r="N197" s="136" t="str">
        <f>IFERROR(_xlfn.XLOOKUP($A197,'Raw Data'!$G:$G,'Raw Data'!Z:Z),"")</f>
        <v/>
      </c>
      <c r="O197" s="176" t="str">
        <f>IFERROR(1-SUMIF('Plant BD'!$B:$B,$A197,'Plant BD'!$AM:$AM)/($AA197+SUMIF('Plant BD'!$B:$B,$A197,'Plant BD'!$AM:$AM)),"")</f>
        <v/>
      </c>
      <c r="P197" s="176"/>
      <c r="Q197" s="177"/>
      <c r="R197" s="176" t="str">
        <f>IFERROR(1-SUMIF('Grid BD'!$B:$B,$A197,'Grid BD'!$AE:$AE)/($AA197+SUMIF('Grid BD'!$B:$B,$A197,'Grid BD'!$AE:$AE)),"")</f>
        <v/>
      </c>
      <c r="S197" s="17"/>
      <c r="T197" s="177" t="str">
        <f>IFERROR(1-SUMIF(Tracker_BD!H:H,$A197,Tracker_BD!AI:AI)/$F197,"")</f>
        <v/>
      </c>
      <c r="U197" s="178" t="str">
        <f t="shared" si="17"/>
        <v/>
      </c>
      <c r="V197" s="17"/>
      <c r="W197" s="164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38" t="str">
        <f>IFERROR(_xlfn.XLOOKUP($A197,'Raw Data'!$G:$G,'Raw Data'!AD:AD),"")</f>
        <v/>
      </c>
      <c r="AA197" s="38" t="str">
        <f>IFERROR(_xlfn.XLOOKUP($A197,'Raw Data'!$G:$G,'Raw Data'!AE:AE)*(1+(_xlfn.XLOOKUP(Table13[[#This Row],[Month Year]],JMR!$A:$A,JMR!$J:$J))),"")</f>
        <v/>
      </c>
      <c r="AB197" s="17">
        <f>_xlfn.XLOOKUP($D197,'Modelling New'!D:D,'Modelling New'!N:N)</f>
        <v>10.507</v>
      </c>
      <c r="AC197" s="24">
        <f>IFERROR(_xlfn.XLOOKUP($D197,'Modelling New'!$D:$D,'Modelling New'!P:P),"")</f>
        <v>5.4651178025806448</v>
      </c>
      <c r="AD197" s="38">
        <f>IFERROR(_xlfn.XLOOKUP($D197,'Modelling New'!$D:$D,'Modelling New'!T:T)*1000,"")</f>
        <v>40947.895422803231</v>
      </c>
      <c r="AE197" s="164">
        <f t="shared" si="19"/>
        <v>0.71310474367994436</v>
      </c>
      <c r="AF197" s="164">
        <f>IFERROR(_xlfn.XLOOKUP($D197,'Modelling New'!$D:$D,'Modelling New'!W:W),"")</f>
        <v>0.16238339290791545</v>
      </c>
      <c r="AG197" s="164">
        <f>IFERROR(_xlfn.XLOOKUP($D197,'Modelling New'!$D:$D,'Modelling New'!AD:AD),"")</f>
        <v>0.995</v>
      </c>
      <c r="AH197" s="164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64"/>
      <c r="AO197" s="164"/>
      <c r="AP197" s="164"/>
      <c r="AQ197" s="164"/>
      <c r="AR197" s="38">
        <f>IFERROR(_xlfn.XLOOKUP($D197,'Modelling New'!$D:$D,'Modelling New'!$N:$N),"")</f>
        <v>10.507</v>
      </c>
      <c r="AS197" s="38"/>
      <c r="AT197" s="38" t="str">
        <f>IFERROR(_xlfn.XLOOKUP(Table13[[#This Row],[Date]],'Raw Data'!$G:$G,'Raw Data'!$AJ:$AJ),"")</f>
        <v/>
      </c>
      <c r="AU197" s="38">
        <f>IFERROR(_xlfn.XLOOKUP(Table13[[#This Row],[Month Year]],'Modelling New'!$D:$D,'Modelling New'!$AN:$AN),"")</f>
        <v>10</v>
      </c>
      <c r="AV197" s="38">
        <f>SUMIF('Curtailment records'!$C:$C,Table13[[#This Row],[Date]],'Curtailment records'!$R:$R)/1000</f>
        <v>0</v>
      </c>
    </row>
    <row r="198" spans="1:48">
      <c r="A198" s="66">
        <f t="shared" ref="A198:A261" si="20">A197+1</f>
        <v>45941</v>
      </c>
      <c r="B198" s="38">
        <f>YEAR(Table13[[#This Row],[Date]])+IF(MONTH(Table13[[#This Row],[Date]])&gt;=4,1,0)</f>
        <v>2026</v>
      </c>
      <c r="C198" s="17">
        <f>YEAR(Table13[[#This Row],[Date]])</f>
        <v>2025</v>
      </c>
      <c r="D198" s="37">
        <f>Table13[[#This Row],[Date]]-DAY(Table13[[#This Row],[Date]])+1</f>
        <v>45931</v>
      </c>
      <c r="E198" s="17">
        <f t="shared" ref="E198:E261" si="21">DAY(EOMONTH(A198,0))</f>
        <v>31</v>
      </c>
      <c r="F198" s="135" t="str" cm="1">
        <f t="array" ref="F198">IFERROR(_xlfn.XLOOKUP(Table13[[#This Row],[Date]],Raw_Data[[#All],[Date]],Raw_Data[[#All],[Operating Hours]]),"")</f>
        <v/>
      </c>
      <c r="G198" s="24" t="str">
        <f>IFERROR(_xlfn.XLOOKUP($A198,'Raw Data'!$G:$G,'Raw Data'!S:S)/1000,"")</f>
        <v/>
      </c>
      <c r="H198" s="24"/>
      <c r="I198" s="24" t="str">
        <f>IFERROR(_xlfn.XLOOKUP($A198,'Raw Data'!$G:$G,'Raw Data'!AF:AF)/1000,"")</f>
        <v/>
      </c>
      <c r="J198" s="24"/>
      <c r="K198" s="137" t="str">
        <f>IFERROR(_xlfn.XLOOKUP($A198,'Raw Data'!$G:$G,'Raw Data'!W:W),"")</f>
        <v/>
      </c>
      <c r="L198" s="136" t="str">
        <f>IFERROR(_xlfn.XLOOKUP($A198,'Raw Data'!$G:$G,'Raw Data'!X:X),"")</f>
        <v/>
      </c>
      <c r="M198" s="136" t="str">
        <f>IFERROR(_xlfn.XLOOKUP($A198,'Raw Data'!$G:$G,'Raw Data'!Y:Y),"")</f>
        <v/>
      </c>
      <c r="N198" s="136" t="str">
        <f>IFERROR(_xlfn.XLOOKUP($A198,'Raw Data'!$G:$G,'Raw Data'!Z:Z),"")</f>
        <v/>
      </c>
      <c r="O198" s="176" t="str">
        <f>IFERROR(1-SUMIF('Plant BD'!$B:$B,$A198,'Plant BD'!$AM:$AM)/($AA198+SUMIF('Plant BD'!$B:$B,$A198,'Plant BD'!$AM:$AM)),"")</f>
        <v/>
      </c>
      <c r="P198" s="176"/>
      <c r="Q198" s="177"/>
      <c r="R198" s="179" t="str">
        <f>IFERROR(1-SUMIF('Grid BD'!$B:$B,$A198,'Grid BD'!$AE:$AE)/($AA198+SUMIF('Grid BD'!$B:$B,$A198,'Grid BD'!$AE:$AE)),"")</f>
        <v/>
      </c>
      <c r="S198" s="17"/>
      <c r="T198" s="177" t="str">
        <f>IFERROR(1-SUMIF(Tracker_BD!H:H,$A198,Tracker_BD!AI:AI)/$F198,"")</f>
        <v/>
      </c>
      <c r="U198" s="178" t="str">
        <f t="shared" si="17"/>
        <v/>
      </c>
      <c r="V198" s="17"/>
      <c r="W198" s="164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38" t="str">
        <f>IFERROR(_xlfn.XLOOKUP($A198,'Raw Data'!$G:$G,'Raw Data'!AD:AD),"")</f>
        <v/>
      </c>
      <c r="AA198" s="38" t="str">
        <f>IFERROR(_xlfn.XLOOKUP($A198,'Raw Data'!$G:$G,'Raw Data'!AE:AE)*(1+(_xlfn.XLOOKUP(Table13[[#This Row],[Month Year]],JMR!$A:$A,JMR!$J:$J))),"")</f>
        <v/>
      </c>
      <c r="AB198" s="17">
        <f>_xlfn.XLOOKUP($D198,'Modelling New'!D:D,'Modelling New'!N:N)</f>
        <v>10.507</v>
      </c>
      <c r="AC198" s="24">
        <f>IFERROR(_xlfn.XLOOKUP($D198,'Modelling New'!$D:$D,'Modelling New'!P:P),"")</f>
        <v>5.4651178025806448</v>
      </c>
      <c r="AD198" s="38">
        <f>IFERROR(_xlfn.XLOOKUP($D198,'Modelling New'!$D:$D,'Modelling New'!T:T)*1000,"")</f>
        <v>40947.895422803231</v>
      </c>
      <c r="AE198" s="164">
        <f t="shared" si="19"/>
        <v>0.71310474367994436</v>
      </c>
      <c r="AF198" s="164">
        <f>IFERROR(_xlfn.XLOOKUP($D198,'Modelling New'!$D:$D,'Modelling New'!W:W),"")</f>
        <v>0.16238339290791545</v>
      </c>
      <c r="AG198" s="164">
        <f>IFERROR(_xlfn.XLOOKUP($D198,'Modelling New'!$D:$D,'Modelling New'!AD:AD),"")</f>
        <v>0.995</v>
      </c>
      <c r="AH198" s="164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64"/>
      <c r="AO198" s="164"/>
      <c r="AP198" s="164"/>
      <c r="AQ198" s="164"/>
      <c r="AR198" s="38">
        <f>IFERROR(_xlfn.XLOOKUP($D198,'Modelling New'!$D:$D,'Modelling New'!$N:$N),"")</f>
        <v>10.507</v>
      </c>
      <c r="AS198" s="38"/>
      <c r="AT198" s="38" t="str">
        <f>IFERROR(_xlfn.XLOOKUP(Table13[[#This Row],[Date]],'Raw Data'!$G:$G,'Raw Data'!$AJ:$AJ),"")</f>
        <v/>
      </c>
      <c r="AU198" s="38">
        <f>IFERROR(_xlfn.XLOOKUP(Table13[[#This Row],[Month Year]],'Modelling New'!$D:$D,'Modelling New'!$AN:$AN),"")</f>
        <v>10</v>
      </c>
      <c r="AV198" s="38">
        <f>SUMIF('Curtailment records'!$C:$C,Table13[[#This Row],[Date]],'Curtailment records'!$R:$R)/1000</f>
        <v>0</v>
      </c>
    </row>
    <row r="199" spans="1:48">
      <c r="A199" s="66">
        <f t="shared" si="20"/>
        <v>45942</v>
      </c>
      <c r="B199" s="38">
        <f>YEAR(Table13[[#This Row],[Date]])+IF(MONTH(Table13[[#This Row],[Date]])&gt;=4,1,0)</f>
        <v>2026</v>
      </c>
      <c r="C199" s="17">
        <f>YEAR(Table13[[#This Row],[Date]])</f>
        <v>2025</v>
      </c>
      <c r="D199" s="37">
        <f>Table13[[#This Row],[Date]]-DAY(Table13[[#This Row],[Date]])+1</f>
        <v>45931</v>
      </c>
      <c r="E199" s="17">
        <f t="shared" si="21"/>
        <v>31</v>
      </c>
      <c r="F199" s="135" t="str" cm="1">
        <f t="array" ref="F199">IFERROR(_xlfn.XLOOKUP(Table13[[#This Row],[Date]],Raw_Data[[#All],[Date]],Raw_Data[[#All],[Operating Hours]]),"")</f>
        <v/>
      </c>
      <c r="G199" s="136" t="str">
        <f>IFERROR(_xlfn.XLOOKUP($A199,'Raw Data'!$G:$G,'Raw Data'!S:S)/1000,"")</f>
        <v/>
      </c>
      <c r="H199" s="136"/>
      <c r="I199" s="136" t="str">
        <f>IFERROR(_xlfn.XLOOKUP($A199,'Raw Data'!$G:$G,'Raw Data'!AF:AF)/1000,"")</f>
        <v/>
      </c>
      <c r="J199" s="136"/>
      <c r="K199" s="137" t="str">
        <f>IFERROR(_xlfn.XLOOKUP($A199,'Raw Data'!$G:$G,'Raw Data'!W:W),"")</f>
        <v/>
      </c>
      <c r="L199" s="136" t="str">
        <f>IFERROR(_xlfn.XLOOKUP($A199,'Raw Data'!$G:$G,'Raw Data'!X:X),"")</f>
        <v/>
      </c>
      <c r="M199" s="136" t="str">
        <f>IFERROR(_xlfn.XLOOKUP($A199,'Raw Data'!$G:$G,'Raw Data'!Y:Y),"")</f>
        <v/>
      </c>
      <c r="N199" s="136" t="str">
        <f>IFERROR(_xlfn.XLOOKUP($A199,'Raw Data'!$G:$G,'Raw Data'!Z:Z),"")</f>
        <v/>
      </c>
      <c r="O199" s="176" t="str">
        <f>IFERROR(1-SUMIF('Plant BD'!$B:$B,$A199,'Plant BD'!$AM:$AM)/($AA199+SUMIF('Plant BD'!$B:$B,$A199,'Plant BD'!$AM:$AM)),"")</f>
        <v/>
      </c>
      <c r="P199" s="176"/>
      <c r="Q199" s="177"/>
      <c r="R199" s="176" t="str">
        <f>IFERROR(1-SUMIF('Grid BD'!$B:$B,$A199,'Grid BD'!$AE:$AE)/($AA199+SUMIF('Grid BD'!$B:$B,$A199,'Grid BD'!$AE:$AE)),"")</f>
        <v/>
      </c>
      <c r="S199" s="17"/>
      <c r="T199" s="177" t="str">
        <f>IFERROR(1-SUMIF(Tracker_BD!H:H,$A199,Tracker_BD!AI:AI)/$F199,"")</f>
        <v/>
      </c>
      <c r="U199" s="178" t="str">
        <f t="shared" si="17"/>
        <v/>
      </c>
      <c r="V199" s="17"/>
      <c r="W199" s="164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38" t="str">
        <f>IFERROR(_xlfn.XLOOKUP($A199,'Raw Data'!$G:$G,'Raw Data'!AD:AD),"")</f>
        <v/>
      </c>
      <c r="AA199" s="38" t="str">
        <f>IFERROR(_xlfn.XLOOKUP($A199,'Raw Data'!$G:$G,'Raw Data'!AE:AE)*(1+(_xlfn.XLOOKUP(Table13[[#This Row],[Month Year]],JMR!$A:$A,JMR!$J:$J))),"")</f>
        <v/>
      </c>
      <c r="AB199" s="17">
        <f>_xlfn.XLOOKUP($D199,'Modelling New'!D:D,'Modelling New'!N:N)</f>
        <v>10.507</v>
      </c>
      <c r="AC199" s="24">
        <f>IFERROR(_xlfn.XLOOKUP($D199,'Modelling New'!$D:$D,'Modelling New'!P:P),"")</f>
        <v>5.4651178025806448</v>
      </c>
      <c r="AD199" s="38">
        <f>IFERROR(_xlfn.XLOOKUP($D199,'Modelling New'!$D:$D,'Modelling New'!T:T)*1000,"")</f>
        <v>40947.895422803231</v>
      </c>
      <c r="AE199" s="164">
        <f t="shared" si="19"/>
        <v>0.71310474367994436</v>
      </c>
      <c r="AF199" s="164">
        <f>IFERROR(_xlfn.XLOOKUP($D199,'Modelling New'!$D:$D,'Modelling New'!W:W),"")</f>
        <v>0.16238339290791545</v>
      </c>
      <c r="AG199" s="164">
        <f>IFERROR(_xlfn.XLOOKUP($D199,'Modelling New'!$D:$D,'Modelling New'!AD:AD),"")</f>
        <v>0.995</v>
      </c>
      <c r="AH199" s="164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64"/>
      <c r="AO199" s="164"/>
      <c r="AP199" s="164"/>
      <c r="AQ199" s="164"/>
      <c r="AR199" s="38">
        <f>IFERROR(_xlfn.XLOOKUP($D199,'Modelling New'!$D:$D,'Modelling New'!$N:$N),"")</f>
        <v>10.507</v>
      </c>
      <c r="AS199" s="38"/>
      <c r="AT199" s="38" t="str">
        <f>IFERROR(_xlfn.XLOOKUP(Table13[[#This Row],[Date]],'Raw Data'!$G:$G,'Raw Data'!$AJ:$AJ),"")</f>
        <v/>
      </c>
      <c r="AU199" s="38">
        <f>IFERROR(_xlfn.XLOOKUP(Table13[[#This Row],[Month Year]],'Modelling New'!$D:$D,'Modelling New'!$AN:$AN),"")</f>
        <v>10</v>
      </c>
      <c r="AV199" s="38">
        <f>SUMIF('Curtailment records'!$C:$C,Table13[[#This Row],[Date]],'Curtailment records'!$R:$R)/1000</f>
        <v>0</v>
      </c>
    </row>
    <row r="200" spans="1:48">
      <c r="A200" s="66">
        <f t="shared" si="20"/>
        <v>45943</v>
      </c>
      <c r="B200" s="38">
        <f>YEAR(Table13[[#This Row],[Date]])+IF(MONTH(Table13[[#This Row],[Date]])&gt;=4,1,0)</f>
        <v>2026</v>
      </c>
      <c r="C200" s="17">
        <f>YEAR(Table13[[#This Row],[Date]])</f>
        <v>2025</v>
      </c>
      <c r="D200" s="37">
        <f>Table13[[#This Row],[Date]]-DAY(Table13[[#This Row],[Date]])+1</f>
        <v>45931</v>
      </c>
      <c r="E200" s="17">
        <f t="shared" si="21"/>
        <v>31</v>
      </c>
      <c r="F200" s="135" t="str" cm="1">
        <f t="array" ref="F200">IFERROR(_xlfn.XLOOKUP(Table13[[#This Row],[Date]],Raw_Data[[#All],[Date]],Raw_Data[[#All],[Operating Hours]]),"")</f>
        <v/>
      </c>
      <c r="G200" s="24" t="str">
        <f>IFERROR(_xlfn.XLOOKUP($A200,'Raw Data'!$G:$G,'Raw Data'!S:S)/1000,"")</f>
        <v/>
      </c>
      <c r="H200" s="24"/>
      <c r="I200" s="24" t="str">
        <f>IFERROR(_xlfn.XLOOKUP($A200,'Raw Data'!$G:$G,'Raw Data'!AF:AF)/1000,"")</f>
        <v/>
      </c>
      <c r="J200" s="24"/>
      <c r="K200" s="137" t="str">
        <f>IFERROR(_xlfn.XLOOKUP($A200,'Raw Data'!$G:$G,'Raw Data'!W:W),"")</f>
        <v/>
      </c>
      <c r="L200" s="136" t="str">
        <f>IFERROR(_xlfn.XLOOKUP($A200,'Raw Data'!$G:$G,'Raw Data'!X:X),"")</f>
        <v/>
      </c>
      <c r="M200" s="136" t="str">
        <f>IFERROR(_xlfn.XLOOKUP($A200,'Raw Data'!$G:$G,'Raw Data'!Y:Y),"")</f>
        <v/>
      </c>
      <c r="N200" s="136" t="str">
        <f>IFERROR(_xlfn.XLOOKUP($A200,'Raw Data'!$G:$G,'Raw Data'!Z:Z),"")</f>
        <v/>
      </c>
      <c r="O200" s="176" t="str">
        <f>IFERROR(1-SUMIF('Plant BD'!$B:$B,$A200,'Plant BD'!$AM:$AM)/($AA200+SUMIF('Plant BD'!$B:$B,$A200,'Plant BD'!$AM:$AM)),"")</f>
        <v/>
      </c>
      <c r="P200" s="176"/>
      <c r="Q200" s="177"/>
      <c r="R200" s="179" t="str">
        <f>IFERROR(1-SUMIF('Grid BD'!$B:$B,$A200,'Grid BD'!$AE:$AE)/($AA200+SUMIF('Grid BD'!$B:$B,$A200,'Grid BD'!$AE:$AE)),"")</f>
        <v/>
      </c>
      <c r="S200" s="17"/>
      <c r="T200" s="177" t="str">
        <f>IFERROR(1-SUMIF(Tracker_BD!H:H,$A200,Tracker_BD!AI:AI)/$F200,"")</f>
        <v/>
      </c>
      <c r="U200" s="178" t="str">
        <f t="shared" si="17"/>
        <v/>
      </c>
      <c r="V200" s="17"/>
      <c r="W200" s="164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38" t="str">
        <f>IFERROR(_xlfn.XLOOKUP($A200,'Raw Data'!$G:$G,'Raw Data'!AD:AD),"")</f>
        <v/>
      </c>
      <c r="AA200" s="38" t="str">
        <f>IFERROR(_xlfn.XLOOKUP($A200,'Raw Data'!$G:$G,'Raw Data'!AE:AE)*(1+(_xlfn.XLOOKUP(Table13[[#This Row],[Month Year]],JMR!$A:$A,JMR!$J:$J))),"")</f>
        <v/>
      </c>
      <c r="AB200" s="17">
        <f>_xlfn.XLOOKUP($D200,'Modelling New'!D:D,'Modelling New'!N:N)</f>
        <v>10.507</v>
      </c>
      <c r="AC200" s="24">
        <f>IFERROR(_xlfn.XLOOKUP($D200,'Modelling New'!$D:$D,'Modelling New'!P:P),"")</f>
        <v>5.4651178025806448</v>
      </c>
      <c r="AD200" s="38">
        <f>IFERROR(_xlfn.XLOOKUP($D200,'Modelling New'!$D:$D,'Modelling New'!T:T)*1000,"")</f>
        <v>40947.895422803231</v>
      </c>
      <c r="AE200" s="164">
        <f t="shared" si="19"/>
        <v>0.71310474367994436</v>
      </c>
      <c r="AF200" s="164">
        <f>IFERROR(_xlfn.XLOOKUP($D200,'Modelling New'!$D:$D,'Modelling New'!W:W),"")</f>
        <v>0.16238339290791545</v>
      </c>
      <c r="AG200" s="164">
        <f>IFERROR(_xlfn.XLOOKUP($D200,'Modelling New'!$D:$D,'Modelling New'!AD:AD),"")</f>
        <v>0.995</v>
      </c>
      <c r="AH200" s="164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64"/>
      <c r="AO200" s="164"/>
      <c r="AP200" s="164"/>
      <c r="AQ200" s="164"/>
      <c r="AR200" s="38">
        <f>IFERROR(_xlfn.XLOOKUP($D200,'Modelling New'!$D:$D,'Modelling New'!$N:$N),"")</f>
        <v>10.507</v>
      </c>
      <c r="AS200" s="38"/>
      <c r="AT200" s="38" t="str">
        <f>IFERROR(_xlfn.XLOOKUP(Table13[[#This Row],[Date]],'Raw Data'!$G:$G,'Raw Data'!$AJ:$AJ),"")</f>
        <v/>
      </c>
      <c r="AU200" s="38">
        <f>IFERROR(_xlfn.XLOOKUP(Table13[[#This Row],[Month Year]],'Modelling New'!$D:$D,'Modelling New'!$AN:$AN),"")</f>
        <v>10</v>
      </c>
      <c r="AV200" s="38">
        <f>SUMIF('Curtailment records'!$C:$C,Table13[[#This Row],[Date]],'Curtailment records'!$R:$R)/1000</f>
        <v>0</v>
      </c>
    </row>
    <row r="201" spans="1:48">
      <c r="A201" s="66">
        <f t="shared" si="20"/>
        <v>45944</v>
      </c>
      <c r="B201" s="38">
        <f>YEAR(Table13[[#This Row],[Date]])+IF(MONTH(Table13[[#This Row],[Date]])&gt;=4,1,0)</f>
        <v>2026</v>
      </c>
      <c r="C201" s="17">
        <f>YEAR(Table13[[#This Row],[Date]])</f>
        <v>2025</v>
      </c>
      <c r="D201" s="37">
        <f>Table13[[#This Row],[Date]]-DAY(Table13[[#This Row],[Date]])+1</f>
        <v>45931</v>
      </c>
      <c r="E201" s="17">
        <f t="shared" si="21"/>
        <v>31</v>
      </c>
      <c r="F201" s="135" t="str" cm="1">
        <f t="array" ref="F201">IFERROR(_xlfn.XLOOKUP(Table13[[#This Row],[Date]],Raw_Data[[#All],[Date]],Raw_Data[[#All],[Operating Hours]]),"")</f>
        <v/>
      </c>
      <c r="G201" s="136" t="str">
        <f>IFERROR(_xlfn.XLOOKUP($A201,'Raw Data'!$G:$G,'Raw Data'!S:S)/1000,"")</f>
        <v/>
      </c>
      <c r="H201" s="136"/>
      <c r="I201" s="136" t="str">
        <f>IFERROR(_xlfn.XLOOKUP($A201,'Raw Data'!$G:$G,'Raw Data'!AF:AF)/1000,"")</f>
        <v/>
      </c>
      <c r="J201" s="136"/>
      <c r="K201" s="137" t="str">
        <f>IFERROR(_xlfn.XLOOKUP($A201,'Raw Data'!$G:$G,'Raw Data'!W:W),"")</f>
        <v/>
      </c>
      <c r="L201" s="136" t="str">
        <f>IFERROR(_xlfn.XLOOKUP($A201,'Raw Data'!$G:$G,'Raw Data'!X:X),"")</f>
        <v/>
      </c>
      <c r="M201" s="136" t="str">
        <f>IFERROR(_xlfn.XLOOKUP($A201,'Raw Data'!$G:$G,'Raw Data'!Y:Y),"")</f>
        <v/>
      </c>
      <c r="N201" s="136" t="str">
        <f>IFERROR(_xlfn.XLOOKUP($A201,'Raw Data'!$G:$G,'Raw Data'!Z:Z),"")</f>
        <v/>
      </c>
      <c r="O201" s="176" t="str">
        <f>IFERROR(1-SUMIF('Plant BD'!$B:$B,$A201,'Plant BD'!$AM:$AM)/($AA201+SUMIF('Plant BD'!$B:$B,$A201,'Plant BD'!$AM:$AM)),"")</f>
        <v/>
      </c>
      <c r="P201" s="176"/>
      <c r="Q201" s="177"/>
      <c r="R201" s="176" t="str">
        <f>IFERROR(1-SUMIF('Grid BD'!$B:$B,$A201,'Grid BD'!$AE:$AE)/($AA201+SUMIF('Grid BD'!$B:$B,$A201,'Grid BD'!$AE:$AE)),"")</f>
        <v/>
      </c>
      <c r="S201" s="17"/>
      <c r="T201" s="177" t="str">
        <f>IFERROR(1-SUMIF(Tracker_BD!H:H,$A201,Tracker_BD!AI:AI)/$F201,"")</f>
        <v/>
      </c>
      <c r="U201" s="178" t="str">
        <f t="shared" si="17"/>
        <v/>
      </c>
      <c r="V201" s="17"/>
      <c r="W201" s="164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38" t="str">
        <f>IFERROR(_xlfn.XLOOKUP($A201,'Raw Data'!$G:$G,'Raw Data'!AD:AD),"")</f>
        <v/>
      </c>
      <c r="AA201" s="38" t="str">
        <f>IFERROR(_xlfn.XLOOKUP($A201,'Raw Data'!$G:$G,'Raw Data'!AE:AE)*(1+(_xlfn.XLOOKUP(Table13[[#This Row],[Month Year]],JMR!$A:$A,JMR!$J:$J))),"")</f>
        <v/>
      </c>
      <c r="AB201" s="17">
        <f>_xlfn.XLOOKUP($D201,'Modelling New'!D:D,'Modelling New'!N:N)</f>
        <v>10.507</v>
      </c>
      <c r="AC201" s="24">
        <f>IFERROR(_xlfn.XLOOKUP($D201,'Modelling New'!$D:$D,'Modelling New'!P:P),"")</f>
        <v>5.4651178025806448</v>
      </c>
      <c r="AD201" s="38">
        <f>IFERROR(_xlfn.XLOOKUP($D201,'Modelling New'!$D:$D,'Modelling New'!T:T)*1000,"")</f>
        <v>40947.895422803231</v>
      </c>
      <c r="AE201" s="164">
        <f t="shared" si="19"/>
        <v>0.71310474367994436</v>
      </c>
      <c r="AF201" s="164">
        <f>IFERROR(_xlfn.XLOOKUP($D201,'Modelling New'!$D:$D,'Modelling New'!W:W),"")</f>
        <v>0.16238339290791545</v>
      </c>
      <c r="AG201" s="164">
        <f>IFERROR(_xlfn.XLOOKUP($D201,'Modelling New'!$D:$D,'Modelling New'!AD:AD),"")</f>
        <v>0.995</v>
      </c>
      <c r="AH201" s="164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64"/>
      <c r="AO201" s="164"/>
      <c r="AP201" s="164"/>
      <c r="AQ201" s="164"/>
      <c r="AR201" s="38">
        <f>IFERROR(_xlfn.XLOOKUP($D201,'Modelling New'!$D:$D,'Modelling New'!$N:$N),"")</f>
        <v>10.507</v>
      </c>
      <c r="AS201" s="38"/>
      <c r="AT201" s="38" t="str">
        <f>IFERROR(_xlfn.XLOOKUP(Table13[[#This Row],[Date]],'Raw Data'!$G:$G,'Raw Data'!$AJ:$AJ),"")</f>
        <v/>
      </c>
      <c r="AU201" s="38">
        <f>IFERROR(_xlfn.XLOOKUP(Table13[[#This Row],[Month Year]],'Modelling New'!$D:$D,'Modelling New'!$AN:$AN),"")</f>
        <v>10</v>
      </c>
      <c r="AV201" s="38">
        <f>SUMIF('Curtailment records'!$C:$C,Table13[[#This Row],[Date]],'Curtailment records'!$R:$R)/1000</f>
        <v>0</v>
      </c>
    </row>
    <row r="202" spans="1:48">
      <c r="A202" s="66">
        <f t="shared" si="20"/>
        <v>45945</v>
      </c>
      <c r="B202" s="38">
        <f>YEAR(Table13[[#This Row],[Date]])+IF(MONTH(Table13[[#This Row],[Date]])&gt;=4,1,0)</f>
        <v>2026</v>
      </c>
      <c r="C202" s="17">
        <f>YEAR(Table13[[#This Row],[Date]])</f>
        <v>2025</v>
      </c>
      <c r="D202" s="37">
        <f>Table13[[#This Row],[Date]]-DAY(Table13[[#This Row],[Date]])+1</f>
        <v>45931</v>
      </c>
      <c r="E202" s="17">
        <f t="shared" si="21"/>
        <v>31</v>
      </c>
      <c r="F202" s="135" t="str" cm="1">
        <f t="array" ref="F202">IFERROR(_xlfn.XLOOKUP(Table13[[#This Row],[Date]],Raw_Data[[#All],[Date]],Raw_Data[[#All],[Operating Hours]]),"")</f>
        <v/>
      </c>
      <c r="G202" s="24" t="str">
        <f>IFERROR(_xlfn.XLOOKUP($A202,'Raw Data'!$G:$G,'Raw Data'!S:S)/1000,"")</f>
        <v/>
      </c>
      <c r="H202" s="24"/>
      <c r="I202" s="24" t="str">
        <f>IFERROR(_xlfn.XLOOKUP($A202,'Raw Data'!$G:$G,'Raw Data'!AF:AF)/1000,"")</f>
        <v/>
      </c>
      <c r="J202" s="24"/>
      <c r="K202" s="137" t="str">
        <f>IFERROR(_xlfn.XLOOKUP($A202,'Raw Data'!$G:$G,'Raw Data'!W:W),"")</f>
        <v/>
      </c>
      <c r="L202" s="136" t="str">
        <f>IFERROR(_xlfn.XLOOKUP($A202,'Raw Data'!$G:$G,'Raw Data'!X:X),"")</f>
        <v/>
      </c>
      <c r="M202" s="136" t="str">
        <f>IFERROR(_xlfn.XLOOKUP($A202,'Raw Data'!$G:$G,'Raw Data'!Y:Y),"")</f>
        <v/>
      </c>
      <c r="N202" s="136" t="str">
        <f>IFERROR(_xlfn.XLOOKUP($A202,'Raw Data'!$G:$G,'Raw Data'!Z:Z),"")</f>
        <v/>
      </c>
      <c r="O202" s="176" t="str">
        <f>IFERROR(1-SUMIF('Plant BD'!$B:$B,$A202,'Plant BD'!$AM:$AM)/($AA202+SUMIF('Plant BD'!$B:$B,$A202,'Plant BD'!$AM:$AM)),"")</f>
        <v/>
      </c>
      <c r="P202" s="176"/>
      <c r="Q202" s="177"/>
      <c r="R202" s="179" t="str">
        <f>IFERROR(1-SUMIF('Grid BD'!$B:$B,$A202,'Grid BD'!$AE:$AE)/($AA202+SUMIF('Grid BD'!$B:$B,$A202,'Grid BD'!$AE:$AE)),"")</f>
        <v/>
      </c>
      <c r="S202" s="17"/>
      <c r="T202" s="177" t="str">
        <f>IFERROR(1-SUMIF(Tracker_BD!H:H,$A202,Tracker_BD!AI:AI)/$F202,"")</f>
        <v/>
      </c>
      <c r="U202" s="178" t="str">
        <f t="shared" si="17"/>
        <v/>
      </c>
      <c r="V202" s="17"/>
      <c r="W202" s="164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38" t="str">
        <f>IFERROR(_xlfn.XLOOKUP($A202,'Raw Data'!$G:$G,'Raw Data'!AD:AD),"")</f>
        <v/>
      </c>
      <c r="AA202" s="38" t="str">
        <f>IFERROR(_xlfn.XLOOKUP($A202,'Raw Data'!$G:$G,'Raw Data'!AE:AE)*(1+(_xlfn.XLOOKUP(Table13[[#This Row],[Month Year]],JMR!$A:$A,JMR!$J:$J))),"")</f>
        <v/>
      </c>
      <c r="AB202" s="17">
        <f>_xlfn.XLOOKUP($D202,'Modelling New'!D:D,'Modelling New'!N:N)</f>
        <v>10.507</v>
      </c>
      <c r="AC202" s="24">
        <f>IFERROR(_xlfn.XLOOKUP($D202,'Modelling New'!$D:$D,'Modelling New'!P:P),"")</f>
        <v>5.4651178025806448</v>
      </c>
      <c r="AD202" s="38">
        <f>IFERROR(_xlfn.XLOOKUP($D202,'Modelling New'!$D:$D,'Modelling New'!T:T)*1000,"")</f>
        <v>40947.895422803231</v>
      </c>
      <c r="AE202" s="164">
        <f t="shared" si="19"/>
        <v>0.71310474367994436</v>
      </c>
      <c r="AF202" s="164">
        <f>IFERROR(_xlfn.XLOOKUP($D202,'Modelling New'!$D:$D,'Modelling New'!W:W),"")</f>
        <v>0.16238339290791545</v>
      </c>
      <c r="AG202" s="164">
        <f>IFERROR(_xlfn.XLOOKUP($D202,'Modelling New'!$D:$D,'Modelling New'!AD:AD),"")</f>
        <v>0.995</v>
      </c>
      <c r="AH202" s="164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64"/>
      <c r="AO202" s="164"/>
      <c r="AP202" s="164"/>
      <c r="AQ202" s="164"/>
      <c r="AR202" s="38">
        <f>IFERROR(_xlfn.XLOOKUP($D202,'Modelling New'!$D:$D,'Modelling New'!$N:$N),"")</f>
        <v>10.507</v>
      </c>
      <c r="AS202" s="38"/>
      <c r="AT202" s="38" t="str">
        <f>IFERROR(_xlfn.XLOOKUP(Table13[[#This Row],[Date]],'Raw Data'!$G:$G,'Raw Data'!$AJ:$AJ),"")</f>
        <v/>
      </c>
      <c r="AU202" s="38">
        <f>IFERROR(_xlfn.XLOOKUP(Table13[[#This Row],[Month Year]],'Modelling New'!$D:$D,'Modelling New'!$AN:$AN),"")</f>
        <v>10</v>
      </c>
      <c r="AV202" s="38">
        <f>SUMIF('Curtailment records'!$C:$C,Table13[[#This Row],[Date]],'Curtailment records'!$R:$R)/1000</f>
        <v>0</v>
      </c>
    </row>
    <row r="203" spans="1:48">
      <c r="A203" s="66">
        <f t="shared" si="20"/>
        <v>45946</v>
      </c>
      <c r="B203" s="38">
        <f>YEAR(Table13[[#This Row],[Date]])+IF(MONTH(Table13[[#This Row],[Date]])&gt;=4,1,0)</f>
        <v>2026</v>
      </c>
      <c r="C203" s="17">
        <f>YEAR(Table13[[#This Row],[Date]])</f>
        <v>2025</v>
      </c>
      <c r="D203" s="37">
        <f>Table13[[#This Row],[Date]]-DAY(Table13[[#This Row],[Date]])+1</f>
        <v>45931</v>
      </c>
      <c r="E203" s="17">
        <f t="shared" si="21"/>
        <v>31</v>
      </c>
      <c r="F203" s="135" t="str" cm="1">
        <f t="array" ref="F203">IFERROR(_xlfn.XLOOKUP(Table13[[#This Row],[Date]],Raw_Data[[#All],[Date]],Raw_Data[[#All],[Operating Hours]]),"")</f>
        <v/>
      </c>
      <c r="G203" s="136" t="str">
        <f>IFERROR(_xlfn.XLOOKUP($A203,'Raw Data'!$G:$G,'Raw Data'!S:S)/1000,"")</f>
        <v/>
      </c>
      <c r="H203" s="136"/>
      <c r="I203" s="136" t="str">
        <f>IFERROR(_xlfn.XLOOKUP($A203,'Raw Data'!$G:$G,'Raw Data'!AF:AF)/1000,"")</f>
        <v/>
      </c>
      <c r="J203" s="136"/>
      <c r="K203" s="137" t="str">
        <f>IFERROR(_xlfn.XLOOKUP($A203,'Raw Data'!$G:$G,'Raw Data'!W:W),"")</f>
        <v/>
      </c>
      <c r="L203" s="136" t="str">
        <f>IFERROR(_xlfn.XLOOKUP($A203,'Raw Data'!$G:$G,'Raw Data'!X:X),"")</f>
        <v/>
      </c>
      <c r="M203" s="136" t="str">
        <f>IFERROR(_xlfn.XLOOKUP($A203,'Raw Data'!$G:$G,'Raw Data'!Y:Y),"")</f>
        <v/>
      </c>
      <c r="N203" s="136" t="str">
        <f>IFERROR(_xlfn.XLOOKUP($A203,'Raw Data'!$G:$G,'Raw Data'!Z:Z),"")</f>
        <v/>
      </c>
      <c r="O203" s="176" t="str">
        <f>IFERROR(1-SUMIF('Plant BD'!$B:$B,$A203,'Plant BD'!$AM:$AM)/($AA203+SUMIF('Plant BD'!$B:$B,$A203,'Plant BD'!$AM:$AM)),"")</f>
        <v/>
      </c>
      <c r="P203" s="176"/>
      <c r="Q203" s="177"/>
      <c r="R203" s="176" t="str">
        <f>IFERROR(1-SUMIF('Grid BD'!$B:$B,$A203,'Grid BD'!$AE:$AE)/($AA203+SUMIF('Grid BD'!$B:$B,$A203,'Grid BD'!$AE:$AE)),"")</f>
        <v/>
      </c>
      <c r="S203" s="17"/>
      <c r="T203" s="177" t="str">
        <f>IFERROR(1-SUMIF(Tracker_BD!H:H,$A203,Tracker_BD!AI:AI)/$F203,"")</f>
        <v/>
      </c>
      <c r="U203" s="178" t="str">
        <f t="shared" si="17"/>
        <v/>
      </c>
      <c r="V203" s="17"/>
      <c r="W203" s="164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38" t="str">
        <f>IFERROR(_xlfn.XLOOKUP($A203,'Raw Data'!$G:$G,'Raw Data'!AD:AD),"")</f>
        <v/>
      </c>
      <c r="AA203" s="38" t="str">
        <f>IFERROR(_xlfn.XLOOKUP($A203,'Raw Data'!$G:$G,'Raw Data'!AE:AE)*(1+(_xlfn.XLOOKUP(Table13[[#This Row],[Month Year]],JMR!$A:$A,JMR!$J:$J))),"")</f>
        <v/>
      </c>
      <c r="AB203" s="17">
        <f>_xlfn.XLOOKUP($D203,'Modelling New'!D:D,'Modelling New'!N:N)</f>
        <v>10.507</v>
      </c>
      <c r="AC203" s="24">
        <f>IFERROR(_xlfn.XLOOKUP($D203,'Modelling New'!$D:$D,'Modelling New'!P:P),"")</f>
        <v>5.4651178025806448</v>
      </c>
      <c r="AD203" s="38">
        <f>IFERROR(_xlfn.XLOOKUP($D203,'Modelling New'!$D:$D,'Modelling New'!T:T)*1000,"")</f>
        <v>40947.895422803231</v>
      </c>
      <c r="AE203" s="164">
        <f t="shared" si="19"/>
        <v>0.71310474367994436</v>
      </c>
      <c r="AF203" s="164">
        <f>IFERROR(_xlfn.XLOOKUP($D203,'Modelling New'!$D:$D,'Modelling New'!W:W),"")</f>
        <v>0.16238339290791545</v>
      </c>
      <c r="AG203" s="164">
        <f>IFERROR(_xlfn.XLOOKUP($D203,'Modelling New'!$D:$D,'Modelling New'!AD:AD),"")</f>
        <v>0.995</v>
      </c>
      <c r="AH203" s="164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64"/>
      <c r="AO203" s="164"/>
      <c r="AP203" s="164"/>
      <c r="AQ203" s="164"/>
      <c r="AR203" s="38">
        <f>IFERROR(_xlfn.XLOOKUP($D203,'Modelling New'!$D:$D,'Modelling New'!$N:$N),"")</f>
        <v>10.507</v>
      </c>
      <c r="AS203" s="38"/>
      <c r="AT203" s="38" t="str">
        <f>IFERROR(_xlfn.XLOOKUP(Table13[[#This Row],[Date]],'Raw Data'!$G:$G,'Raw Data'!$AJ:$AJ),"")</f>
        <v/>
      </c>
      <c r="AU203" s="38">
        <f>IFERROR(_xlfn.XLOOKUP(Table13[[#This Row],[Month Year]],'Modelling New'!$D:$D,'Modelling New'!$AN:$AN),"")</f>
        <v>10</v>
      </c>
      <c r="AV203" s="38">
        <f>SUMIF('Curtailment records'!$C:$C,Table13[[#This Row],[Date]],'Curtailment records'!$R:$R)/1000</f>
        <v>0</v>
      </c>
    </row>
    <row r="204" spans="1:48">
      <c r="A204" s="66">
        <f t="shared" si="20"/>
        <v>45947</v>
      </c>
      <c r="B204" s="38">
        <f>YEAR(Table13[[#This Row],[Date]])+IF(MONTH(Table13[[#This Row],[Date]])&gt;=4,1,0)</f>
        <v>2026</v>
      </c>
      <c r="C204" s="17">
        <f>YEAR(Table13[[#This Row],[Date]])</f>
        <v>2025</v>
      </c>
      <c r="D204" s="37">
        <f>Table13[[#This Row],[Date]]-DAY(Table13[[#This Row],[Date]])+1</f>
        <v>45931</v>
      </c>
      <c r="E204" s="17">
        <f t="shared" si="21"/>
        <v>31</v>
      </c>
      <c r="F204" s="135" t="str" cm="1">
        <f t="array" ref="F204">IFERROR(_xlfn.XLOOKUP(Table13[[#This Row],[Date]],Raw_Data[[#All],[Date]],Raw_Data[[#All],[Operating Hours]]),"")</f>
        <v/>
      </c>
      <c r="G204" s="24" t="str">
        <f>IFERROR(_xlfn.XLOOKUP($A204,'Raw Data'!$G:$G,'Raw Data'!S:S)/1000,"")</f>
        <v/>
      </c>
      <c r="H204" s="24"/>
      <c r="I204" s="24" t="str">
        <f>IFERROR(_xlfn.XLOOKUP($A204,'Raw Data'!$G:$G,'Raw Data'!AF:AF)/1000,"")</f>
        <v/>
      </c>
      <c r="J204" s="24"/>
      <c r="K204" s="137" t="str">
        <f>IFERROR(_xlfn.XLOOKUP($A204,'Raw Data'!$G:$G,'Raw Data'!W:W),"")</f>
        <v/>
      </c>
      <c r="L204" s="136" t="str">
        <f>IFERROR(_xlfn.XLOOKUP($A204,'Raw Data'!$G:$G,'Raw Data'!X:X),"")</f>
        <v/>
      </c>
      <c r="M204" s="136" t="str">
        <f>IFERROR(_xlfn.XLOOKUP($A204,'Raw Data'!$G:$G,'Raw Data'!Y:Y),"")</f>
        <v/>
      </c>
      <c r="N204" s="136" t="str">
        <f>IFERROR(_xlfn.XLOOKUP($A204,'Raw Data'!$G:$G,'Raw Data'!Z:Z),"")</f>
        <v/>
      </c>
      <c r="O204" s="176" t="str">
        <f>IFERROR(1-SUMIF('Plant BD'!$B:$B,$A204,'Plant BD'!$AM:$AM)/($AA204+SUMIF('Plant BD'!$B:$B,$A204,'Plant BD'!$AM:$AM)),"")</f>
        <v/>
      </c>
      <c r="P204" s="176"/>
      <c r="Q204" s="177"/>
      <c r="R204" s="179" t="str">
        <f>IFERROR(1-SUMIF('Grid BD'!$B:$B,$A204,'Grid BD'!$AE:$AE)/($AA204+SUMIF('Grid BD'!$B:$B,$A204,'Grid BD'!$AE:$AE)),"")</f>
        <v/>
      </c>
      <c r="S204" s="17"/>
      <c r="T204" s="177" t="str">
        <f>IFERROR(1-SUMIF(Tracker_BD!H:H,$A204,Tracker_BD!AI:AI)/$F204,"")</f>
        <v/>
      </c>
      <c r="U204" s="178" t="str">
        <f t="shared" si="17"/>
        <v/>
      </c>
      <c r="V204" s="17"/>
      <c r="W204" s="164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38" t="str">
        <f>IFERROR(_xlfn.XLOOKUP($A204,'Raw Data'!$G:$G,'Raw Data'!AD:AD),"")</f>
        <v/>
      </c>
      <c r="AA204" s="38" t="str">
        <f>IFERROR(_xlfn.XLOOKUP($A204,'Raw Data'!$G:$G,'Raw Data'!AE:AE)*(1+(_xlfn.XLOOKUP(Table13[[#This Row],[Month Year]],JMR!$A:$A,JMR!$J:$J))),"")</f>
        <v/>
      </c>
      <c r="AB204" s="17">
        <f>_xlfn.XLOOKUP($D204,'Modelling New'!D:D,'Modelling New'!N:N)</f>
        <v>10.507</v>
      </c>
      <c r="AC204" s="24">
        <f>IFERROR(_xlfn.XLOOKUP($D204,'Modelling New'!$D:$D,'Modelling New'!P:P),"")</f>
        <v>5.4651178025806448</v>
      </c>
      <c r="AD204" s="38">
        <f>IFERROR(_xlfn.XLOOKUP($D204,'Modelling New'!$D:$D,'Modelling New'!T:T)*1000,"")</f>
        <v>40947.895422803231</v>
      </c>
      <c r="AE204" s="164">
        <f t="shared" si="19"/>
        <v>0.71310474367994436</v>
      </c>
      <c r="AF204" s="164">
        <f>IFERROR(_xlfn.XLOOKUP($D204,'Modelling New'!$D:$D,'Modelling New'!W:W),"")</f>
        <v>0.16238339290791545</v>
      </c>
      <c r="AG204" s="164">
        <f>IFERROR(_xlfn.XLOOKUP($D204,'Modelling New'!$D:$D,'Modelling New'!AD:AD),"")</f>
        <v>0.995</v>
      </c>
      <c r="AH204" s="164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64"/>
      <c r="AO204" s="164"/>
      <c r="AP204" s="164"/>
      <c r="AQ204" s="164"/>
      <c r="AR204" s="38">
        <f>IFERROR(_xlfn.XLOOKUP($D204,'Modelling New'!$D:$D,'Modelling New'!$N:$N),"")</f>
        <v>10.507</v>
      </c>
      <c r="AS204" s="38"/>
      <c r="AT204" s="38" t="str">
        <f>IFERROR(_xlfn.XLOOKUP(Table13[[#This Row],[Date]],'Raw Data'!$G:$G,'Raw Data'!$AJ:$AJ),"")</f>
        <v/>
      </c>
      <c r="AU204" s="38">
        <f>IFERROR(_xlfn.XLOOKUP(Table13[[#This Row],[Month Year]],'Modelling New'!$D:$D,'Modelling New'!$AN:$AN),"")</f>
        <v>10</v>
      </c>
      <c r="AV204" s="38">
        <f>SUMIF('Curtailment records'!$C:$C,Table13[[#This Row],[Date]],'Curtailment records'!$R:$R)/1000</f>
        <v>0</v>
      </c>
    </row>
    <row r="205" spans="1:48">
      <c r="A205" s="66">
        <f t="shared" si="20"/>
        <v>45948</v>
      </c>
      <c r="B205" s="38">
        <f>YEAR(Table13[[#This Row],[Date]])+IF(MONTH(Table13[[#This Row],[Date]])&gt;=4,1,0)</f>
        <v>2026</v>
      </c>
      <c r="C205" s="17">
        <f>YEAR(Table13[[#This Row],[Date]])</f>
        <v>2025</v>
      </c>
      <c r="D205" s="37">
        <f>Table13[[#This Row],[Date]]-DAY(Table13[[#This Row],[Date]])+1</f>
        <v>45931</v>
      </c>
      <c r="E205" s="17">
        <f t="shared" si="21"/>
        <v>31</v>
      </c>
      <c r="F205" s="135" t="str" cm="1">
        <f t="array" ref="F205">IFERROR(_xlfn.XLOOKUP(Table13[[#This Row],[Date]],Raw_Data[[#All],[Date]],Raw_Data[[#All],[Operating Hours]]),"")</f>
        <v/>
      </c>
      <c r="G205" s="136" t="str">
        <f>IFERROR(_xlfn.XLOOKUP($A205,'Raw Data'!$G:$G,'Raw Data'!S:S)/1000,"")</f>
        <v/>
      </c>
      <c r="H205" s="136"/>
      <c r="I205" s="136" t="str">
        <f>IFERROR(_xlfn.XLOOKUP($A205,'Raw Data'!$G:$G,'Raw Data'!AF:AF)/1000,"")</f>
        <v/>
      </c>
      <c r="J205" s="136"/>
      <c r="K205" s="137" t="str">
        <f>IFERROR(_xlfn.XLOOKUP($A205,'Raw Data'!$G:$G,'Raw Data'!W:W),"")</f>
        <v/>
      </c>
      <c r="L205" s="136" t="str">
        <f>IFERROR(_xlfn.XLOOKUP($A205,'Raw Data'!$G:$G,'Raw Data'!X:X),"")</f>
        <v/>
      </c>
      <c r="M205" s="136" t="str">
        <f>IFERROR(_xlfn.XLOOKUP($A205,'Raw Data'!$G:$G,'Raw Data'!Y:Y),"")</f>
        <v/>
      </c>
      <c r="N205" s="136" t="str">
        <f>IFERROR(_xlfn.XLOOKUP($A205,'Raw Data'!$G:$G,'Raw Data'!Z:Z),"")</f>
        <v/>
      </c>
      <c r="O205" s="176" t="str">
        <f>IFERROR(1-SUMIF('Plant BD'!$B:$B,$A205,'Plant BD'!$AM:$AM)/($AA205+SUMIF('Plant BD'!$B:$B,$A205,'Plant BD'!$AM:$AM)),"")</f>
        <v/>
      </c>
      <c r="P205" s="176"/>
      <c r="Q205" s="177"/>
      <c r="R205" s="176" t="str">
        <f>IFERROR(1-SUMIF('Grid BD'!$B:$B,$A205,'Grid BD'!$AE:$AE)/($AA205+SUMIF('Grid BD'!$B:$B,$A205,'Grid BD'!$AE:$AE)),"")</f>
        <v/>
      </c>
      <c r="S205" s="17"/>
      <c r="T205" s="177" t="str">
        <f>IFERROR(1-SUMIF(Tracker_BD!H:H,$A205,Tracker_BD!AI:AI)/$F205,"")</f>
        <v/>
      </c>
      <c r="U205" s="178" t="str">
        <f t="shared" si="17"/>
        <v/>
      </c>
      <c r="V205" s="17"/>
      <c r="W205" s="164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38" t="str">
        <f>IFERROR(_xlfn.XLOOKUP($A205,'Raw Data'!$G:$G,'Raw Data'!AD:AD),"")</f>
        <v/>
      </c>
      <c r="AA205" s="38" t="str">
        <f>IFERROR(_xlfn.XLOOKUP($A205,'Raw Data'!$G:$G,'Raw Data'!AE:AE)*(1+(_xlfn.XLOOKUP(Table13[[#This Row],[Month Year]],JMR!$A:$A,JMR!$J:$J))),"")</f>
        <v/>
      </c>
      <c r="AB205" s="17">
        <f>_xlfn.XLOOKUP($D205,'Modelling New'!D:D,'Modelling New'!N:N)</f>
        <v>10.507</v>
      </c>
      <c r="AC205" s="24">
        <f>IFERROR(_xlfn.XLOOKUP($D205,'Modelling New'!$D:$D,'Modelling New'!P:P),"")</f>
        <v>5.4651178025806448</v>
      </c>
      <c r="AD205" s="38">
        <f>IFERROR(_xlfn.XLOOKUP($D205,'Modelling New'!$D:$D,'Modelling New'!T:T)*1000,"")</f>
        <v>40947.895422803231</v>
      </c>
      <c r="AE205" s="164">
        <f t="shared" si="19"/>
        <v>0.71310474367994436</v>
      </c>
      <c r="AF205" s="164">
        <f>IFERROR(_xlfn.XLOOKUP($D205,'Modelling New'!$D:$D,'Modelling New'!W:W),"")</f>
        <v>0.16238339290791545</v>
      </c>
      <c r="AG205" s="164">
        <f>IFERROR(_xlfn.XLOOKUP($D205,'Modelling New'!$D:$D,'Modelling New'!AD:AD),"")</f>
        <v>0.995</v>
      </c>
      <c r="AH205" s="164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64"/>
      <c r="AO205" s="164"/>
      <c r="AP205" s="164"/>
      <c r="AQ205" s="164"/>
      <c r="AR205" s="38">
        <f>IFERROR(_xlfn.XLOOKUP($D205,'Modelling New'!$D:$D,'Modelling New'!$N:$N),"")</f>
        <v>10.507</v>
      </c>
      <c r="AS205" s="38"/>
      <c r="AT205" s="38" t="str">
        <f>IFERROR(_xlfn.XLOOKUP(Table13[[#This Row],[Date]],'Raw Data'!$G:$G,'Raw Data'!$AJ:$AJ),"")</f>
        <v/>
      </c>
      <c r="AU205" s="38">
        <f>IFERROR(_xlfn.XLOOKUP(Table13[[#This Row],[Month Year]],'Modelling New'!$D:$D,'Modelling New'!$AN:$AN),"")</f>
        <v>10</v>
      </c>
      <c r="AV205" s="38">
        <f>SUMIF('Curtailment records'!$C:$C,Table13[[#This Row],[Date]],'Curtailment records'!$R:$R)/1000</f>
        <v>0</v>
      </c>
    </row>
    <row r="206" spans="1:48">
      <c r="A206" s="66">
        <f t="shared" si="20"/>
        <v>45949</v>
      </c>
      <c r="B206" s="38">
        <f>YEAR(Table13[[#This Row],[Date]])+IF(MONTH(Table13[[#This Row],[Date]])&gt;=4,1,0)</f>
        <v>2026</v>
      </c>
      <c r="C206" s="17">
        <f>YEAR(Table13[[#This Row],[Date]])</f>
        <v>2025</v>
      </c>
      <c r="D206" s="37">
        <f>Table13[[#This Row],[Date]]-DAY(Table13[[#This Row],[Date]])+1</f>
        <v>45931</v>
      </c>
      <c r="E206" s="17">
        <f t="shared" si="21"/>
        <v>31</v>
      </c>
      <c r="F206" s="135" t="str" cm="1">
        <f t="array" ref="F206">IFERROR(_xlfn.XLOOKUP(Table13[[#This Row],[Date]],Raw_Data[[#All],[Date]],Raw_Data[[#All],[Operating Hours]]),"")</f>
        <v/>
      </c>
      <c r="G206" s="24" t="str">
        <f>IFERROR(_xlfn.XLOOKUP($A206,'Raw Data'!$G:$G,'Raw Data'!S:S)/1000,"")</f>
        <v/>
      </c>
      <c r="H206" s="24"/>
      <c r="I206" s="24" t="str">
        <f>IFERROR(_xlfn.XLOOKUP($A206,'Raw Data'!$G:$G,'Raw Data'!AF:AF)/1000,"")</f>
        <v/>
      </c>
      <c r="J206" s="24"/>
      <c r="K206" s="137" t="str">
        <f>IFERROR(_xlfn.XLOOKUP($A206,'Raw Data'!$G:$G,'Raw Data'!W:W),"")</f>
        <v/>
      </c>
      <c r="L206" s="136" t="str">
        <f>IFERROR(_xlfn.XLOOKUP($A206,'Raw Data'!$G:$G,'Raw Data'!X:X),"")</f>
        <v/>
      </c>
      <c r="M206" s="136" t="str">
        <f>IFERROR(_xlfn.XLOOKUP($A206,'Raw Data'!$G:$G,'Raw Data'!Y:Y),"")</f>
        <v/>
      </c>
      <c r="N206" s="136" t="str">
        <f>IFERROR(_xlfn.XLOOKUP($A206,'Raw Data'!$G:$G,'Raw Data'!Z:Z),"")</f>
        <v/>
      </c>
      <c r="O206" s="176" t="str">
        <f>IFERROR(1-SUMIF('Plant BD'!$B:$B,$A206,'Plant BD'!$AM:$AM)/($AA206+SUMIF('Plant BD'!$B:$B,$A206,'Plant BD'!$AM:$AM)),"")</f>
        <v/>
      </c>
      <c r="P206" s="176"/>
      <c r="Q206" s="177"/>
      <c r="R206" s="179" t="str">
        <f>IFERROR(1-SUMIF('Grid BD'!$B:$B,$A206,'Grid BD'!$AE:$AE)/($AA206+SUMIF('Grid BD'!$B:$B,$A206,'Grid BD'!$AE:$AE)),"")</f>
        <v/>
      </c>
      <c r="S206" s="17"/>
      <c r="T206" s="177" t="str">
        <f>IFERROR(1-SUMIF(Tracker_BD!H:H,$A206,Tracker_BD!AI:AI)/$F206,"")</f>
        <v/>
      </c>
      <c r="U206" s="178" t="str">
        <f t="shared" si="17"/>
        <v/>
      </c>
      <c r="V206" s="17"/>
      <c r="W206" s="164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38" t="str">
        <f>IFERROR(_xlfn.XLOOKUP($A206,'Raw Data'!$G:$G,'Raw Data'!AD:AD),"")</f>
        <v/>
      </c>
      <c r="AA206" s="38" t="str">
        <f>IFERROR(_xlfn.XLOOKUP($A206,'Raw Data'!$G:$G,'Raw Data'!AE:AE)*(1+(_xlfn.XLOOKUP(Table13[[#This Row],[Month Year]],JMR!$A:$A,JMR!$J:$J))),"")</f>
        <v/>
      </c>
      <c r="AB206" s="17">
        <f>_xlfn.XLOOKUP($D206,'Modelling New'!D:D,'Modelling New'!N:N)</f>
        <v>10.507</v>
      </c>
      <c r="AC206" s="24">
        <f>IFERROR(_xlfn.XLOOKUP($D206,'Modelling New'!$D:$D,'Modelling New'!P:P),"")</f>
        <v>5.4651178025806448</v>
      </c>
      <c r="AD206" s="38">
        <f>IFERROR(_xlfn.XLOOKUP($D206,'Modelling New'!$D:$D,'Modelling New'!T:T)*1000,"")</f>
        <v>40947.895422803231</v>
      </c>
      <c r="AE206" s="164">
        <f t="shared" si="19"/>
        <v>0.71310474367994436</v>
      </c>
      <c r="AF206" s="164">
        <f>IFERROR(_xlfn.XLOOKUP($D206,'Modelling New'!$D:$D,'Modelling New'!W:W),"")</f>
        <v>0.16238339290791545</v>
      </c>
      <c r="AG206" s="164">
        <f>IFERROR(_xlfn.XLOOKUP($D206,'Modelling New'!$D:$D,'Modelling New'!AD:AD),"")</f>
        <v>0.995</v>
      </c>
      <c r="AH206" s="164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64"/>
      <c r="AO206" s="164"/>
      <c r="AP206" s="164"/>
      <c r="AQ206" s="164"/>
      <c r="AR206" s="38">
        <f>IFERROR(_xlfn.XLOOKUP($D206,'Modelling New'!$D:$D,'Modelling New'!$N:$N),"")</f>
        <v>10.507</v>
      </c>
      <c r="AS206" s="38"/>
      <c r="AT206" s="38" t="str">
        <f>IFERROR(_xlfn.XLOOKUP(Table13[[#This Row],[Date]],'Raw Data'!$G:$G,'Raw Data'!$AJ:$AJ),"")</f>
        <v/>
      </c>
      <c r="AU206" s="38">
        <f>IFERROR(_xlfn.XLOOKUP(Table13[[#This Row],[Month Year]],'Modelling New'!$D:$D,'Modelling New'!$AN:$AN),"")</f>
        <v>10</v>
      </c>
      <c r="AV206" s="38">
        <f>SUMIF('Curtailment records'!$C:$C,Table13[[#This Row],[Date]],'Curtailment records'!$R:$R)/1000</f>
        <v>0</v>
      </c>
    </row>
    <row r="207" spans="1:48">
      <c r="A207" s="66">
        <f t="shared" si="20"/>
        <v>45950</v>
      </c>
      <c r="B207" s="38">
        <f>YEAR(Table13[[#This Row],[Date]])+IF(MONTH(Table13[[#This Row],[Date]])&gt;=4,1,0)</f>
        <v>2026</v>
      </c>
      <c r="C207" s="17">
        <f>YEAR(Table13[[#This Row],[Date]])</f>
        <v>2025</v>
      </c>
      <c r="D207" s="37">
        <f>Table13[[#This Row],[Date]]-DAY(Table13[[#This Row],[Date]])+1</f>
        <v>45931</v>
      </c>
      <c r="E207" s="17">
        <f t="shared" si="21"/>
        <v>31</v>
      </c>
      <c r="F207" s="135" t="str" cm="1">
        <f t="array" ref="F207">IFERROR(_xlfn.XLOOKUP(Table13[[#This Row],[Date]],Raw_Data[[#All],[Date]],Raw_Data[[#All],[Operating Hours]]),"")</f>
        <v/>
      </c>
      <c r="G207" s="136" t="str">
        <f>IFERROR(_xlfn.XLOOKUP($A207,'Raw Data'!$G:$G,'Raw Data'!S:S)/1000,"")</f>
        <v/>
      </c>
      <c r="H207" s="136"/>
      <c r="I207" s="136" t="str">
        <f>IFERROR(_xlfn.XLOOKUP($A207,'Raw Data'!$G:$G,'Raw Data'!AF:AF)/1000,"")</f>
        <v/>
      </c>
      <c r="J207" s="136"/>
      <c r="K207" s="137" t="str">
        <f>IFERROR(_xlfn.XLOOKUP($A207,'Raw Data'!$G:$G,'Raw Data'!W:W),"")</f>
        <v/>
      </c>
      <c r="L207" s="136" t="str">
        <f>IFERROR(_xlfn.XLOOKUP($A207,'Raw Data'!$G:$G,'Raw Data'!X:X),"")</f>
        <v/>
      </c>
      <c r="M207" s="136" t="str">
        <f>IFERROR(_xlfn.XLOOKUP($A207,'Raw Data'!$G:$G,'Raw Data'!Y:Y),"")</f>
        <v/>
      </c>
      <c r="N207" s="136" t="str">
        <f>IFERROR(_xlfn.XLOOKUP($A207,'Raw Data'!$G:$G,'Raw Data'!Z:Z),"")</f>
        <v/>
      </c>
      <c r="O207" s="176" t="str">
        <f>IFERROR(1-SUMIF('Plant BD'!$B:$B,$A207,'Plant BD'!$AM:$AM)/($AA207+SUMIF('Plant BD'!$B:$B,$A207,'Plant BD'!$AM:$AM)),"")</f>
        <v/>
      </c>
      <c r="P207" s="176"/>
      <c r="Q207" s="177"/>
      <c r="R207" s="176" t="str">
        <f>IFERROR(1-SUMIF('Grid BD'!$B:$B,$A207,'Grid BD'!$AE:$AE)/($AA207+SUMIF('Grid BD'!$B:$B,$A207,'Grid BD'!$AE:$AE)),"")</f>
        <v/>
      </c>
      <c r="S207" s="17"/>
      <c r="T207" s="177" t="str">
        <f>IFERROR(1-SUMIF(Tracker_BD!H:H,$A207,Tracker_BD!AI:AI)/$F207,"")</f>
        <v/>
      </c>
      <c r="U207" s="178" t="str">
        <f t="shared" si="17"/>
        <v/>
      </c>
      <c r="V207" s="17"/>
      <c r="W207" s="164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38" t="str">
        <f>IFERROR(_xlfn.XLOOKUP($A207,'Raw Data'!$G:$G,'Raw Data'!AD:AD),"")</f>
        <v/>
      </c>
      <c r="AA207" s="38" t="str">
        <f>IFERROR(_xlfn.XLOOKUP($A207,'Raw Data'!$G:$G,'Raw Data'!AE:AE)*(1+(_xlfn.XLOOKUP(Table13[[#This Row],[Month Year]],JMR!$A:$A,JMR!$J:$J))),"")</f>
        <v/>
      </c>
      <c r="AB207" s="17">
        <f>_xlfn.XLOOKUP($D207,'Modelling New'!D:D,'Modelling New'!N:N)</f>
        <v>10.507</v>
      </c>
      <c r="AC207" s="24">
        <f>IFERROR(_xlfn.XLOOKUP($D207,'Modelling New'!$D:$D,'Modelling New'!P:P),"")</f>
        <v>5.4651178025806448</v>
      </c>
      <c r="AD207" s="38">
        <f>IFERROR(_xlfn.XLOOKUP($D207,'Modelling New'!$D:$D,'Modelling New'!T:T)*1000,"")</f>
        <v>40947.895422803231</v>
      </c>
      <c r="AE207" s="164">
        <f t="shared" si="19"/>
        <v>0.71310474367994436</v>
      </c>
      <c r="AF207" s="164">
        <f>IFERROR(_xlfn.XLOOKUP($D207,'Modelling New'!$D:$D,'Modelling New'!W:W),"")</f>
        <v>0.16238339290791545</v>
      </c>
      <c r="AG207" s="164">
        <f>IFERROR(_xlfn.XLOOKUP($D207,'Modelling New'!$D:$D,'Modelling New'!AD:AD),"")</f>
        <v>0.995</v>
      </c>
      <c r="AH207" s="164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64"/>
      <c r="AO207" s="164"/>
      <c r="AP207" s="164"/>
      <c r="AQ207" s="164"/>
      <c r="AR207" s="38">
        <f>IFERROR(_xlfn.XLOOKUP($D207,'Modelling New'!$D:$D,'Modelling New'!$N:$N),"")</f>
        <v>10.507</v>
      </c>
      <c r="AS207" s="38"/>
      <c r="AT207" s="38" t="str">
        <f>IFERROR(_xlfn.XLOOKUP(Table13[[#This Row],[Date]],'Raw Data'!$G:$G,'Raw Data'!$AJ:$AJ),"")</f>
        <v/>
      </c>
      <c r="AU207" s="38">
        <f>IFERROR(_xlfn.XLOOKUP(Table13[[#This Row],[Month Year]],'Modelling New'!$D:$D,'Modelling New'!$AN:$AN),"")</f>
        <v>10</v>
      </c>
      <c r="AV207" s="38">
        <f>SUMIF('Curtailment records'!$C:$C,Table13[[#This Row],[Date]],'Curtailment records'!$R:$R)/1000</f>
        <v>0</v>
      </c>
    </row>
    <row r="208" spans="1:48">
      <c r="A208" s="66">
        <f t="shared" si="20"/>
        <v>45951</v>
      </c>
      <c r="B208" s="38">
        <f>YEAR(Table13[[#This Row],[Date]])+IF(MONTH(Table13[[#This Row],[Date]])&gt;=4,1,0)</f>
        <v>2026</v>
      </c>
      <c r="C208" s="17">
        <f>YEAR(Table13[[#This Row],[Date]])</f>
        <v>2025</v>
      </c>
      <c r="D208" s="37">
        <f>Table13[[#This Row],[Date]]-DAY(Table13[[#This Row],[Date]])+1</f>
        <v>45931</v>
      </c>
      <c r="E208" s="17">
        <f t="shared" si="21"/>
        <v>31</v>
      </c>
      <c r="F208" s="135" t="str" cm="1">
        <f t="array" ref="F208">IFERROR(_xlfn.XLOOKUP(Table13[[#This Row],[Date]],Raw_Data[[#All],[Date]],Raw_Data[[#All],[Operating Hours]]),"")</f>
        <v/>
      </c>
      <c r="G208" s="24" t="str">
        <f>IFERROR(_xlfn.XLOOKUP($A208,'Raw Data'!$G:$G,'Raw Data'!S:S)/1000,"")</f>
        <v/>
      </c>
      <c r="H208" s="24"/>
      <c r="I208" s="24" t="str">
        <f>IFERROR(_xlfn.XLOOKUP($A208,'Raw Data'!$G:$G,'Raw Data'!AF:AF)/1000,"")</f>
        <v/>
      </c>
      <c r="J208" s="24"/>
      <c r="K208" s="137" t="str">
        <f>IFERROR(_xlfn.XLOOKUP($A208,'Raw Data'!$G:$G,'Raw Data'!W:W),"")</f>
        <v/>
      </c>
      <c r="L208" s="136" t="str">
        <f>IFERROR(_xlfn.XLOOKUP($A208,'Raw Data'!$G:$G,'Raw Data'!X:X),"")</f>
        <v/>
      </c>
      <c r="M208" s="136" t="str">
        <f>IFERROR(_xlfn.XLOOKUP($A208,'Raw Data'!$G:$G,'Raw Data'!Y:Y),"")</f>
        <v/>
      </c>
      <c r="N208" s="136" t="str">
        <f>IFERROR(_xlfn.XLOOKUP($A208,'Raw Data'!$G:$G,'Raw Data'!Z:Z),"")</f>
        <v/>
      </c>
      <c r="O208" s="176" t="str">
        <f>IFERROR(1-SUMIF('Plant BD'!$B:$B,$A208,'Plant BD'!$AM:$AM)/($AA208+SUMIF('Plant BD'!$B:$B,$A208,'Plant BD'!$AM:$AM)),"")</f>
        <v/>
      </c>
      <c r="P208" s="176"/>
      <c r="Q208" s="177"/>
      <c r="R208" s="179" t="str">
        <f>IFERROR(1-SUMIF('Grid BD'!$B:$B,$A208,'Grid BD'!$AE:$AE)/($AA208+SUMIF('Grid BD'!$B:$B,$A208,'Grid BD'!$AE:$AE)),"")</f>
        <v/>
      </c>
      <c r="S208" s="17"/>
      <c r="T208" s="177" t="str">
        <f>IFERROR(1-SUMIF(Tracker_BD!H:H,$A208,Tracker_BD!AI:AI)/$F208,"")</f>
        <v/>
      </c>
      <c r="U208" s="178" t="str">
        <f t="shared" si="17"/>
        <v/>
      </c>
      <c r="V208" s="17"/>
      <c r="W208" s="164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38" t="str">
        <f>IFERROR(_xlfn.XLOOKUP($A208,'Raw Data'!$G:$G,'Raw Data'!AD:AD),"")</f>
        <v/>
      </c>
      <c r="AA208" s="38" t="str">
        <f>IFERROR(_xlfn.XLOOKUP($A208,'Raw Data'!$G:$G,'Raw Data'!AE:AE)*(1+(_xlfn.XLOOKUP(Table13[[#This Row],[Month Year]],JMR!$A:$A,JMR!$J:$J))),"")</f>
        <v/>
      </c>
      <c r="AB208" s="17">
        <f>_xlfn.XLOOKUP($D208,'Modelling New'!D:D,'Modelling New'!N:N)</f>
        <v>10.507</v>
      </c>
      <c r="AC208" s="24">
        <f>IFERROR(_xlfn.XLOOKUP($D208,'Modelling New'!$D:$D,'Modelling New'!P:P),"")</f>
        <v>5.4651178025806448</v>
      </c>
      <c r="AD208" s="38">
        <f>IFERROR(_xlfn.XLOOKUP($D208,'Modelling New'!$D:$D,'Modelling New'!T:T)*1000,"")</f>
        <v>40947.895422803231</v>
      </c>
      <c r="AE208" s="164">
        <f t="shared" si="19"/>
        <v>0.71310474367994436</v>
      </c>
      <c r="AF208" s="164">
        <f>IFERROR(_xlfn.XLOOKUP($D208,'Modelling New'!$D:$D,'Modelling New'!W:W),"")</f>
        <v>0.16238339290791545</v>
      </c>
      <c r="AG208" s="164">
        <f>IFERROR(_xlfn.XLOOKUP($D208,'Modelling New'!$D:$D,'Modelling New'!AD:AD),"")</f>
        <v>0.995</v>
      </c>
      <c r="AH208" s="164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64"/>
      <c r="AO208" s="164"/>
      <c r="AP208" s="164"/>
      <c r="AQ208" s="164"/>
      <c r="AR208" s="38">
        <f>IFERROR(_xlfn.XLOOKUP($D208,'Modelling New'!$D:$D,'Modelling New'!$N:$N),"")</f>
        <v>10.507</v>
      </c>
      <c r="AS208" s="38"/>
      <c r="AT208" s="38" t="str">
        <f>IFERROR(_xlfn.XLOOKUP(Table13[[#This Row],[Date]],'Raw Data'!$G:$G,'Raw Data'!$AJ:$AJ),"")</f>
        <v/>
      </c>
      <c r="AU208" s="38">
        <f>IFERROR(_xlfn.XLOOKUP(Table13[[#This Row],[Month Year]],'Modelling New'!$D:$D,'Modelling New'!$AN:$AN),"")</f>
        <v>10</v>
      </c>
      <c r="AV208" s="38">
        <f>SUMIF('Curtailment records'!$C:$C,Table13[[#This Row],[Date]],'Curtailment records'!$R:$R)/1000</f>
        <v>0</v>
      </c>
    </row>
    <row r="209" spans="1:48">
      <c r="A209" s="66">
        <f t="shared" si="20"/>
        <v>45952</v>
      </c>
      <c r="B209" s="38">
        <f>YEAR(Table13[[#This Row],[Date]])+IF(MONTH(Table13[[#This Row],[Date]])&gt;=4,1,0)</f>
        <v>2026</v>
      </c>
      <c r="C209" s="17">
        <f>YEAR(Table13[[#This Row],[Date]])</f>
        <v>2025</v>
      </c>
      <c r="D209" s="37">
        <f>Table13[[#This Row],[Date]]-DAY(Table13[[#This Row],[Date]])+1</f>
        <v>45931</v>
      </c>
      <c r="E209" s="17">
        <f t="shared" si="21"/>
        <v>31</v>
      </c>
      <c r="F209" s="135" t="str" cm="1">
        <f t="array" ref="F209">IFERROR(_xlfn.XLOOKUP(Table13[[#This Row],[Date]],Raw_Data[[#All],[Date]],Raw_Data[[#All],[Operating Hours]]),"")</f>
        <v/>
      </c>
      <c r="G209" s="136" t="str">
        <f>IFERROR(_xlfn.XLOOKUP($A209,'Raw Data'!$G:$G,'Raw Data'!S:S)/1000,"")</f>
        <v/>
      </c>
      <c r="H209" s="136"/>
      <c r="I209" s="136" t="str">
        <f>IFERROR(_xlfn.XLOOKUP($A209,'Raw Data'!$G:$G,'Raw Data'!AF:AF)/1000,"")</f>
        <v/>
      </c>
      <c r="J209" s="136"/>
      <c r="K209" s="137" t="str">
        <f>IFERROR(_xlfn.XLOOKUP($A209,'Raw Data'!$G:$G,'Raw Data'!W:W),"")</f>
        <v/>
      </c>
      <c r="L209" s="136" t="str">
        <f>IFERROR(_xlfn.XLOOKUP($A209,'Raw Data'!$G:$G,'Raw Data'!X:X),"")</f>
        <v/>
      </c>
      <c r="M209" s="136" t="str">
        <f>IFERROR(_xlfn.XLOOKUP($A209,'Raw Data'!$G:$G,'Raw Data'!Y:Y),"")</f>
        <v/>
      </c>
      <c r="N209" s="136" t="str">
        <f>IFERROR(_xlfn.XLOOKUP($A209,'Raw Data'!$G:$G,'Raw Data'!Z:Z),"")</f>
        <v/>
      </c>
      <c r="O209" s="176" t="str">
        <f>IFERROR(1-SUMIF('Plant BD'!$B:$B,$A209,'Plant BD'!$AM:$AM)/($AA209+SUMIF('Plant BD'!$B:$B,$A209,'Plant BD'!$AM:$AM)),"")</f>
        <v/>
      </c>
      <c r="P209" s="176"/>
      <c r="Q209" s="177"/>
      <c r="R209" s="176" t="str">
        <f>IFERROR(1-SUMIF('Grid BD'!$B:$B,$A209,'Grid BD'!$AE:$AE)/($AA209+SUMIF('Grid BD'!$B:$B,$A209,'Grid BD'!$AE:$AE)),"")</f>
        <v/>
      </c>
      <c r="S209" s="17"/>
      <c r="T209" s="177" t="str">
        <f>IFERROR(1-SUMIF(Tracker_BD!H:H,$A209,Tracker_BD!AI:AI)/$F209,"")</f>
        <v/>
      </c>
      <c r="U209" s="178" t="str">
        <f t="shared" si="17"/>
        <v/>
      </c>
      <c r="V209" s="17"/>
      <c r="W209" s="164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38" t="str">
        <f>IFERROR(_xlfn.XLOOKUP($A209,'Raw Data'!$G:$G,'Raw Data'!AD:AD),"")</f>
        <v/>
      </c>
      <c r="AA209" s="38" t="str">
        <f>IFERROR(_xlfn.XLOOKUP($A209,'Raw Data'!$G:$G,'Raw Data'!AE:AE)*(1+(_xlfn.XLOOKUP(Table13[[#This Row],[Month Year]],JMR!$A:$A,JMR!$J:$J))),"")</f>
        <v/>
      </c>
      <c r="AB209" s="17">
        <f>_xlfn.XLOOKUP($D209,'Modelling New'!D:D,'Modelling New'!N:N)</f>
        <v>10.507</v>
      </c>
      <c r="AC209" s="24">
        <f>IFERROR(_xlfn.XLOOKUP($D209,'Modelling New'!$D:$D,'Modelling New'!P:P),"")</f>
        <v>5.4651178025806448</v>
      </c>
      <c r="AD209" s="38">
        <f>IFERROR(_xlfn.XLOOKUP($D209,'Modelling New'!$D:$D,'Modelling New'!T:T)*1000,"")</f>
        <v>40947.895422803231</v>
      </c>
      <c r="AE209" s="164">
        <f t="shared" si="19"/>
        <v>0.71310474367994436</v>
      </c>
      <c r="AF209" s="164">
        <f>IFERROR(_xlfn.XLOOKUP($D209,'Modelling New'!$D:$D,'Modelling New'!W:W),"")</f>
        <v>0.16238339290791545</v>
      </c>
      <c r="AG209" s="164">
        <f>IFERROR(_xlfn.XLOOKUP($D209,'Modelling New'!$D:$D,'Modelling New'!AD:AD),"")</f>
        <v>0.995</v>
      </c>
      <c r="AH209" s="164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64"/>
      <c r="AO209" s="164"/>
      <c r="AP209" s="164"/>
      <c r="AQ209" s="164"/>
      <c r="AR209" s="38">
        <f>IFERROR(_xlfn.XLOOKUP($D209,'Modelling New'!$D:$D,'Modelling New'!$N:$N),"")</f>
        <v>10.507</v>
      </c>
      <c r="AS209" s="38"/>
      <c r="AT209" s="38" t="str">
        <f>IFERROR(_xlfn.XLOOKUP(Table13[[#This Row],[Date]],'Raw Data'!$G:$G,'Raw Data'!$AJ:$AJ),"")</f>
        <v/>
      </c>
      <c r="AU209" s="38">
        <f>IFERROR(_xlfn.XLOOKUP(Table13[[#This Row],[Month Year]],'Modelling New'!$D:$D,'Modelling New'!$AN:$AN),"")</f>
        <v>10</v>
      </c>
      <c r="AV209" s="38">
        <f>SUMIF('Curtailment records'!$C:$C,Table13[[#This Row],[Date]],'Curtailment records'!$R:$R)/1000</f>
        <v>0</v>
      </c>
    </row>
    <row r="210" spans="1:48">
      <c r="A210" s="66">
        <f t="shared" si="20"/>
        <v>45953</v>
      </c>
      <c r="B210" s="38">
        <f>YEAR(Table13[[#This Row],[Date]])+IF(MONTH(Table13[[#This Row],[Date]])&gt;=4,1,0)</f>
        <v>2026</v>
      </c>
      <c r="C210" s="17">
        <f>YEAR(Table13[[#This Row],[Date]])</f>
        <v>2025</v>
      </c>
      <c r="D210" s="37">
        <f>Table13[[#This Row],[Date]]-DAY(Table13[[#This Row],[Date]])+1</f>
        <v>45931</v>
      </c>
      <c r="E210" s="17">
        <f t="shared" si="21"/>
        <v>31</v>
      </c>
      <c r="F210" s="135" t="str" cm="1">
        <f t="array" ref="F210">IFERROR(_xlfn.XLOOKUP(Table13[[#This Row],[Date]],Raw_Data[[#All],[Date]],Raw_Data[[#All],[Operating Hours]]),"")</f>
        <v/>
      </c>
      <c r="G210" s="24" t="str">
        <f>IFERROR(_xlfn.XLOOKUP($A210,'Raw Data'!$G:$G,'Raw Data'!S:S)/1000,"")</f>
        <v/>
      </c>
      <c r="H210" s="24"/>
      <c r="I210" s="24" t="str">
        <f>IFERROR(_xlfn.XLOOKUP($A210,'Raw Data'!$G:$G,'Raw Data'!AF:AF)/1000,"")</f>
        <v/>
      </c>
      <c r="J210" s="24"/>
      <c r="K210" s="137" t="str">
        <f>IFERROR(_xlfn.XLOOKUP($A210,'Raw Data'!$G:$G,'Raw Data'!W:W),"")</f>
        <v/>
      </c>
      <c r="L210" s="136" t="str">
        <f>IFERROR(_xlfn.XLOOKUP($A210,'Raw Data'!$G:$G,'Raw Data'!X:X),"")</f>
        <v/>
      </c>
      <c r="M210" s="136" t="str">
        <f>IFERROR(_xlfn.XLOOKUP($A210,'Raw Data'!$G:$G,'Raw Data'!Y:Y),"")</f>
        <v/>
      </c>
      <c r="N210" s="136" t="str">
        <f>IFERROR(_xlfn.XLOOKUP($A210,'Raw Data'!$G:$G,'Raw Data'!Z:Z),"")</f>
        <v/>
      </c>
      <c r="O210" s="176" t="str">
        <f>IFERROR(1-SUMIF('Plant BD'!$B:$B,$A210,'Plant BD'!$AM:$AM)/($AA210+SUMIF('Plant BD'!$B:$B,$A210,'Plant BD'!$AM:$AM)),"")</f>
        <v/>
      </c>
      <c r="P210" s="176"/>
      <c r="Q210" s="177"/>
      <c r="R210" s="179" t="str">
        <f>IFERROR(1-SUMIF('Grid BD'!$B:$B,$A210,'Grid BD'!$AE:$AE)/($AA210+SUMIF('Grid BD'!$B:$B,$A210,'Grid BD'!$AE:$AE)),"")</f>
        <v/>
      </c>
      <c r="S210" s="17"/>
      <c r="T210" s="177" t="str">
        <f>IFERROR(1-SUMIF(Tracker_BD!H:H,$A210,Tracker_BD!AI:AI)/$F210,"")</f>
        <v/>
      </c>
      <c r="U210" s="178" t="str">
        <f t="shared" si="17"/>
        <v/>
      </c>
      <c r="V210" s="17"/>
      <c r="W210" s="164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38" t="str">
        <f>IFERROR(_xlfn.XLOOKUP($A210,'Raw Data'!$G:$G,'Raw Data'!AD:AD),"")</f>
        <v/>
      </c>
      <c r="AA210" s="38" t="str">
        <f>IFERROR(_xlfn.XLOOKUP($A210,'Raw Data'!$G:$G,'Raw Data'!AE:AE)*(1+(_xlfn.XLOOKUP(Table13[[#This Row],[Month Year]],JMR!$A:$A,JMR!$J:$J))),"")</f>
        <v/>
      </c>
      <c r="AB210" s="17">
        <f>_xlfn.XLOOKUP($D210,'Modelling New'!D:D,'Modelling New'!N:N)</f>
        <v>10.507</v>
      </c>
      <c r="AC210" s="24">
        <f>IFERROR(_xlfn.XLOOKUP($D210,'Modelling New'!$D:$D,'Modelling New'!P:P),"")</f>
        <v>5.4651178025806448</v>
      </c>
      <c r="AD210" s="38">
        <f>IFERROR(_xlfn.XLOOKUP($D210,'Modelling New'!$D:$D,'Modelling New'!T:T)*1000,"")</f>
        <v>40947.895422803231</v>
      </c>
      <c r="AE210" s="164">
        <f t="shared" si="19"/>
        <v>0.71310474367994436</v>
      </c>
      <c r="AF210" s="164">
        <f>IFERROR(_xlfn.XLOOKUP($D210,'Modelling New'!$D:$D,'Modelling New'!W:W),"")</f>
        <v>0.16238339290791545</v>
      </c>
      <c r="AG210" s="164">
        <f>IFERROR(_xlfn.XLOOKUP($D210,'Modelling New'!$D:$D,'Modelling New'!AD:AD),"")</f>
        <v>0.995</v>
      </c>
      <c r="AH210" s="164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64"/>
      <c r="AO210" s="164"/>
      <c r="AP210" s="164"/>
      <c r="AQ210" s="164"/>
      <c r="AR210" s="38">
        <f>IFERROR(_xlfn.XLOOKUP($D210,'Modelling New'!$D:$D,'Modelling New'!$N:$N),"")</f>
        <v>10.507</v>
      </c>
      <c r="AS210" s="38"/>
      <c r="AT210" s="38" t="str">
        <f>IFERROR(_xlfn.XLOOKUP(Table13[[#This Row],[Date]],'Raw Data'!$G:$G,'Raw Data'!$AJ:$AJ),"")</f>
        <v/>
      </c>
      <c r="AU210" s="38">
        <f>IFERROR(_xlfn.XLOOKUP(Table13[[#This Row],[Month Year]],'Modelling New'!$D:$D,'Modelling New'!$AN:$AN),"")</f>
        <v>10</v>
      </c>
      <c r="AV210" s="38">
        <f>SUMIF('Curtailment records'!$C:$C,Table13[[#This Row],[Date]],'Curtailment records'!$R:$R)/1000</f>
        <v>0</v>
      </c>
    </row>
    <row r="211" spans="1:48">
      <c r="A211" s="66">
        <f t="shared" si="20"/>
        <v>45954</v>
      </c>
      <c r="B211" s="38">
        <f>YEAR(Table13[[#This Row],[Date]])+IF(MONTH(Table13[[#This Row],[Date]])&gt;=4,1,0)</f>
        <v>2026</v>
      </c>
      <c r="C211" s="17">
        <f>YEAR(Table13[[#This Row],[Date]])</f>
        <v>2025</v>
      </c>
      <c r="D211" s="37">
        <f>Table13[[#This Row],[Date]]-DAY(Table13[[#This Row],[Date]])+1</f>
        <v>45931</v>
      </c>
      <c r="E211" s="17">
        <f t="shared" si="21"/>
        <v>31</v>
      </c>
      <c r="F211" s="135" t="str" cm="1">
        <f t="array" ref="F211">IFERROR(_xlfn.XLOOKUP(Table13[[#This Row],[Date]],Raw_Data[[#All],[Date]],Raw_Data[[#All],[Operating Hours]]),"")</f>
        <v/>
      </c>
      <c r="G211" s="136" t="str">
        <f>IFERROR(_xlfn.XLOOKUP($A211,'Raw Data'!$G:$G,'Raw Data'!S:S)/1000,"")</f>
        <v/>
      </c>
      <c r="H211" s="136"/>
      <c r="I211" s="136" t="str">
        <f>IFERROR(_xlfn.XLOOKUP($A211,'Raw Data'!$G:$G,'Raw Data'!AF:AF)/1000,"")</f>
        <v/>
      </c>
      <c r="J211" s="136"/>
      <c r="K211" s="137" t="str">
        <f>IFERROR(_xlfn.XLOOKUP($A211,'Raw Data'!$G:$G,'Raw Data'!W:W),"")</f>
        <v/>
      </c>
      <c r="L211" s="136" t="str">
        <f>IFERROR(_xlfn.XLOOKUP($A211,'Raw Data'!$G:$G,'Raw Data'!X:X),"")</f>
        <v/>
      </c>
      <c r="M211" s="136" t="str">
        <f>IFERROR(_xlfn.XLOOKUP($A211,'Raw Data'!$G:$G,'Raw Data'!Y:Y),"")</f>
        <v/>
      </c>
      <c r="N211" s="136" t="str">
        <f>IFERROR(_xlfn.XLOOKUP($A211,'Raw Data'!$G:$G,'Raw Data'!Z:Z),"")</f>
        <v/>
      </c>
      <c r="O211" s="176" t="str">
        <f>IFERROR(1-SUMIF('Plant BD'!$B:$B,$A211,'Plant BD'!$AM:$AM)/($AA211+SUMIF('Plant BD'!$B:$B,$A211,'Plant BD'!$AM:$AM)),"")</f>
        <v/>
      </c>
      <c r="P211" s="176"/>
      <c r="Q211" s="177"/>
      <c r="R211" s="176" t="str">
        <f>IFERROR(1-SUMIF('Grid BD'!$B:$B,$A211,'Grid BD'!$AE:$AE)/($AA211+SUMIF('Grid BD'!$B:$B,$A211,'Grid BD'!$AE:$AE)),"")</f>
        <v/>
      </c>
      <c r="S211" s="17"/>
      <c r="T211" s="177" t="str">
        <f>IFERROR(1-SUMIF(Tracker_BD!H:H,$A211,Tracker_BD!AI:AI)/$F211,"")</f>
        <v/>
      </c>
      <c r="U211" s="178" t="str">
        <f t="shared" si="17"/>
        <v/>
      </c>
      <c r="V211" s="17"/>
      <c r="W211" s="164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38" t="str">
        <f>IFERROR(_xlfn.XLOOKUP($A211,'Raw Data'!$G:$G,'Raw Data'!AD:AD),"")</f>
        <v/>
      </c>
      <c r="AA211" s="38" t="str">
        <f>IFERROR(_xlfn.XLOOKUP($A211,'Raw Data'!$G:$G,'Raw Data'!AE:AE)*(1+(_xlfn.XLOOKUP(Table13[[#This Row],[Month Year]],JMR!$A:$A,JMR!$J:$J))),"")</f>
        <v/>
      </c>
      <c r="AB211" s="17">
        <f>_xlfn.XLOOKUP($D211,'Modelling New'!D:D,'Modelling New'!N:N)</f>
        <v>10.507</v>
      </c>
      <c r="AC211" s="24">
        <f>IFERROR(_xlfn.XLOOKUP($D211,'Modelling New'!$D:$D,'Modelling New'!P:P),"")</f>
        <v>5.4651178025806448</v>
      </c>
      <c r="AD211" s="38">
        <f>IFERROR(_xlfn.XLOOKUP($D211,'Modelling New'!$D:$D,'Modelling New'!T:T)*1000,"")</f>
        <v>40947.895422803231</v>
      </c>
      <c r="AE211" s="164">
        <f t="shared" si="19"/>
        <v>0.71310474367994436</v>
      </c>
      <c r="AF211" s="164">
        <f>IFERROR(_xlfn.XLOOKUP($D211,'Modelling New'!$D:$D,'Modelling New'!W:W),"")</f>
        <v>0.16238339290791545</v>
      </c>
      <c r="AG211" s="164">
        <f>IFERROR(_xlfn.XLOOKUP($D211,'Modelling New'!$D:$D,'Modelling New'!AD:AD),"")</f>
        <v>0.995</v>
      </c>
      <c r="AH211" s="164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64"/>
      <c r="AO211" s="164"/>
      <c r="AP211" s="164"/>
      <c r="AQ211" s="164"/>
      <c r="AR211" s="38">
        <f>IFERROR(_xlfn.XLOOKUP($D211,'Modelling New'!$D:$D,'Modelling New'!$N:$N),"")</f>
        <v>10.507</v>
      </c>
      <c r="AS211" s="38"/>
      <c r="AT211" s="38" t="str">
        <f>IFERROR(_xlfn.XLOOKUP(Table13[[#This Row],[Date]],'Raw Data'!$G:$G,'Raw Data'!$AJ:$AJ),"")</f>
        <v/>
      </c>
      <c r="AU211" s="38">
        <f>IFERROR(_xlfn.XLOOKUP(Table13[[#This Row],[Month Year]],'Modelling New'!$D:$D,'Modelling New'!$AN:$AN),"")</f>
        <v>10</v>
      </c>
      <c r="AV211" s="38">
        <f>SUMIF('Curtailment records'!$C:$C,Table13[[#This Row],[Date]],'Curtailment records'!$R:$R)/1000</f>
        <v>0</v>
      </c>
    </row>
    <row r="212" spans="1:48">
      <c r="A212" s="66">
        <f t="shared" si="20"/>
        <v>45955</v>
      </c>
      <c r="B212" s="38">
        <f>YEAR(Table13[[#This Row],[Date]])+IF(MONTH(Table13[[#This Row],[Date]])&gt;=4,1,0)</f>
        <v>2026</v>
      </c>
      <c r="C212" s="17">
        <f>YEAR(Table13[[#This Row],[Date]])</f>
        <v>2025</v>
      </c>
      <c r="D212" s="37">
        <f>Table13[[#This Row],[Date]]-DAY(Table13[[#This Row],[Date]])+1</f>
        <v>45931</v>
      </c>
      <c r="E212" s="17">
        <f t="shared" si="21"/>
        <v>31</v>
      </c>
      <c r="F212" s="135" t="str" cm="1">
        <f t="array" ref="F212">IFERROR(_xlfn.XLOOKUP(Table13[[#This Row],[Date]],Raw_Data[[#All],[Date]],Raw_Data[[#All],[Operating Hours]]),"")</f>
        <v/>
      </c>
      <c r="G212" s="24" t="str">
        <f>IFERROR(_xlfn.XLOOKUP($A212,'Raw Data'!$G:$G,'Raw Data'!S:S)/1000,"")</f>
        <v/>
      </c>
      <c r="H212" s="24"/>
      <c r="I212" s="24" t="str">
        <f>IFERROR(_xlfn.XLOOKUP($A212,'Raw Data'!$G:$G,'Raw Data'!AF:AF)/1000,"")</f>
        <v/>
      </c>
      <c r="J212" s="24"/>
      <c r="K212" s="137" t="str">
        <f>IFERROR(_xlfn.XLOOKUP($A212,'Raw Data'!$G:$G,'Raw Data'!W:W),"")</f>
        <v/>
      </c>
      <c r="L212" s="136" t="str">
        <f>IFERROR(_xlfn.XLOOKUP($A212,'Raw Data'!$G:$G,'Raw Data'!X:X),"")</f>
        <v/>
      </c>
      <c r="M212" s="136" t="str">
        <f>IFERROR(_xlfn.XLOOKUP($A212,'Raw Data'!$G:$G,'Raw Data'!Y:Y),"")</f>
        <v/>
      </c>
      <c r="N212" s="136" t="str">
        <f>IFERROR(_xlfn.XLOOKUP($A212,'Raw Data'!$G:$G,'Raw Data'!Z:Z),"")</f>
        <v/>
      </c>
      <c r="O212" s="176" t="str">
        <f>IFERROR(1-SUMIF('Plant BD'!$B:$B,$A212,'Plant BD'!$AM:$AM)/($AA212+SUMIF('Plant BD'!$B:$B,$A212,'Plant BD'!$AM:$AM)),"")</f>
        <v/>
      </c>
      <c r="P212" s="176"/>
      <c r="Q212" s="177"/>
      <c r="R212" s="179" t="str">
        <f>IFERROR(1-SUMIF('Grid BD'!$B:$B,$A212,'Grid BD'!$AE:$AE)/($AA212+SUMIF('Grid BD'!$B:$B,$A212,'Grid BD'!$AE:$AE)),"")</f>
        <v/>
      </c>
      <c r="S212" s="17"/>
      <c r="T212" s="177" t="str">
        <f>IFERROR(1-SUMIF(Tracker_BD!H:H,$A212,Tracker_BD!AI:AI)/$F212,"")</f>
        <v/>
      </c>
      <c r="U212" s="178" t="str">
        <f t="shared" si="17"/>
        <v/>
      </c>
      <c r="V212" s="17"/>
      <c r="W212" s="164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38" t="str">
        <f>IFERROR(_xlfn.XLOOKUP($A212,'Raw Data'!$G:$G,'Raw Data'!AD:AD),"")</f>
        <v/>
      </c>
      <c r="AA212" s="38" t="str">
        <f>IFERROR(_xlfn.XLOOKUP($A212,'Raw Data'!$G:$G,'Raw Data'!AE:AE)*(1+(_xlfn.XLOOKUP(Table13[[#This Row],[Month Year]],JMR!$A:$A,JMR!$J:$J))),"")</f>
        <v/>
      </c>
      <c r="AB212" s="17">
        <f>_xlfn.XLOOKUP($D212,'Modelling New'!D:D,'Modelling New'!N:N)</f>
        <v>10.507</v>
      </c>
      <c r="AC212" s="24">
        <f>IFERROR(_xlfn.XLOOKUP($D212,'Modelling New'!$D:$D,'Modelling New'!P:P),"")</f>
        <v>5.4651178025806448</v>
      </c>
      <c r="AD212" s="38">
        <f>IFERROR(_xlfn.XLOOKUP($D212,'Modelling New'!$D:$D,'Modelling New'!T:T)*1000,"")</f>
        <v>40947.895422803231</v>
      </c>
      <c r="AE212" s="164">
        <f t="shared" si="19"/>
        <v>0.71310474367994436</v>
      </c>
      <c r="AF212" s="164">
        <f>IFERROR(_xlfn.XLOOKUP($D212,'Modelling New'!$D:$D,'Modelling New'!W:W),"")</f>
        <v>0.16238339290791545</v>
      </c>
      <c r="AG212" s="164">
        <f>IFERROR(_xlfn.XLOOKUP($D212,'Modelling New'!$D:$D,'Modelling New'!AD:AD),"")</f>
        <v>0.995</v>
      </c>
      <c r="AH212" s="164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64"/>
      <c r="AO212" s="164"/>
      <c r="AP212" s="164"/>
      <c r="AQ212" s="164"/>
      <c r="AR212" s="38">
        <f>IFERROR(_xlfn.XLOOKUP($D212,'Modelling New'!$D:$D,'Modelling New'!$N:$N),"")</f>
        <v>10.507</v>
      </c>
      <c r="AS212" s="38"/>
      <c r="AT212" s="38" t="str">
        <f>IFERROR(_xlfn.XLOOKUP(Table13[[#This Row],[Date]],'Raw Data'!$G:$G,'Raw Data'!$AJ:$AJ),"")</f>
        <v/>
      </c>
      <c r="AU212" s="38">
        <f>IFERROR(_xlfn.XLOOKUP(Table13[[#This Row],[Month Year]],'Modelling New'!$D:$D,'Modelling New'!$AN:$AN),"")</f>
        <v>10</v>
      </c>
      <c r="AV212" s="38">
        <f>SUMIF('Curtailment records'!$C:$C,Table13[[#This Row],[Date]],'Curtailment records'!$R:$R)/1000</f>
        <v>0</v>
      </c>
    </row>
    <row r="213" spans="1:48">
      <c r="A213" s="66">
        <f t="shared" si="20"/>
        <v>45956</v>
      </c>
      <c r="B213" s="38">
        <f>YEAR(Table13[[#This Row],[Date]])+IF(MONTH(Table13[[#This Row],[Date]])&gt;=4,1,0)</f>
        <v>2026</v>
      </c>
      <c r="C213" s="17">
        <f>YEAR(Table13[[#This Row],[Date]])</f>
        <v>2025</v>
      </c>
      <c r="D213" s="37">
        <f>Table13[[#This Row],[Date]]-DAY(Table13[[#This Row],[Date]])+1</f>
        <v>45931</v>
      </c>
      <c r="E213" s="17">
        <f t="shared" si="21"/>
        <v>31</v>
      </c>
      <c r="F213" s="135" t="str" cm="1">
        <f t="array" ref="F213">IFERROR(_xlfn.XLOOKUP(Table13[[#This Row],[Date]],Raw_Data[[#All],[Date]],Raw_Data[[#All],[Operating Hours]]),"")</f>
        <v/>
      </c>
      <c r="G213" s="136" t="str">
        <f>IFERROR(_xlfn.XLOOKUP($A213,'Raw Data'!$G:$G,'Raw Data'!S:S)/1000,"")</f>
        <v/>
      </c>
      <c r="H213" s="136"/>
      <c r="I213" s="136" t="str">
        <f>IFERROR(_xlfn.XLOOKUP($A213,'Raw Data'!$G:$G,'Raw Data'!AF:AF)/1000,"")</f>
        <v/>
      </c>
      <c r="J213" s="136"/>
      <c r="K213" s="137" t="str">
        <f>IFERROR(_xlfn.XLOOKUP($A213,'Raw Data'!$G:$G,'Raw Data'!W:W),"")</f>
        <v/>
      </c>
      <c r="L213" s="136" t="str">
        <f>IFERROR(_xlfn.XLOOKUP($A213,'Raw Data'!$G:$G,'Raw Data'!X:X),"")</f>
        <v/>
      </c>
      <c r="M213" s="136" t="str">
        <f>IFERROR(_xlfn.XLOOKUP($A213,'Raw Data'!$G:$G,'Raw Data'!Y:Y),"")</f>
        <v/>
      </c>
      <c r="N213" s="136" t="str">
        <f>IFERROR(_xlfn.XLOOKUP($A213,'Raw Data'!$G:$G,'Raw Data'!Z:Z),"")</f>
        <v/>
      </c>
      <c r="O213" s="176" t="str">
        <f>IFERROR(1-SUMIF('Plant BD'!$B:$B,$A213,'Plant BD'!$AM:$AM)/($AA213+SUMIF('Plant BD'!$B:$B,$A213,'Plant BD'!$AM:$AM)),"")</f>
        <v/>
      </c>
      <c r="P213" s="176"/>
      <c r="Q213" s="177"/>
      <c r="R213" s="176" t="str">
        <f>IFERROR(1-SUMIF('Grid BD'!$B:$B,$A213,'Grid BD'!$AE:$AE)/($AA213+SUMIF('Grid BD'!$B:$B,$A213,'Grid BD'!$AE:$AE)),"")</f>
        <v/>
      </c>
      <c r="S213" s="17"/>
      <c r="T213" s="177" t="str">
        <f>IFERROR(1-SUMIF(Tracker_BD!H:H,$A213,Tracker_BD!AI:AI)/$F213,"")</f>
        <v/>
      </c>
      <c r="U213" s="178" t="str">
        <f t="shared" si="17"/>
        <v/>
      </c>
      <c r="V213" s="17"/>
      <c r="W213" s="164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38" t="str">
        <f>IFERROR(_xlfn.XLOOKUP($A213,'Raw Data'!$G:$G,'Raw Data'!AD:AD),"")</f>
        <v/>
      </c>
      <c r="AA213" s="38" t="str">
        <f>IFERROR(_xlfn.XLOOKUP($A213,'Raw Data'!$G:$G,'Raw Data'!AE:AE)*(1+(_xlfn.XLOOKUP(Table13[[#This Row],[Month Year]],JMR!$A:$A,JMR!$J:$J))),"")</f>
        <v/>
      </c>
      <c r="AB213" s="17">
        <f>_xlfn.XLOOKUP($D213,'Modelling New'!D:D,'Modelling New'!N:N)</f>
        <v>10.507</v>
      </c>
      <c r="AC213" s="24">
        <f>IFERROR(_xlfn.XLOOKUP($D213,'Modelling New'!$D:$D,'Modelling New'!P:P),"")</f>
        <v>5.4651178025806448</v>
      </c>
      <c r="AD213" s="38">
        <f>IFERROR(_xlfn.XLOOKUP($D213,'Modelling New'!$D:$D,'Modelling New'!T:T)*1000,"")</f>
        <v>40947.895422803231</v>
      </c>
      <c r="AE213" s="164">
        <f t="shared" si="19"/>
        <v>0.71310474367994436</v>
      </c>
      <c r="AF213" s="164">
        <f>IFERROR(_xlfn.XLOOKUP($D213,'Modelling New'!$D:$D,'Modelling New'!W:W),"")</f>
        <v>0.16238339290791545</v>
      </c>
      <c r="AG213" s="164">
        <f>IFERROR(_xlfn.XLOOKUP($D213,'Modelling New'!$D:$D,'Modelling New'!AD:AD),"")</f>
        <v>0.995</v>
      </c>
      <c r="AH213" s="164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64"/>
      <c r="AO213" s="164"/>
      <c r="AP213" s="164"/>
      <c r="AQ213" s="164"/>
      <c r="AR213" s="38">
        <f>IFERROR(_xlfn.XLOOKUP($D213,'Modelling New'!$D:$D,'Modelling New'!$N:$N),"")</f>
        <v>10.507</v>
      </c>
      <c r="AS213" s="38"/>
      <c r="AT213" s="38" t="str">
        <f>IFERROR(_xlfn.XLOOKUP(Table13[[#This Row],[Date]],'Raw Data'!$G:$G,'Raw Data'!$AJ:$AJ),"")</f>
        <v/>
      </c>
      <c r="AU213" s="38">
        <f>IFERROR(_xlfn.XLOOKUP(Table13[[#This Row],[Month Year]],'Modelling New'!$D:$D,'Modelling New'!$AN:$AN),"")</f>
        <v>10</v>
      </c>
      <c r="AV213" s="38">
        <f>SUMIF('Curtailment records'!$C:$C,Table13[[#This Row],[Date]],'Curtailment records'!$R:$R)/1000</f>
        <v>0</v>
      </c>
    </row>
    <row r="214" spans="1:48">
      <c r="A214" s="66">
        <f t="shared" si="20"/>
        <v>45957</v>
      </c>
      <c r="B214" s="38">
        <f>YEAR(Table13[[#This Row],[Date]])+IF(MONTH(Table13[[#This Row],[Date]])&gt;=4,1,0)</f>
        <v>2026</v>
      </c>
      <c r="C214" s="17">
        <f>YEAR(Table13[[#This Row],[Date]])</f>
        <v>2025</v>
      </c>
      <c r="D214" s="37">
        <f>Table13[[#This Row],[Date]]-DAY(Table13[[#This Row],[Date]])+1</f>
        <v>45931</v>
      </c>
      <c r="E214" s="17">
        <f t="shared" si="21"/>
        <v>31</v>
      </c>
      <c r="F214" s="135" t="str" cm="1">
        <f t="array" ref="F214">IFERROR(_xlfn.XLOOKUP(Table13[[#This Row],[Date]],Raw_Data[[#All],[Date]],Raw_Data[[#All],[Operating Hours]]),"")</f>
        <v/>
      </c>
      <c r="G214" s="24" t="str">
        <f>IFERROR(_xlfn.XLOOKUP($A214,'Raw Data'!$G:$G,'Raw Data'!S:S)/1000,"")</f>
        <v/>
      </c>
      <c r="H214" s="24"/>
      <c r="I214" s="24" t="str">
        <f>IFERROR(_xlfn.XLOOKUP($A214,'Raw Data'!$G:$G,'Raw Data'!AF:AF)/1000,"")</f>
        <v/>
      </c>
      <c r="J214" s="24"/>
      <c r="K214" s="137" t="str">
        <f>IFERROR(_xlfn.XLOOKUP($A214,'Raw Data'!$G:$G,'Raw Data'!W:W),"")</f>
        <v/>
      </c>
      <c r="L214" s="136" t="str">
        <f>IFERROR(_xlfn.XLOOKUP($A214,'Raw Data'!$G:$G,'Raw Data'!X:X),"")</f>
        <v/>
      </c>
      <c r="M214" s="136" t="str">
        <f>IFERROR(_xlfn.XLOOKUP($A214,'Raw Data'!$G:$G,'Raw Data'!Y:Y),"")</f>
        <v/>
      </c>
      <c r="N214" s="136" t="str">
        <f>IFERROR(_xlfn.XLOOKUP($A214,'Raw Data'!$G:$G,'Raw Data'!Z:Z),"")</f>
        <v/>
      </c>
      <c r="O214" s="176" t="str">
        <f>IFERROR(1-SUMIF('Plant BD'!$B:$B,$A214,'Plant BD'!$AM:$AM)/($AA214+SUMIF('Plant BD'!$B:$B,$A214,'Plant BD'!$AM:$AM)),"")</f>
        <v/>
      </c>
      <c r="P214" s="176"/>
      <c r="Q214" s="177"/>
      <c r="R214" s="179" t="str">
        <f>IFERROR(1-SUMIF('Grid BD'!$B:$B,$A214,'Grid BD'!$AE:$AE)/($AA214+SUMIF('Grid BD'!$B:$B,$A214,'Grid BD'!$AE:$AE)),"")</f>
        <v/>
      </c>
      <c r="S214" s="17"/>
      <c r="T214" s="177" t="str">
        <f>IFERROR(1-SUMIF(Tracker_BD!H:H,$A214,Tracker_BD!AI:AI)/$F214,"")</f>
        <v/>
      </c>
      <c r="U214" s="178" t="str">
        <f t="shared" si="17"/>
        <v/>
      </c>
      <c r="V214" s="17"/>
      <c r="W214" s="164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38" t="str">
        <f>IFERROR(_xlfn.XLOOKUP($A214,'Raw Data'!$G:$G,'Raw Data'!AD:AD),"")</f>
        <v/>
      </c>
      <c r="AA214" s="38" t="str">
        <f>IFERROR(_xlfn.XLOOKUP($A214,'Raw Data'!$G:$G,'Raw Data'!AE:AE)*(1+(_xlfn.XLOOKUP(Table13[[#This Row],[Month Year]],JMR!$A:$A,JMR!$J:$J))),"")</f>
        <v/>
      </c>
      <c r="AB214" s="17">
        <f>_xlfn.XLOOKUP($D214,'Modelling New'!D:D,'Modelling New'!N:N)</f>
        <v>10.507</v>
      </c>
      <c r="AC214" s="24">
        <f>IFERROR(_xlfn.XLOOKUP($D214,'Modelling New'!$D:$D,'Modelling New'!P:P),"")</f>
        <v>5.4651178025806448</v>
      </c>
      <c r="AD214" s="38">
        <f>IFERROR(_xlfn.XLOOKUP($D214,'Modelling New'!$D:$D,'Modelling New'!T:T)*1000,"")</f>
        <v>40947.895422803231</v>
      </c>
      <c r="AE214" s="164">
        <f t="shared" si="19"/>
        <v>0.71310474367994436</v>
      </c>
      <c r="AF214" s="164">
        <f>IFERROR(_xlfn.XLOOKUP($D214,'Modelling New'!$D:$D,'Modelling New'!W:W),"")</f>
        <v>0.16238339290791545</v>
      </c>
      <c r="AG214" s="164">
        <f>IFERROR(_xlfn.XLOOKUP($D214,'Modelling New'!$D:$D,'Modelling New'!AD:AD),"")</f>
        <v>0.995</v>
      </c>
      <c r="AH214" s="164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64"/>
      <c r="AO214" s="164"/>
      <c r="AP214" s="164"/>
      <c r="AQ214" s="164"/>
      <c r="AR214" s="38">
        <f>IFERROR(_xlfn.XLOOKUP($D214,'Modelling New'!$D:$D,'Modelling New'!$N:$N),"")</f>
        <v>10.507</v>
      </c>
      <c r="AS214" s="38"/>
      <c r="AT214" s="38" t="str">
        <f>IFERROR(_xlfn.XLOOKUP(Table13[[#This Row],[Date]],'Raw Data'!$G:$G,'Raw Data'!$AJ:$AJ),"")</f>
        <v/>
      </c>
      <c r="AU214" s="38">
        <f>IFERROR(_xlfn.XLOOKUP(Table13[[#This Row],[Month Year]],'Modelling New'!$D:$D,'Modelling New'!$AN:$AN),"")</f>
        <v>10</v>
      </c>
      <c r="AV214" s="38">
        <f>SUMIF('Curtailment records'!$C:$C,Table13[[#This Row],[Date]],'Curtailment records'!$R:$R)/1000</f>
        <v>0</v>
      </c>
    </row>
    <row r="215" spans="1:48">
      <c r="A215" s="66">
        <f t="shared" si="20"/>
        <v>45958</v>
      </c>
      <c r="B215" s="38">
        <f>YEAR(Table13[[#This Row],[Date]])+IF(MONTH(Table13[[#This Row],[Date]])&gt;=4,1,0)</f>
        <v>2026</v>
      </c>
      <c r="C215" s="17">
        <f>YEAR(Table13[[#This Row],[Date]])</f>
        <v>2025</v>
      </c>
      <c r="D215" s="37">
        <f>Table13[[#This Row],[Date]]-DAY(Table13[[#This Row],[Date]])+1</f>
        <v>45931</v>
      </c>
      <c r="E215" s="17">
        <f t="shared" si="21"/>
        <v>31</v>
      </c>
      <c r="F215" s="135" t="str" cm="1">
        <f t="array" ref="F215">IFERROR(_xlfn.XLOOKUP(Table13[[#This Row],[Date]],Raw_Data[[#All],[Date]],Raw_Data[[#All],[Operating Hours]]),"")</f>
        <v/>
      </c>
      <c r="G215" s="136" t="str">
        <f>IFERROR(_xlfn.XLOOKUP($A215,'Raw Data'!$G:$G,'Raw Data'!S:S)/1000,"")</f>
        <v/>
      </c>
      <c r="H215" s="136"/>
      <c r="I215" s="136" t="str">
        <f>IFERROR(_xlfn.XLOOKUP($A215,'Raw Data'!$G:$G,'Raw Data'!AF:AF)/1000,"")</f>
        <v/>
      </c>
      <c r="J215" s="136"/>
      <c r="K215" s="137" t="str">
        <f>IFERROR(_xlfn.XLOOKUP($A215,'Raw Data'!$G:$G,'Raw Data'!W:W),"")</f>
        <v/>
      </c>
      <c r="L215" s="136" t="str">
        <f>IFERROR(_xlfn.XLOOKUP($A215,'Raw Data'!$G:$G,'Raw Data'!X:X),"")</f>
        <v/>
      </c>
      <c r="M215" s="136" t="str">
        <f>IFERROR(_xlfn.XLOOKUP($A215,'Raw Data'!$G:$G,'Raw Data'!Y:Y),"")</f>
        <v/>
      </c>
      <c r="N215" s="136" t="str">
        <f>IFERROR(_xlfn.XLOOKUP($A215,'Raw Data'!$G:$G,'Raw Data'!Z:Z),"")</f>
        <v/>
      </c>
      <c r="O215" s="176" t="str">
        <f>IFERROR(1-SUMIF('Plant BD'!$B:$B,$A215,'Plant BD'!$AM:$AM)/($AA215+SUMIF('Plant BD'!$B:$B,$A215,'Plant BD'!$AM:$AM)),"")</f>
        <v/>
      </c>
      <c r="P215" s="176"/>
      <c r="Q215" s="177"/>
      <c r="R215" s="176" t="str">
        <f>IFERROR(1-SUMIF('Grid BD'!$B:$B,$A215,'Grid BD'!$AE:$AE)/($AA215+SUMIF('Grid BD'!$B:$B,$A215,'Grid BD'!$AE:$AE)),"")</f>
        <v/>
      </c>
      <c r="S215" s="17"/>
      <c r="T215" s="177" t="str">
        <f>IFERROR(1-SUMIF(Tracker_BD!H:H,$A215,Tracker_BD!AI:AI)/$F215,"")</f>
        <v/>
      </c>
      <c r="U215" s="178" t="str">
        <f t="shared" si="17"/>
        <v/>
      </c>
      <c r="V215" s="17"/>
      <c r="W215" s="164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38" t="str">
        <f>IFERROR(_xlfn.XLOOKUP($A215,'Raw Data'!$G:$G,'Raw Data'!AD:AD),"")</f>
        <v/>
      </c>
      <c r="AA215" s="38" t="str">
        <f>IFERROR(_xlfn.XLOOKUP($A215,'Raw Data'!$G:$G,'Raw Data'!AE:AE)*(1+(_xlfn.XLOOKUP(Table13[[#This Row],[Month Year]],JMR!$A:$A,JMR!$J:$J))),"")</f>
        <v/>
      </c>
      <c r="AB215" s="17">
        <f>_xlfn.XLOOKUP($D215,'Modelling New'!D:D,'Modelling New'!N:N)</f>
        <v>10.507</v>
      </c>
      <c r="AC215" s="24">
        <f>IFERROR(_xlfn.XLOOKUP($D215,'Modelling New'!$D:$D,'Modelling New'!P:P),"")</f>
        <v>5.4651178025806448</v>
      </c>
      <c r="AD215" s="38">
        <f>IFERROR(_xlfn.XLOOKUP($D215,'Modelling New'!$D:$D,'Modelling New'!T:T)*1000,"")</f>
        <v>40947.895422803231</v>
      </c>
      <c r="AE215" s="164">
        <f t="shared" si="19"/>
        <v>0.71310474367994436</v>
      </c>
      <c r="AF215" s="164">
        <f>IFERROR(_xlfn.XLOOKUP($D215,'Modelling New'!$D:$D,'Modelling New'!W:W),"")</f>
        <v>0.16238339290791545</v>
      </c>
      <c r="AG215" s="164">
        <f>IFERROR(_xlfn.XLOOKUP($D215,'Modelling New'!$D:$D,'Modelling New'!AD:AD),"")</f>
        <v>0.995</v>
      </c>
      <c r="AH215" s="164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64"/>
      <c r="AO215" s="164"/>
      <c r="AP215" s="164"/>
      <c r="AQ215" s="164"/>
      <c r="AR215" s="38">
        <f>IFERROR(_xlfn.XLOOKUP($D215,'Modelling New'!$D:$D,'Modelling New'!$N:$N),"")</f>
        <v>10.507</v>
      </c>
      <c r="AS215" s="38"/>
      <c r="AT215" s="38" t="str">
        <f>IFERROR(_xlfn.XLOOKUP(Table13[[#This Row],[Date]],'Raw Data'!$G:$G,'Raw Data'!$AJ:$AJ),"")</f>
        <v/>
      </c>
      <c r="AU215" s="38">
        <f>IFERROR(_xlfn.XLOOKUP(Table13[[#This Row],[Month Year]],'Modelling New'!$D:$D,'Modelling New'!$AN:$AN),"")</f>
        <v>10</v>
      </c>
      <c r="AV215" s="38">
        <f>SUMIF('Curtailment records'!$C:$C,Table13[[#This Row],[Date]],'Curtailment records'!$R:$R)/1000</f>
        <v>0</v>
      </c>
    </row>
    <row r="216" spans="1:48">
      <c r="A216" s="66">
        <f t="shared" si="20"/>
        <v>45959</v>
      </c>
      <c r="B216" s="38">
        <f>YEAR(Table13[[#This Row],[Date]])+IF(MONTH(Table13[[#This Row],[Date]])&gt;=4,1,0)</f>
        <v>2026</v>
      </c>
      <c r="C216" s="17">
        <f>YEAR(Table13[[#This Row],[Date]])</f>
        <v>2025</v>
      </c>
      <c r="D216" s="37">
        <f>Table13[[#This Row],[Date]]-DAY(Table13[[#This Row],[Date]])+1</f>
        <v>45931</v>
      </c>
      <c r="E216" s="17">
        <f t="shared" si="21"/>
        <v>31</v>
      </c>
      <c r="F216" s="135" t="str" cm="1">
        <f t="array" ref="F216">IFERROR(_xlfn.XLOOKUP(Table13[[#This Row],[Date]],Raw_Data[[#All],[Date]],Raw_Data[[#All],[Operating Hours]]),"")</f>
        <v/>
      </c>
      <c r="G216" s="24" t="str">
        <f>IFERROR(_xlfn.XLOOKUP($A216,'Raw Data'!$G:$G,'Raw Data'!S:S)/1000,"")</f>
        <v/>
      </c>
      <c r="H216" s="24"/>
      <c r="I216" s="24" t="str">
        <f>IFERROR(_xlfn.XLOOKUP($A216,'Raw Data'!$G:$G,'Raw Data'!AF:AF)/1000,"")</f>
        <v/>
      </c>
      <c r="J216" s="24"/>
      <c r="K216" s="137" t="str">
        <f>IFERROR(_xlfn.XLOOKUP($A216,'Raw Data'!$G:$G,'Raw Data'!W:W),"")</f>
        <v/>
      </c>
      <c r="L216" s="136" t="str">
        <f>IFERROR(_xlfn.XLOOKUP($A216,'Raw Data'!$G:$G,'Raw Data'!X:X),"")</f>
        <v/>
      </c>
      <c r="M216" s="136" t="str">
        <f>IFERROR(_xlfn.XLOOKUP($A216,'Raw Data'!$G:$G,'Raw Data'!Y:Y),"")</f>
        <v/>
      </c>
      <c r="N216" s="136" t="str">
        <f>IFERROR(_xlfn.XLOOKUP($A216,'Raw Data'!$G:$G,'Raw Data'!Z:Z),"")</f>
        <v/>
      </c>
      <c r="O216" s="176" t="str">
        <f>IFERROR(1-SUMIF('Plant BD'!$B:$B,$A216,'Plant BD'!$AM:$AM)/($AA216+SUMIF('Plant BD'!$B:$B,$A216,'Plant BD'!$AM:$AM)),"")</f>
        <v/>
      </c>
      <c r="P216" s="176"/>
      <c r="Q216" s="177"/>
      <c r="R216" s="179" t="str">
        <f>IFERROR(1-SUMIF('Grid BD'!$B:$B,$A216,'Grid BD'!$AE:$AE)/($AA216+SUMIF('Grid BD'!$B:$B,$A216,'Grid BD'!$AE:$AE)),"")</f>
        <v/>
      </c>
      <c r="S216" s="17"/>
      <c r="T216" s="177" t="str">
        <f>IFERROR(1-SUMIF(Tracker_BD!H:H,$A216,Tracker_BD!AI:AI)/$F216,"")</f>
        <v/>
      </c>
      <c r="U216" s="178" t="str">
        <f t="shared" si="17"/>
        <v/>
      </c>
      <c r="V216" s="17"/>
      <c r="W216" s="164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38" t="str">
        <f>IFERROR(_xlfn.XLOOKUP($A216,'Raw Data'!$G:$G,'Raw Data'!AD:AD),"")</f>
        <v/>
      </c>
      <c r="AA216" s="38" t="str">
        <f>IFERROR(_xlfn.XLOOKUP($A216,'Raw Data'!$G:$G,'Raw Data'!AE:AE)*(1+(_xlfn.XLOOKUP(Table13[[#This Row],[Month Year]],JMR!$A:$A,JMR!$J:$J))),"")</f>
        <v/>
      </c>
      <c r="AB216" s="17">
        <f>_xlfn.XLOOKUP($D216,'Modelling New'!D:D,'Modelling New'!N:N)</f>
        <v>10.507</v>
      </c>
      <c r="AC216" s="24">
        <f>IFERROR(_xlfn.XLOOKUP($D216,'Modelling New'!$D:$D,'Modelling New'!P:P),"")</f>
        <v>5.4651178025806448</v>
      </c>
      <c r="AD216" s="38">
        <f>IFERROR(_xlfn.XLOOKUP($D216,'Modelling New'!$D:$D,'Modelling New'!T:T)*1000,"")</f>
        <v>40947.895422803231</v>
      </c>
      <c r="AE216" s="164">
        <f t="shared" si="19"/>
        <v>0.71310474367994436</v>
      </c>
      <c r="AF216" s="164">
        <f>IFERROR(_xlfn.XLOOKUP($D216,'Modelling New'!$D:$D,'Modelling New'!W:W),"")</f>
        <v>0.16238339290791545</v>
      </c>
      <c r="AG216" s="164">
        <f>IFERROR(_xlfn.XLOOKUP($D216,'Modelling New'!$D:$D,'Modelling New'!AD:AD),"")</f>
        <v>0.995</v>
      </c>
      <c r="AH216" s="164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64"/>
      <c r="AO216" s="164"/>
      <c r="AP216" s="164"/>
      <c r="AQ216" s="164"/>
      <c r="AR216" s="38">
        <f>IFERROR(_xlfn.XLOOKUP($D216,'Modelling New'!$D:$D,'Modelling New'!$N:$N),"")</f>
        <v>10.507</v>
      </c>
      <c r="AS216" s="38"/>
      <c r="AT216" s="38" t="str">
        <f>IFERROR(_xlfn.XLOOKUP(Table13[[#This Row],[Date]],'Raw Data'!$G:$G,'Raw Data'!$AJ:$AJ),"")</f>
        <v/>
      </c>
      <c r="AU216" s="38">
        <f>IFERROR(_xlfn.XLOOKUP(Table13[[#This Row],[Month Year]],'Modelling New'!$D:$D,'Modelling New'!$AN:$AN),"")</f>
        <v>10</v>
      </c>
      <c r="AV216" s="38">
        <f>SUMIF('Curtailment records'!$C:$C,Table13[[#This Row],[Date]],'Curtailment records'!$R:$R)/1000</f>
        <v>0</v>
      </c>
    </row>
    <row r="217" spans="1:48">
      <c r="A217" s="66">
        <f t="shared" si="20"/>
        <v>45960</v>
      </c>
      <c r="B217" s="38">
        <f>YEAR(Table13[[#This Row],[Date]])+IF(MONTH(Table13[[#This Row],[Date]])&gt;=4,1,0)</f>
        <v>2026</v>
      </c>
      <c r="C217" s="17">
        <f>YEAR(Table13[[#This Row],[Date]])</f>
        <v>2025</v>
      </c>
      <c r="D217" s="37">
        <f>Table13[[#This Row],[Date]]-DAY(Table13[[#This Row],[Date]])+1</f>
        <v>45931</v>
      </c>
      <c r="E217" s="17">
        <f t="shared" si="21"/>
        <v>31</v>
      </c>
      <c r="F217" s="135" t="str" cm="1">
        <f t="array" ref="F217">IFERROR(_xlfn.XLOOKUP(Table13[[#This Row],[Date]],Raw_Data[[#All],[Date]],Raw_Data[[#All],[Operating Hours]]),"")</f>
        <v/>
      </c>
      <c r="G217" s="136" t="str">
        <f>IFERROR(_xlfn.XLOOKUP($A217,'Raw Data'!$G:$G,'Raw Data'!S:S)/1000,"")</f>
        <v/>
      </c>
      <c r="H217" s="136"/>
      <c r="I217" s="136" t="str">
        <f>IFERROR(_xlfn.XLOOKUP($A217,'Raw Data'!$G:$G,'Raw Data'!AF:AF)/1000,"")</f>
        <v/>
      </c>
      <c r="J217" s="136"/>
      <c r="K217" s="137" t="str">
        <f>IFERROR(_xlfn.XLOOKUP($A217,'Raw Data'!$G:$G,'Raw Data'!W:W),"")</f>
        <v/>
      </c>
      <c r="L217" s="136" t="str">
        <f>IFERROR(_xlfn.XLOOKUP($A217,'Raw Data'!$G:$G,'Raw Data'!X:X),"")</f>
        <v/>
      </c>
      <c r="M217" s="136" t="str">
        <f>IFERROR(_xlfn.XLOOKUP($A217,'Raw Data'!$G:$G,'Raw Data'!Y:Y),"")</f>
        <v/>
      </c>
      <c r="N217" s="136" t="str">
        <f>IFERROR(_xlfn.XLOOKUP($A217,'Raw Data'!$G:$G,'Raw Data'!Z:Z),"")</f>
        <v/>
      </c>
      <c r="O217" s="176" t="str">
        <f>IFERROR(1-SUMIF('Plant BD'!$B:$B,$A217,'Plant BD'!$AM:$AM)/($AA217+SUMIF('Plant BD'!$B:$B,$A217,'Plant BD'!$AM:$AM)),"")</f>
        <v/>
      </c>
      <c r="P217" s="176"/>
      <c r="Q217" s="177"/>
      <c r="R217" s="176" t="str">
        <f>IFERROR(1-SUMIF('Grid BD'!$B:$B,$A217,'Grid BD'!$AE:$AE)/($AA217+SUMIF('Grid BD'!$B:$B,$A217,'Grid BD'!$AE:$AE)),"")</f>
        <v/>
      </c>
      <c r="S217" s="17"/>
      <c r="T217" s="177" t="str">
        <f>IFERROR(1-SUMIF(Tracker_BD!H:H,$A217,Tracker_BD!AI:AI)/$F217,"")</f>
        <v/>
      </c>
      <c r="U217" s="178" t="str">
        <f t="shared" si="17"/>
        <v/>
      </c>
      <c r="V217" s="17"/>
      <c r="W217" s="164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38" t="str">
        <f>IFERROR(_xlfn.XLOOKUP($A217,'Raw Data'!$G:$G,'Raw Data'!AD:AD),"")</f>
        <v/>
      </c>
      <c r="AA217" s="38" t="str">
        <f>IFERROR(_xlfn.XLOOKUP($A217,'Raw Data'!$G:$G,'Raw Data'!AE:AE)*(1+(_xlfn.XLOOKUP(Table13[[#This Row],[Month Year]],JMR!$A:$A,JMR!$J:$J))),"")</f>
        <v/>
      </c>
      <c r="AB217" s="17">
        <f>_xlfn.XLOOKUP($D217,'Modelling New'!D:D,'Modelling New'!N:N)</f>
        <v>10.507</v>
      </c>
      <c r="AC217" s="24">
        <f>IFERROR(_xlfn.XLOOKUP($D217,'Modelling New'!$D:$D,'Modelling New'!P:P),"")</f>
        <v>5.4651178025806448</v>
      </c>
      <c r="AD217" s="38">
        <f>IFERROR(_xlfn.XLOOKUP($D217,'Modelling New'!$D:$D,'Modelling New'!T:T)*1000,"")</f>
        <v>40947.895422803231</v>
      </c>
      <c r="AE217" s="164">
        <f t="shared" si="19"/>
        <v>0.71310474367994436</v>
      </c>
      <c r="AF217" s="164">
        <f>IFERROR(_xlfn.XLOOKUP($D217,'Modelling New'!$D:$D,'Modelling New'!W:W),"")</f>
        <v>0.16238339290791545</v>
      </c>
      <c r="AG217" s="164">
        <f>IFERROR(_xlfn.XLOOKUP($D217,'Modelling New'!$D:$D,'Modelling New'!AD:AD),"")</f>
        <v>0.995</v>
      </c>
      <c r="AH217" s="164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64"/>
      <c r="AO217" s="164"/>
      <c r="AP217" s="164"/>
      <c r="AQ217" s="164"/>
      <c r="AR217" s="38">
        <f>IFERROR(_xlfn.XLOOKUP($D217,'Modelling New'!$D:$D,'Modelling New'!$N:$N),"")</f>
        <v>10.507</v>
      </c>
      <c r="AS217" s="38"/>
      <c r="AT217" s="38" t="str">
        <f>IFERROR(_xlfn.XLOOKUP(Table13[[#This Row],[Date]],'Raw Data'!$G:$G,'Raw Data'!$AJ:$AJ),"")</f>
        <v/>
      </c>
      <c r="AU217" s="38">
        <f>IFERROR(_xlfn.XLOOKUP(Table13[[#This Row],[Month Year]],'Modelling New'!$D:$D,'Modelling New'!$AN:$AN),"")</f>
        <v>10</v>
      </c>
      <c r="AV217" s="38">
        <f>SUMIF('Curtailment records'!$C:$C,Table13[[#This Row],[Date]],'Curtailment records'!$R:$R)/1000</f>
        <v>0</v>
      </c>
    </row>
    <row r="218" spans="1:48">
      <c r="A218" s="66">
        <f t="shared" si="20"/>
        <v>45961</v>
      </c>
      <c r="B218" s="38">
        <f>YEAR(Table13[[#This Row],[Date]])+IF(MONTH(Table13[[#This Row],[Date]])&gt;=4,1,0)</f>
        <v>2026</v>
      </c>
      <c r="C218" s="17">
        <f>YEAR(Table13[[#This Row],[Date]])</f>
        <v>2025</v>
      </c>
      <c r="D218" s="37">
        <f>Table13[[#This Row],[Date]]-DAY(Table13[[#This Row],[Date]])+1</f>
        <v>45931</v>
      </c>
      <c r="E218" s="17">
        <f t="shared" si="21"/>
        <v>31</v>
      </c>
      <c r="F218" s="135" t="str" cm="1">
        <f t="array" ref="F218">IFERROR(_xlfn.XLOOKUP(Table13[[#This Row],[Date]],Raw_Data[[#All],[Date]],Raw_Data[[#All],[Operating Hours]]),"")</f>
        <v/>
      </c>
      <c r="G218" s="24" t="str">
        <f>IFERROR(_xlfn.XLOOKUP($A218,'Raw Data'!$G:$G,'Raw Data'!S:S)/1000,"")</f>
        <v/>
      </c>
      <c r="H218" s="24"/>
      <c r="I218" s="24" t="str">
        <f>IFERROR(_xlfn.XLOOKUP($A218,'Raw Data'!$G:$G,'Raw Data'!AF:AF)/1000,"")</f>
        <v/>
      </c>
      <c r="J218" s="24"/>
      <c r="K218" s="137" t="str">
        <f>IFERROR(_xlfn.XLOOKUP($A218,'Raw Data'!$G:$G,'Raw Data'!W:W),"")</f>
        <v/>
      </c>
      <c r="L218" s="136" t="str">
        <f>IFERROR(_xlfn.XLOOKUP($A218,'Raw Data'!$G:$G,'Raw Data'!X:X),"")</f>
        <v/>
      </c>
      <c r="M218" s="136" t="str">
        <f>IFERROR(_xlfn.XLOOKUP($A218,'Raw Data'!$G:$G,'Raw Data'!Y:Y),"")</f>
        <v/>
      </c>
      <c r="N218" s="136" t="str">
        <f>IFERROR(_xlfn.XLOOKUP($A218,'Raw Data'!$G:$G,'Raw Data'!Z:Z),"")</f>
        <v/>
      </c>
      <c r="O218" s="176" t="str">
        <f>IFERROR(1-SUMIF('Plant BD'!$B:$B,$A218,'Plant BD'!$AM:$AM)/($AA218+SUMIF('Plant BD'!$B:$B,$A218,'Plant BD'!$AM:$AM)),"")</f>
        <v/>
      </c>
      <c r="P218" s="176"/>
      <c r="Q218" s="177"/>
      <c r="R218" s="179" t="str">
        <f>IFERROR(1-SUMIF('Grid BD'!$B:$B,$A218,'Grid BD'!$AE:$AE)/($AA218+SUMIF('Grid BD'!$B:$B,$A218,'Grid BD'!$AE:$AE)),"")</f>
        <v/>
      </c>
      <c r="S218" s="17"/>
      <c r="T218" s="177" t="str">
        <f>IFERROR(1-SUMIF(Tracker_BD!H:H,$A218,Tracker_BD!AI:AI)/$F218,"")</f>
        <v/>
      </c>
      <c r="U218" s="178" t="str">
        <f t="shared" si="17"/>
        <v/>
      </c>
      <c r="V218" s="17"/>
      <c r="W218" s="164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38" t="str">
        <f>IFERROR(_xlfn.XLOOKUP($A218,'Raw Data'!$G:$G,'Raw Data'!AD:AD),"")</f>
        <v/>
      </c>
      <c r="AA218" s="38" t="str">
        <f>IFERROR(_xlfn.XLOOKUP($A218,'Raw Data'!$G:$G,'Raw Data'!AE:AE)*(1+(_xlfn.XLOOKUP(Table13[[#This Row],[Month Year]],JMR!$A:$A,JMR!$J:$J))),"")</f>
        <v/>
      </c>
      <c r="AB218" s="17">
        <f>_xlfn.XLOOKUP($D218,'Modelling New'!D:D,'Modelling New'!N:N)</f>
        <v>10.507</v>
      </c>
      <c r="AC218" s="24">
        <f>IFERROR(_xlfn.XLOOKUP($D218,'Modelling New'!$D:$D,'Modelling New'!P:P),"")</f>
        <v>5.4651178025806448</v>
      </c>
      <c r="AD218" s="38">
        <f>IFERROR(_xlfn.XLOOKUP($D218,'Modelling New'!$D:$D,'Modelling New'!T:T)*1000,"")</f>
        <v>40947.895422803231</v>
      </c>
      <c r="AE218" s="164">
        <f t="shared" si="19"/>
        <v>0.71310474367994436</v>
      </c>
      <c r="AF218" s="164">
        <f>IFERROR(_xlfn.XLOOKUP($D218,'Modelling New'!$D:$D,'Modelling New'!W:W),"")</f>
        <v>0.16238339290791545</v>
      </c>
      <c r="AG218" s="164">
        <f>IFERROR(_xlfn.XLOOKUP($D218,'Modelling New'!$D:$D,'Modelling New'!AD:AD),"")</f>
        <v>0.995</v>
      </c>
      <c r="AH218" s="164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64"/>
      <c r="AO218" s="164"/>
      <c r="AP218" s="164"/>
      <c r="AQ218" s="164"/>
      <c r="AR218" s="38">
        <f>IFERROR(_xlfn.XLOOKUP($D218,'Modelling New'!$D:$D,'Modelling New'!$N:$N),"")</f>
        <v>10.507</v>
      </c>
      <c r="AS218" s="38"/>
      <c r="AT218" s="38" t="str">
        <f>IFERROR(_xlfn.XLOOKUP(Table13[[#This Row],[Date]],'Raw Data'!$G:$G,'Raw Data'!$AJ:$AJ),"")</f>
        <v/>
      </c>
      <c r="AU218" s="38">
        <f>IFERROR(_xlfn.XLOOKUP(Table13[[#This Row],[Month Year]],'Modelling New'!$D:$D,'Modelling New'!$AN:$AN),"")</f>
        <v>10</v>
      </c>
      <c r="AV218" s="38">
        <f>SUMIF('Curtailment records'!$C:$C,Table13[[#This Row],[Date]],'Curtailment records'!$R:$R)/1000</f>
        <v>0</v>
      </c>
    </row>
    <row r="219" spans="1:48">
      <c r="A219" s="66">
        <f t="shared" si="20"/>
        <v>45962</v>
      </c>
      <c r="B219" s="38">
        <f>YEAR(Table13[[#This Row],[Date]])+IF(MONTH(Table13[[#This Row],[Date]])&gt;=4,1,0)</f>
        <v>2026</v>
      </c>
      <c r="C219" s="17">
        <f>YEAR(Table13[[#This Row],[Date]])</f>
        <v>2025</v>
      </c>
      <c r="D219" s="37">
        <f>Table13[[#This Row],[Date]]-DAY(Table13[[#This Row],[Date]])+1</f>
        <v>45962</v>
      </c>
      <c r="E219" s="17">
        <f t="shared" si="21"/>
        <v>30</v>
      </c>
      <c r="F219" s="135" t="str" cm="1">
        <f t="array" ref="F219">IFERROR(_xlfn.XLOOKUP(Table13[[#This Row],[Date]],Raw_Data[[#All],[Date]],Raw_Data[[#All],[Operating Hours]]),"")</f>
        <v/>
      </c>
      <c r="G219" s="136" t="str">
        <f>IFERROR(_xlfn.XLOOKUP($A219,'Raw Data'!$G:$G,'Raw Data'!S:S)/1000,"")</f>
        <v/>
      </c>
      <c r="H219" s="136"/>
      <c r="I219" s="136" t="str">
        <f>IFERROR(_xlfn.XLOOKUP($A219,'Raw Data'!$G:$G,'Raw Data'!AF:AF)/1000,"")</f>
        <v/>
      </c>
      <c r="J219" s="136"/>
      <c r="K219" s="137" t="str">
        <f>IFERROR(_xlfn.XLOOKUP($A219,'Raw Data'!$G:$G,'Raw Data'!W:W),"")</f>
        <v/>
      </c>
      <c r="L219" s="136" t="str">
        <f>IFERROR(_xlfn.XLOOKUP($A219,'Raw Data'!$G:$G,'Raw Data'!X:X),"")</f>
        <v/>
      </c>
      <c r="M219" s="136" t="str">
        <f>IFERROR(_xlfn.XLOOKUP($A219,'Raw Data'!$G:$G,'Raw Data'!Y:Y),"")</f>
        <v/>
      </c>
      <c r="N219" s="136" t="str">
        <f>IFERROR(_xlfn.XLOOKUP($A219,'Raw Data'!$G:$G,'Raw Data'!Z:Z),"")</f>
        <v/>
      </c>
      <c r="O219" s="176" t="str">
        <f>IFERROR(1-SUMIF('Plant BD'!$B:$B,$A219,'Plant BD'!$AM:$AM)/($AA219+SUMIF('Plant BD'!$B:$B,$A219,'Plant BD'!$AM:$AM)),"")</f>
        <v/>
      </c>
      <c r="P219" s="176"/>
      <c r="Q219" s="177"/>
      <c r="R219" s="176" t="str">
        <f>IFERROR(1-SUMIF('Grid BD'!$B:$B,$A219,'Grid BD'!$AE:$AE)/($AA219+SUMIF('Grid BD'!$B:$B,$A219,'Grid BD'!$AE:$AE)),"")</f>
        <v/>
      </c>
      <c r="S219" s="17"/>
      <c r="T219" s="177" t="str">
        <f>IFERROR(1-SUMIF(Tracker_BD!H:H,$A219,Tracker_BD!AI:AI)/$F219,"")</f>
        <v/>
      </c>
      <c r="U219" s="178" t="str">
        <f t="shared" si="17"/>
        <v/>
      </c>
      <c r="V219" s="17"/>
      <c r="W219" s="164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38" t="str">
        <f>IFERROR(_xlfn.XLOOKUP($A219,'Raw Data'!$G:$G,'Raw Data'!AD:AD),"")</f>
        <v/>
      </c>
      <c r="AA219" s="38" t="str">
        <f>IFERROR(_xlfn.XLOOKUP($A219,'Raw Data'!$G:$G,'Raw Data'!AE:AE)*(1+(_xlfn.XLOOKUP(Table13[[#This Row],[Month Year]],JMR!$A:$A,JMR!$J:$J))),"")</f>
        <v/>
      </c>
      <c r="AB219" s="17">
        <f>_xlfn.XLOOKUP($D219,'Modelling New'!D:D,'Modelling New'!N:N)</f>
        <v>10.507</v>
      </c>
      <c r="AC219" s="24">
        <f>IFERROR(_xlfn.XLOOKUP($D219,'Modelling New'!$D:$D,'Modelling New'!P:P),"")</f>
        <v>5.2640218343333336</v>
      </c>
      <c r="AD219" s="38">
        <f>IFERROR(_xlfn.XLOOKUP($D219,'Modelling New'!$D:$D,'Modelling New'!T:T)*1000,"")</f>
        <v>38712.103320676884</v>
      </c>
      <c r="AE219" s="164">
        <f t="shared" si="19"/>
        <v>0.69992314338151795</v>
      </c>
      <c r="AF219" s="164">
        <f>IFERROR(_xlfn.XLOOKUP($D219,'Modelling New'!$D:$D,'Modelling New'!W:W),"")</f>
        <v>0.15351711287981379</v>
      </c>
      <c r="AG219" s="164">
        <f>IFERROR(_xlfn.XLOOKUP($D219,'Modelling New'!$D:$D,'Modelling New'!AD:AD),"")</f>
        <v>0.995</v>
      </c>
      <c r="AH219" s="164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64"/>
      <c r="AO219" s="164"/>
      <c r="AP219" s="164"/>
      <c r="AQ219" s="164"/>
      <c r="AR219" s="38">
        <f>IFERROR(_xlfn.XLOOKUP($D219,'Modelling New'!$D:$D,'Modelling New'!$N:$N),"")</f>
        <v>10.507</v>
      </c>
      <c r="AS219" s="38"/>
      <c r="AT219" s="38" t="str">
        <f>IFERROR(_xlfn.XLOOKUP(Table13[[#This Row],[Date]],'Raw Data'!$G:$G,'Raw Data'!$AJ:$AJ),"")</f>
        <v/>
      </c>
      <c r="AU219" s="38">
        <f>IFERROR(_xlfn.XLOOKUP(Table13[[#This Row],[Month Year]],'Modelling New'!$D:$D,'Modelling New'!$AN:$AN),"")</f>
        <v>10</v>
      </c>
      <c r="AV219" s="38">
        <f>SUMIF('Curtailment records'!$C:$C,Table13[[#This Row],[Date]],'Curtailment records'!$R:$R)/1000</f>
        <v>0</v>
      </c>
    </row>
    <row r="220" spans="1:48">
      <c r="A220" s="66">
        <f t="shared" si="20"/>
        <v>45963</v>
      </c>
      <c r="B220" s="38">
        <f>YEAR(Table13[[#This Row],[Date]])+IF(MONTH(Table13[[#This Row],[Date]])&gt;=4,1,0)</f>
        <v>2026</v>
      </c>
      <c r="C220" s="17">
        <f>YEAR(Table13[[#This Row],[Date]])</f>
        <v>2025</v>
      </c>
      <c r="D220" s="37">
        <f>Table13[[#This Row],[Date]]-DAY(Table13[[#This Row],[Date]])+1</f>
        <v>45962</v>
      </c>
      <c r="E220" s="17">
        <f t="shared" si="21"/>
        <v>30</v>
      </c>
      <c r="F220" s="135" t="str" cm="1">
        <f t="array" ref="F220">IFERROR(_xlfn.XLOOKUP(Table13[[#This Row],[Date]],Raw_Data[[#All],[Date]],Raw_Data[[#All],[Operating Hours]]),"")</f>
        <v/>
      </c>
      <c r="G220" s="24" t="str">
        <f>IFERROR(_xlfn.XLOOKUP($A220,'Raw Data'!$G:$G,'Raw Data'!S:S)/1000,"")</f>
        <v/>
      </c>
      <c r="H220" s="24"/>
      <c r="I220" s="24" t="str">
        <f>IFERROR(_xlfn.XLOOKUP($A220,'Raw Data'!$G:$G,'Raw Data'!AF:AF)/1000,"")</f>
        <v/>
      </c>
      <c r="J220" s="24"/>
      <c r="K220" s="137" t="str">
        <f>IFERROR(_xlfn.XLOOKUP($A220,'Raw Data'!$G:$G,'Raw Data'!W:W),"")</f>
        <v/>
      </c>
      <c r="L220" s="136" t="str">
        <f>IFERROR(_xlfn.XLOOKUP($A220,'Raw Data'!$G:$G,'Raw Data'!X:X),"")</f>
        <v/>
      </c>
      <c r="M220" s="136" t="str">
        <f>IFERROR(_xlfn.XLOOKUP($A220,'Raw Data'!$G:$G,'Raw Data'!Y:Y),"")</f>
        <v/>
      </c>
      <c r="N220" s="136" t="str">
        <f>IFERROR(_xlfn.XLOOKUP($A220,'Raw Data'!$G:$G,'Raw Data'!Z:Z),"")</f>
        <v/>
      </c>
      <c r="O220" s="176" t="str">
        <f>IFERROR(1-SUMIF('Plant BD'!$B:$B,$A220,'Plant BD'!$AM:$AM)/($AA220+SUMIF('Plant BD'!$B:$B,$A220,'Plant BD'!$AM:$AM)),"")</f>
        <v/>
      </c>
      <c r="P220" s="176"/>
      <c r="Q220" s="177"/>
      <c r="R220" s="179" t="str">
        <f>IFERROR(1-SUMIF('Grid BD'!$B:$B,$A220,'Grid BD'!$AE:$AE)/($AA220+SUMIF('Grid BD'!$B:$B,$A220,'Grid BD'!$AE:$AE)),"")</f>
        <v/>
      </c>
      <c r="S220" s="17"/>
      <c r="T220" s="177" t="str">
        <f>IFERROR(1-SUMIF(Tracker_BD!H:H,$A220,Tracker_BD!AI:AI)/$F220,"")</f>
        <v/>
      </c>
      <c r="U220" s="178" t="str">
        <f t="shared" si="17"/>
        <v/>
      </c>
      <c r="V220" s="17"/>
      <c r="W220" s="164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38" t="str">
        <f>IFERROR(_xlfn.XLOOKUP($A220,'Raw Data'!$G:$G,'Raw Data'!AD:AD),"")</f>
        <v/>
      </c>
      <c r="AA220" s="38" t="str">
        <f>IFERROR(_xlfn.XLOOKUP($A220,'Raw Data'!$G:$G,'Raw Data'!AE:AE)*(1+(_xlfn.XLOOKUP(Table13[[#This Row],[Month Year]],JMR!$A:$A,JMR!$J:$J))),"")</f>
        <v/>
      </c>
      <c r="AB220" s="17">
        <f>_xlfn.XLOOKUP($D220,'Modelling New'!D:D,'Modelling New'!N:N)</f>
        <v>10.507</v>
      </c>
      <c r="AC220" s="24">
        <f>IFERROR(_xlfn.XLOOKUP($D220,'Modelling New'!$D:$D,'Modelling New'!P:P),"")</f>
        <v>5.2640218343333336</v>
      </c>
      <c r="AD220" s="38">
        <f>IFERROR(_xlfn.XLOOKUP($D220,'Modelling New'!$D:$D,'Modelling New'!T:T)*1000,"")</f>
        <v>38712.103320676884</v>
      </c>
      <c r="AE220" s="164">
        <f t="shared" si="19"/>
        <v>0.69992314338151795</v>
      </c>
      <c r="AF220" s="164">
        <f>IFERROR(_xlfn.XLOOKUP($D220,'Modelling New'!$D:$D,'Modelling New'!W:W),"")</f>
        <v>0.15351711287981379</v>
      </c>
      <c r="AG220" s="164">
        <f>IFERROR(_xlfn.XLOOKUP($D220,'Modelling New'!$D:$D,'Modelling New'!AD:AD),"")</f>
        <v>0.995</v>
      </c>
      <c r="AH220" s="164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64"/>
      <c r="AO220" s="164"/>
      <c r="AP220" s="164"/>
      <c r="AQ220" s="164"/>
      <c r="AR220" s="38">
        <f>IFERROR(_xlfn.XLOOKUP($D220,'Modelling New'!$D:$D,'Modelling New'!$N:$N),"")</f>
        <v>10.507</v>
      </c>
      <c r="AS220" s="38"/>
      <c r="AT220" s="38" t="str">
        <f>IFERROR(_xlfn.XLOOKUP(Table13[[#This Row],[Date]],'Raw Data'!$G:$G,'Raw Data'!$AJ:$AJ),"")</f>
        <v/>
      </c>
      <c r="AU220" s="38">
        <f>IFERROR(_xlfn.XLOOKUP(Table13[[#This Row],[Month Year]],'Modelling New'!$D:$D,'Modelling New'!$AN:$AN),"")</f>
        <v>10</v>
      </c>
      <c r="AV220" s="38">
        <f>SUMIF('Curtailment records'!$C:$C,Table13[[#This Row],[Date]],'Curtailment records'!$R:$R)/1000</f>
        <v>0</v>
      </c>
    </row>
    <row r="221" spans="1:48">
      <c r="A221" s="66">
        <f t="shared" si="20"/>
        <v>45964</v>
      </c>
      <c r="B221" s="38">
        <f>YEAR(Table13[[#This Row],[Date]])+IF(MONTH(Table13[[#This Row],[Date]])&gt;=4,1,0)</f>
        <v>2026</v>
      </c>
      <c r="C221" s="17">
        <f>YEAR(Table13[[#This Row],[Date]])</f>
        <v>2025</v>
      </c>
      <c r="D221" s="37">
        <f>Table13[[#This Row],[Date]]-DAY(Table13[[#This Row],[Date]])+1</f>
        <v>45962</v>
      </c>
      <c r="E221" s="17">
        <f t="shared" si="21"/>
        <v>30</v>
      </c>
      <c r="F221" s="135" t="str" cm="1">
        <f t="array" ref="F221">IFERROR(_xlfn.XLOOKUP(Table13[[#This Row],[Date]],Raw_Data[[#All],[Date]],Raw_Data[[#All],[Operating Hours]]),"")</f>
        <v/>
      </c>
      <c r="G221" s="136" t="str">
        <f>IFERROR(_xlfn.XLOOKUP($A221,'Raw Data'!$G:$G,'Raw Data'!S:S)/1000,"")</f>
        <v/>
      </c>
      <c r="H221" s="136"/>
      <c r="I221" s="136" t="str">
        <f>IFERROR(_xlfn.XLOOKUP($A221,'Raw Data'!$G:$G,'Raw Data'!AF:AF)/1000,"")</f>
        <v/>
      </c>
      <c r="J221" s="136"/>
      <c r="K221" s="137" t="str">
        <f>IFERROR(_xlfn.XLOOKUP($A221,'Raw Data'!$G:$G,'Raw Data'!W:W),"")</f>
        <v/>
      </c>
      <c r="L221" s="136" t="str">
        <f>IFERROR(_xlfn.XLOOKUP($A221,'Raw Data'!$G:$G,'Raw Data'!X:X),"")</f>
        <v/>
      </c>
      <c r="M221" s="136" t="str">
        <f>IFERROR(_xlfn.XLOOKUP($A221,'Raw Data'!$G:$G,'Raw Data'!Y:Y),"")</f>
        <v/>
      </c>
      <c r="N221" s="136" t="str">
        <f>IFERROR(_xlfn.XLOOKUP($A221,'Raw Data'!$G:$G,'Raw Data'!Z:Z),"")</f>
        <v/>
      </c>
      <c r="O221" s="176" t="str">
        <f>IFERROR(1-SUMIF('Plant BD'!$B:$B,$A221,'Plant BD'!$AM:$AM)/($AA221+SUMIF('Plant BD'!$B:$B,$A221,'Plant BD'!$AM:$AM)),"")</f>
        <v/>
      </c>
      <c r="P221" s="176"/>
      <c r="Q221" s="177"/>
      <c r="R221" s="176" t="str">
        <f>IFERROR(1-SUMIF('Grid BD'!$B:$B,$A221,'Grid BD'!$AE:$AE)/($AA221+SUMIF('Grid BD'!$B:$B,$A221,'Grid BD'!$AE:$AE)),"")</f>
        <v/>
      </c>
      <c r="S221" s="17"/>
      <c r="T221" s="177" t="str">
        <f>IFERROR(1-SUMIF(Tracker_BD!H:H,$A221,Tracker_BD!AI:AI)/$F221,"")</f>
        <v/>
      </c>
      <c r="U221" s="178" t="str">
        <f t="shared" si="17"/>
        <v/>
      </c>
      <c r="V221" s="17"/>
      <c r="W221" s="164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38" t="str">
        <f>IFERROR(_xlfn.XLOOKUP($A221,'Raw Data'!$G:$G,'Raw Data'!AD:AD),"")</f>
        <v/>
      </c>
      <c r="AA221" s="38" t="str">
        <f>IFERROR(_xlfn.XLOOKUP($A221,'Raw Data'!$G:$G,'Raw Data'!AE:AE)*(1+(_xlfn.XLOOKUP(Table13[[#This Row],[Month Year]],JMR!$A:$A,JMR!$J:$J))),"")</f>
        <v/>
      </c>
      <c r="AB221" s="17">
        <f>_xlfn.XLOOKUP($D221,'Modelling New'!D:D,'Modelling New'!N:N)</f>
        <v>10.507</v>
      </c>
      <c r="AC221" s="24">
        <f>IFERROR(_xlfn.XLOOKUP($D221,'Modelling New'!$D:$D,'Modelling New'!P:P),"")</f>
        <v>5.2640218343333336</v>
      </c>
      <c r="AD221" s="38">
        <f>IFERROR(_xlfn.XLOOKUP($D221,'Modelling New'!$D:$D,'Modelling New'!T:T)*1000,"")</f>
        <v>38712.103320676884</v>
      </c>
      <c r="AE221" s="164">
        <f t="shared" si="19"/>
        <v>0.69992314338151795</v>
      </c>
      <c r="AF221" s="164">
        <f>IFERROR(_xlfn.XLOOKUP($D221,'Modelling New'!$D:$D,'Modelling New'!W:W),"")</f>
        <v>0.15351711287981379</v>
      </c>
      <c r="AG221" s="164">
        <f>IFERROR(_xlfn.XLOOKUP($D221,'Modelling New'!$D:$D,'Modelling New'!AD:AD),"")</f>
        <v>0.995</v>
      </c>
      <c r="AH221" s="164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64"/>
      <c r="AO221" s="164"/>
      <c r="AP221" s="164"/>
      <c r="AQ221" s="164"/>
      <c r="AR221" s="38">
        <f>IFERROR(_xlfn.XLOOKUP($D221,'Modelling New'!$D:$D,'Modelling New'!$N:$N),"")</f>
        <v>10.507</v>
      </c>
      <c r="AS221" s="38"/>
      <c r="AT221" s="38" t="str">
        <f>IFERROR(_xlfn.XLOOKUP(Table13[[#This Row],[Date]],'Raw Data'!$G:$G,'Raw Data'!$AJ:$AJ),"")</f>
        <v/>
      </c>
      <c r="AU221" s="38">
        <f>IFERROR(_xlfn.XLOOKUP(Table13[[#This Row],[Month Year]],'Modelling New'!$D:$D,'Modelling New'!$AN:$AN),"")</f>
        <v>10</v>
      </c>
      <c r="AV221" s="38">
        <f>SUMIF('Curtailment records'!$C:$C,Table13[[#This Row],[Date]],'Curtailment records'!$R:$R)/1000</f>
        <v>0</v>
      </c>
    </row>
    <row r="222" spans="1:48">
      <c r="A222" s="66">
        <f t="shared" si="20"/>
        <v>45965</v>
      </c>
      <c r="B222" s="38">
        <f>YEAR(Table13[[#This Row],[Date]])+IF(MONTH(Table13[[#This Row],[Date]])&gt;=4,1,0)</f>
        <v>2026</v>
      </c>
      <c r="C222" s="17">
        <f>YEAR(Table13[[#This Row],[Date]])</f>
        <v>2025</v>
      </c>
      <c r="D222" s="37">
        <f>Table13[[#This Row],[Date]]-DAY(Table13[[#This Row],[Date]])+1</f>
        <v>45962</v>
      </c>
      <c r="E222" s="17">
        <f t="shared" si="21"/>
        <v>30</v>
      </c>
      <c r="F222" s="135" t="str" cm="1">
        <f t="array" ref="F222">IFERROR(_xlfn.XLOOKUP(Table13[[#This Row],[Date]],Raw_Data[[#All],[Date]],Raw_Data[[#All],[Operating Hours]]),"")</f>
        <v/>
      </c>
      <c r="G222" s="24" t="str">
        <f>IFERROR(_xlfn.XLOOKUP($A222,'Raw Data'!$G:$G,'Raw Data'!S:S)/1000,"")</f>
        <v/>
      </c>
      <c r="H222" s="24"/>
      <c r="I222" s="24" t="str">
        <f>IFERROR(_xlfn.XLOOKUP($A222,'Raw Data'!$G:$G,'Raw Data'!AF:AF)/1000,"")</f>
        <v/>
      </c>
      <c r="J222" s="24"/>
      <c r="K222" s="137" t="str">
        <f>IFERROR(_xlfn.XLOOKUP($A222,'Raw Data'!$G:$G,'Raw Data'!W:W),"")</f>
        <v/>
      </c>
      <c r="L222" s="136" t="str">
        <f>IFERROR(_xlfn.XLOOKUP($A222,'Raw Data'!$G:$G,'Raw Data'!X:X),"")</f>
        <v/>
      </c>
      <c r="M222" s="136" t="str">
        <f>IFERROR(_xlfn.XLOOKUP($A222,'Raw Data'!$G:$G,'Raw Data'!Y:Y),"")</f>
        <v/>
      </c>
      <c r="N222" s="136" t="str">
        <f>IFERROR(_xlfn.XLOOKUP($A222,'Raw Data'!$G:$G,'Raw Data'!Z:Z),"")</f>
        <v/>
      </c>
      <c r="O222" s="176" t="str">
        <f>IFERROR(1-SUMIF('Plant BD'!$B:$B,$A222,'Plant BD'!$AM:$AM)/($AA222+SUMIF('Plant BD'!$B:$B,$A222,'Plant BD'!$AM:$AM)),"")</f>
        <v/>
      </c>
      <c r="P222" s="176"/>
      <c r="Q222" s="177"/>
      <c r="R222" s="179" t="str">
        <f>IFERROR(1-SUMIF('Grid BD'!$B:$B,$A222,'Grid BD'!$AE:$AE)/($AA222+SUMIF('Grid BD'!$B:$B,$A222,'Grid BD'!$AE:$AE)),"")</f>
        <v/>
      </c>
      <c r="S222" s="17"/>
      <c r="T222" s="177" t="str">
        <f>IFERROR(1-SUMIF(Tracker_BD!H:H,$A222,Tracker_BD!AI:AI)/$F222,"")</f>
        <v/>
      </c>
      <c r="U222" s="178" t="str">
        <f t="shared" si="17"/>
        <v/>
      </c>
      <c r="V222" s="17"/>
      <c r="W222" s="164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38" t="str">
        <f>IFERROR(_xlfn.XLOOKUP($A222,'Raw Data'!$G:$G,'Raw Data'!AD:AD),"")</f>
        <v/>
      </c>
      <c r="AA222" s="38" t="str">
        <f>IFERROR(_xlfn.XLOOKUP($A222,'Raw Data'!$G:$G,'Raw Data'!AE:AE)*(1+(_xlfn.XLOOKUP(Table13[[#This Row],[Month Year]],JMR!$A:$A,JMR!$J:$J))),"")</f>
        <v/>
      </c>
      <c r="AB222" s="17">
        <f>_xlfn.XLOOKUP($D222,'Modelling New'!D:D,'Modelling New'!N:N)</f>
        <v>10.507</v>
      </c>
      <c r="AC222" s="24">
        <f>IFERROR(_xlfn.XLOOKUP($D222,'Modelling New'!$D:$D,'Modelling New'!P:P),"")</f>
        <v>5.2640218343333336</v>
      </c>
      <c r="AD222" s="38">
        <f>IFERROR(_xlfn.XLOOKUP($D222,'Modelling New'!$D:$D,'Modelling New'!T:T)*1000,"")</f>
        <v>38712.103320676884</v>
      </c>
      <c r="AE222" s="164">
        <f t="shared" si="19"/>
        <v>0.69992314338151795</v>
      </c>
      <c r="AF222" s="164">
        <f>IFERROR(_xlfn.XLOOKUP($D222,'Modelling New'!$D:$D,'Modelling New'!W:W),"")</f>
        <v>0.15351711287981379</v>
      </c>
      <c r="AG222" s="164">
        <f>IFERROR(_xlfn.XLOOKUP($D222,'Modelling New'!$D:$D,'Modelling New'!AD:AD),"")</f>
        <v>0.995</v>
      </c>
      <c r="AH222" s="164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64"/>
      <c r="AO222" s="164"/>
      <c r="AP222" s="164"/>
      <c r="AQ222" s="164"/>
      <c r="AR222" s="38">
        <f>IFERROR(_xlfn.XLOOKUP($D222,'Modelling New'!$D:$D,'Modelling New'!$N:$N),"")</f>
        <v>10.507</v>
      </c>
      <c r="AS222" s="38"/>
      <c r="AT222" s="38" t="str">
        <f>IFERROR(_xlfn.XLOOKUP(Table13[[#This Row],[Date]],'Raw Data'!$G:$G,'Raw Data'!$AJ:$AJ),"")</f>
        <v/>
      </c>
      <c r="AU222" s="38">
        <f>IFERROR(_xlfn.XLOOKUP(Table13[[#This Row],[Month Year]],'Modelling New'!$D:$D,'Modelling New'!$AN:$AN),"")</f>
        <v>10</v>
      </c>
      <c r="AV222" s="38">
        <f>SUMIF('Curtailment records'!$C:$C,Table13[[#This Row],[Date]],'Curtailment records'!$R:$R)/1000</f>
        <v>0</v>
      </c>
    </row>
    <row r="223" spans="1:48">
      <c r="A223" s="66">
        <f t="shared" si="20"/>
        <v>45966</v>
      </c>
      <c r="B223" s="38">
        <f>YEAR(Table13[[#This Row],[Date]])+IF(MONTH(Table13[[#This Row],[Date]])&gt;=4,1,0)</f>
        <v>2026</v>
      </c>
      <c r="C223" s="17">
        <f>YEAR(Table13[[#This Row],[Date]])</f>
        <v>2025</v>
      </c>
      <c r="D223" s="37">
        <f>Table13[[#This Row],[Date]]-DAY(Table13[[#This Row],[Date]])+1</f>
        <v>45962</v>
      </c>
      <c r="E223" s="17">
        <f t="shared" si="21"/>
        <v>30</v>
      </c>
      <c r="F223" s="135" t="str" cm="1">
        <f t="array" ref="F223">IFERROR(_xlfn.XLOOKUP(Table13[[#This Row],[Date]],Raw_Data[[#All],[Date]],Raw_Data[[#All],[Operating Hours]]),"")</f>
        <v/>
      </c>
      <c r="G223" s="136" t="str">
        <f>IFERROR(_xlfn.XLOOKUP($A223,'Raw Data'!$G:$G,'Raw Data'!S:S)/1000,"")</f>
        <v/>
      </c>
      <c r="H223" s="136"/>
      <c r="I223" s="136" t="str">
        <f>IFERROR(_xlfn.XLOOKUP($A223,'Raw Data'!$G:$G,'Raw Data'!AF:AF)/1000,"")</f>
        <v/>
      </c>
      <c r="J223" s="136"/>
      <c r="K223" s="137" t="str">
        <f>IFERROR(_xlfn.XLOOKUP($A223,'Raw Data'!$G:$G,'Raw Data'!W:W),"")</f>
        <v/>
      </c>
      <c r="L223" s="136" t="str">
        <f>IFERROR(_xlfn.XLOOKUP($A223,'Raw Data'!$G:$G,'Raw Data'!X:X),"")</f>
        <v/>
      </c>
      <c r="M223" s="136" t="str">
        <f>IFERROR(_xlfn.XLOOKUP($A223,'Raw Data'!$G:$G,'Raw Data'!Y:Y),"")</f>
        <v/>
      </c>
      <c r="N223" s="136" t="str">
        <f>IFERROR(_xlfn.XLOOKUP($A223,'Raw Data'!$G:$G,'Raw Data'!Z:Z),"")</f>
        <v/>
      </c>
      <c r="O223" s="176" t="str">
        <f>IFERROR(1-SUMIF('Plant BD'!$B:$B,$A223,'Plant BD'!$AM:$AM)/($AA223+SUMIF('Plant BD'!$B:$B,$A223,'Plant BD'!$AM:$AM)),"")</f>
        <v/>
      </c>
      <c r="P223" s="176"/>
      <c r="Q223" s="177"/>
      <c r="R223" s="176" t="str">
        <f>IFERROR(1-SUMIF('Grid BD'!$B:$B,$A223,'Grid BD'!$AE:$AE)/($AA223+SUMIF('Grid BD'!$B:$B,$A223,'Grid BD'!$AE:$AE)),"")</f>
        <v/>
      </c>
      <c r="S223" s="17"/>
      <c r="T223" s="177" t="str">
        <f>IFERROR(1-SUMIF(Tracker_BD!H:H,$A223,Tracker_BD!AI:AI)/$F223,"")</f>
        <v/>
      </c>
      <c r="U223" s="178" t="str">
        <f t="shared" si="17"/>
        <v/>
      </c>
      <c r="V223" s="17"/>
      <c r="W223" s="164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38" t="str">
        <f>IFERROR(_xlfn.XLOOKUP($A223,'Raw Data'!$G:$G,'Raw Data'!AD:AD),"")</f>
        <v/>
      </c>
      <c r="AA223" s="38" t="str">
        <f>IFERROR(_xlfn.XLOOKUP($A223,'Raw Data'!$G:$G,'Raw Data'!AE:AE)*(1+(_xlfn.XLOOKUP(Table13[[#This Row],[Month Year]],JMR!$A:$A,JMR!$J:$J))),"")</f>
        <v/>
      </c>
      <c r="AB223" s="17">
        <f>_xlfn.XLOOKUP($D223,'Modelling New'!D:D,'Modelling New'!N:N)</f>
        <v>10.507</v>
      </c>
      <c r="AC223" s="24">
        <f>IFERROR(_xlfn.XLOOKUP($D223,'Modelling New'!$D:$D,'Modelling New'!P:P),"")</f>
        <v>5.2640218343333336</v>
      </c>
      <c r="AD223" s="38">
        <f>IFERROR(_xlfn.XLOOKUP($D223,'Modelling New'!$D:$D,'Modelling New'!T:T)*1000,"")</f>
        <v>38712.103320676884</v>
      </c>
      <c r="AE223" s="164">
        <f t="shared" si="19"/>
        <v>0.69992314338151795</v>
      </c>
      <c r="AF223" s="164">
        <f>IFERROR(_xlfn.XLOOKUP($D223,'Modelling New'!$D:$D,'Modelling New'!W:W),"")</f>
        <v>0.15351711287981379</v>
      </c>
      <c r="AG223" s="164">
        <f>IFERROR(_xlfn.XLOOKUP($D223,'Modelling New'!$D:$D,'Modelling New'!AD:AD),"")</f>
        <v>0.995</v>
      </c>
      <c r="AH223" s="164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64"/>
      <c r="AO223" s="164"/>
      <c r="AP223" s="164"/>
      <c r="AQ223" s="164"/>
      <c r="AR223" s="38">
        <f>IFERROR(_xlfn.XLOOKUP($D223,'Modelling New'!$D:$D,'Modelling New'!$N:$N),"")</f>
        <v>10.507</v>
      </c>
      <c r="AS223" s="38"/>
      <c r="AT223" s="38" t="str">
        <f>IFERROR(_xlfn.XLOOKUP(Table13[[#This Row],[Date]],'Raw Data'!$G:$G,'Raw Data'!$AJ:$AJ),"")</f>
        <v/>
      </c>
      <c r="AU223" s="38">
        <f>IFERROR(_xlfn.XLOOKUP(Table13[[#This Row],[Month Year]],'Modelling New'!$D:$D,'Modelling New'!$AN:$AN),"")</f>
        <v>10</v>
      </c>
      <c r="AV223" s="38">
        <f>SUMIF('Curtailment records'!$C:$C,Table13[[#This Row],[Date]],'Curtailment records'!$R:$R)/1000</f>
        <v>0</v>
      </c>
    </row>
    <row r="224" spans="1:48">
      <c r="A224" s="66">
        <f t="shared" si="20"/>
        <v>45967</v>
      </c>
      <c r="B224" s="38">
        <f>YEAR(Table13[[#This Row],[Date]])+IF(MONTH(Table13[[#This Row],[Date]])&gt;=4,1,0)</f>
        <v>2026</v>
      </c>
      <c r="C224" s="17">
        <f>YEAR(Table13[[#This Row],[Date]])</f>
        <v>2025</v>
      </c>
      <c r="D224" s="37">
        <f>Table13[[#This Row],[Date]]-DAY(Table13[[#This Row],[Date]])+1</f>
        <v>45962</v>
      </c>
      <c r="E224" s="17">
        <f t="shared" si="21"/>
        <v>30</v>
      </c>
      <c r="F224" s="135" t="str" cm="1">
        <f t="array" ref="F224">IFERROR(_xlfn.XLOOKUP(Table13[[#This Row],[Date]],Raw_Data[[#All],[Date]],Raw_Data[[#All],[Operating Hours]]),"")</f>
        <v/>
      </c>
      <c r="G224" s="24" t="str">
        <f>IFERROR(_xlfn.XLOOKUP($A224,'Raw Data'!$G:$G,'Raw Data'!S:S)/1000,"")</f>
        <v/>
      </c>
      <c r="H224" s="24"/>
      <c r="I224" s="24" t="str">
        <f>IFERROR(_xlfn.XLOOKUP($A224,'Raw Data'!$G:$G,'Raw Data'!AF:AF)/1000,"")</f>
        <v/>
      </c>
      <c r="J224" s="24"/>
      <c r="K224" s="137" t="str">
        <f>IFERROR(_xlfn.XLOOKUP($A224,'Raw Data'!$G:$G,'Raw Data'!W:W),"")</f>
        <v/>
      </c>
      <c r="L224" s="136" t="str">
        <f>IFERROR(_xlfn.XLOOKUP($A224,'Raw Data'!$G:$G,'Raw Data'!X:X),"")</f>
        <v/>
      </c>
      <c r="M224" s="136" t="str">
        <f>IFERROR(_xlfn.XLOOKUP($A224,'Raw Data'!$G:$G,'Raw Data'!Y:Y),"")</f>
        <v/>
      </c>
      <c r="N224" s="136" t="str">
        <f>IFERROR(_xlfn.XLOOKUP($A224,'Raw Data'!$G:$G,'Raw Data'!Z:Z),"")</f>
        <v/>
      </c>
      <c r="O224" s="176" t="str">
        <f>IFERROR(1-SUMIF('Plant BD'!$B:$B,$A224,'Plant BD'!$AM:$AM)/($AA224+SUMIF('Plant BD'!$B:$B,$A224,'Plant BD'!$AM:$AM)),"")</f>
        <v/>
      </c>
      <c r="P224" s="176"/>
      <c r="Q224" s="177"/>
      <c r="R224" s="179" t="str">
        <f>IFERROR(1-SUMIF('Grid BD'!$B:$B,$A224,'Grid BD'!$AE:$AE)/($AA224+SUMIF('Grid BD'!$B:$B,$A224,'Grid BD'!$AE:$AE)),"")</f>
        <v/>
      </c>
      <c r="S224" s="17"/>
      <c r="T224" s="177" t="str">
        <f>IFERROR(1-SUMIF(Tracker_BD!H:H,$A224,Tracker_BD!AI:AI)/$F224,"")</f>
        <v/>
      </c>
      <c r="U224" s="178" t="str">
        <f t="shared" si="17"/>
        <v/>
      </c>
      <c r="V224" s="17"/>
      <c r="W224" s="164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38" t="str">
        <f>IFERROR(_xlfn.XLOOKUP($A224,'Raw Data'!$G:$G,'Raw Data'!AD:AD),"")</f>
        <v/>
      </c>
      <c r="AA224" s="38" t="str">
        <f>IFERROR(_xlfn.XLOOKUP($A224,'Raw Data'!$G:$G,'Raw Data'!AE:AE)*(1+(_xlfn.XLOOKUP(Table13[[#This Row],[Month Year]],JMR!$A:$A,JMR!$J:$J))),"")</f>
        <v/>
      </c>
      <c r="AB224" s="17">
        <f>_xlfn.XLOOKUP($D224,'Modelling New'!D:D,'Modelling New'!N:N)</f>
        <v>10.507</v>
      </c>
      <c r="AC224" s="24">
        <f>IFERROR(_xlfn.XLOOKUP($D224,'Modelling New'!$D:$D,'Modelling New'!P:P),"")</f>
        <v>5.2640218343333336</v>
      </c>
      <c r="AD224" s="38">
        <f>IFERROR(_xlfn.XLOOKUP($D224,'Modelling New'!$D:$D,'Modelling New'!T:T)*1000,"")</f>
        <v>38712.103320676884</v>
      </c>
      <c r="AE224" s="164">
        <f t="shared" si="19"/>
        <v>0.69992314338151795</v>
      </c>
      <c r="AF224" s="164">
        <f>IFERROR(_xlfn.XLOOKUP($D224,'Modelling New'!$D:$D,'Modelling New'!W:W),"")</f>
        <v>0.15351711287981379</v>
      </c>
      <c r="AG224" s="164">
        <f>IFERROR(_xlfn.XLOOKUP($D224,'Modelling New'!$D:$D,'Modelling New'!AD:AD),"")</f>
        <v>0.995</v>
      </c>
      <c r="AH224" s="164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64"/>
      <c r="AO224" s="164"/>
      <c r="AP224" s="164"/>
      <c r="AQ224" s="164"/>
      <c r="AR224" s="38">
        <f>IFERROR(_xlfn.XLOOKUP($D224,'Modelling New'!$D:$D,'Modelling New'!$N:$N),"")</f>
        <v>10.507</v>
      </c>
      <c r="AS224" s="38"/>
      <c r="AT224" s="38" t="str">
        <f>IFERROR(_xlfn.XLOOKUP(Table13[[#This Row],[Date]],'Raw Data'!$G:$G,'Raw Data'!$AJ:$AJ),"")</f>
        <v/>
      </c>
      <c r="AU224" s="38">
        <f>IFERROR(_xlfn.XLOOKUP(Table13[[#This Row],[Month Year]],'Modelling New'!$D:$D,'Modelling New'!$AN:$AN),"")</f>
        <v>10</v>
      </c>
      <c r="AV224" s="38">
        <f>SUMIF('Curtailment records'!$C:$C,Table13[[#This Row],[Date]],'Curtailment records'!$R:$R)/1000</f>
        <v>0</v>
      </c>
    </row>
    <row r="225" spans="1:48">
      <c r="A225" s="66">
        <f t="shared" si="20"/>
        <v>45968</v>
      </c>
      <c r="B225" s="38">
        <f>YEAR(Table13[[#This Row],[Date]])+IF(MONTH(Table13[[#This Row],[Date]])&gt;=4,1,0)</f>
        <v>2026</v>
      </c>
      <c r="C225" s="17">
        <f>YEAR(Table13[[#This Row],[Date]])</f>
        <v>2025</v>
      </c>
      <c r="D225" s="37">
        <f>Table13[[#This Row],[Date]]-DAY(Table13[[#This Row],[Date]])+1</f>
        <v>45962</v>
      </c>
      <c r="E225" s="17">
        <f t="shared" si="21"/>
        <v>30</v>
      </c>
      <c r="F225" s="135" t="str" cm="1">
        <f t="array" ref="F225">IFERROR(_xlfn.XLOOKUP(Table13[[#This Row],[Date]],Raw_Data[[#All],[Date]],Raw_Data[[#All],[Operating Hours]]),"")</f>
        <v/>
      </c>
      <c r="G225" s="136" t="str">
        <f>IFERROR(_xlfn.XLOOKUP($A225,'Raw Data'!$G:$G,'Raw Data'!S:S)/1000,"")</f>
        <v/>
      </c>
      <c r="H225" s="136"/>
      <c r="I225" s="136" t="str">
        <f>IFERROR(_xlfn.XLOOKUP($A225,'Raw Data'!$G:$G,'Raw Data'!AF:AF)/1000,"")</f>
        <v/>
      </c>
      <c r="J225" s="136"/>
      <c r="K225" s="137" t="str">
        <f>IFERROR(_xlfn.XLOOKUP($A225,'Raw Data'!$G:$G,'Raw Data'!W:W),"")</f>
        <v/>
      </c>
      <c r="L225" s="136" t="str">
        <f>IFERROR(_xlfn.XLOOKUP($A225,'Raw Data'!$G:$G,'Raw Data'!X:X),"")</f>
        <v/>
      </c>
      <c r="M225" s="136" t="str">
        <f>IFERROR(_xlfn.XLOOKUP($A225,'Raw Data'!$G:$G,'Raw Data'!Y:Y),"")</f>
        <v/>
      </c>
      <c r="N225" s="136" t="str">
        <f>IFERROR(_xlfn.XLOOKUP($A225,'Raw Data'!$G:$G,'Raw Data'!Z:Z),"")</f>
        <v/>
      </c>
      <c r="O225" s="176" t="str">
        <f>IFERROR(1-SUMIF('Plant BD'!$B:$B,$A225,'Plant BD'!$AM:$AM)/($AA225+SUMIF('Plant BD'!$B:$B,$A225,'Plant BD'!$AM:$AM)),"")</f>
        <v/>
      </c>
      <c r="P225" s="176"/>
      <c r="Q225" s="177"/>
      <c r="R225" s="176" t="str">
        <f>IFERROR(1-SUMIF('Grid BD'!$B:$B,$A225,'Grid BD'!$AE:$AE)/($AA225+SUMIF('Grid BD'!$B:$B,$A225,'Grid BD'!$AE:$AE)),"")</f>
        <v/>
      </c>
      <c r="S225" s="17"/>
      <c r="T225" s="177" t="str">
        <f>IFERROR(1-SUMIF(Tracker_BD!H:H,$A225,Tracker_BD!AI:AI)/$F225,"")</f>
        <v/>
      </c>
      <c r="U225" s="178" t="str">
        <f t="shared" si="17"/>
        <v/>
      </c>
      <c r="V225" s="17"/>
      <c r="W225" s="164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38" t="str">
        <f>IFERROR(_xlfn.XLOOKUP($A225,'Raw Data'!$G:$G,'Raw Data'!AD:AD),"")</f>
        <v/>
      </c>
      <c r="AA225" s="38" t="str">
        <f>IFERROR(_xlfn.XLOOKUP($A225,'Raw Data'!$G:$G,'Raw Data'!AE:AE)*(1+(_xlfn.XLOOKUP(Table13[[#This Row],[Month Year]],JMR!$A:$A,JMR!$J:$J))),"")</f>
        <v/>
      </c>
      <c r="AB225" s="17">
        <f>_xlfn.XLOOKUP($D225,'Modelling New'!D:D,'Modelling New'!N:N)</f>
        <v>10.507</v>
      </c>
      <c r="AC225" s="24">
        <f>IFERROR(_xlfn.XLOOKUP($D225,'Modelling New'!$D:$D,'Modelling New'!P:P),"")</f>
        <v>5.2640218343333336</v>
      </c>
      <c r="AD225" s="38">
        <f>IFERROR(_xlfn.XLOOKUP($D225,'Modelling New'!$D:$D,'Modelling New'!T:T)*1000,"")</f>
        <v>38712.103320676884</v>
      </c>
      <c r="AE225" s="164">
        <f t="shared" si="19"/>
        <v>0.69992314338151795</v>
      </c>
      <c r="AF225" s="164">
        <f>IFERROR(_xlfn.XLOOKUP($D225,'Modelling New'!$D:$D,'Modelling New'!W:W),"")</f>
        <v>0.15351711287981379</v>
      </c>
      <c r="AG225" s="164">
        <f>IFERROR(_xlfn.XLOOKUP($D225,'Modelling New'!$D:$D,'Modelling New'!AD:AD),"")</f>
        <v>0.995</v>
      </c>
      <c r="AH225" s="164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64"/>
      <c r="AO225" s="164"/>
      <c r="AP225" s="164"/>
      <c r="AQ225" s="164"/>
      <c r="AR225" s="38">
        <f>IFERROR(_xlfn.XLOOKUP($D225,'Modelling New'!$D:$D,'Modelling New'!$N:$N),"")</f>
        <v>10.507</v>
      </c>
      <c r="AS225" s="38"/>
      <c r="AT225" s="38" t="str">
        <f>IFERROR(_xlfn.XLOOKUP(Table13[[#This Row],[Date]],'Raw Data'!$G:$G,'Raw Data'!$AJ:$AJ),"")</f>
        <v/>
      </c>
      <c r="AU225" s="38">
        <f>IFERROR(_xlfn.XLOOKUP(Table13[[#This Row],[Month Year]],'Modelling New'!$D:$D,'Modelling New'!$AN:$AN),"")</f>
        <v>10</v>
      </c>
      <c r="AV225" s="38">
        <f>SUMIF('Curtailment records'!$C:$C,Table13[[#This Row],[Date]],'Curtailment records'!$R:$R)/1000</f>
        <v>0</v>
      </c>
    </row>
    <row r="226" spans="1:48">
      <c r="A226" s="66">
        <f t="shared" si="20"/>
        <v>45969</v>
      </c>
      <c r="B226" s="38">
        <f>YEAR(Table13[[#This Row],[Date]])+IF(MONTH(Table13[[#This Row],[Date]])&gt;=4,1,0)</f>
        <v>2026</v>
      </c>
      <c r="C226" s="17">
        <f>YEAR(Table13[[#This Row],[Date]])</f>
        <v>2025</v>
      </c>
      <c r="D226" s="37">
        <f>Table13[[#This Row],[Date]]-DAY(Table13[[#This Row],[Date]])+1</f>
        <v>45962</v>
      </c>
      <c r="E226" s="17">
        <f t="shared" si="21"/>
        <v>30</v>
      </c>
      <c r="F226" s="135" t="str" cm="1">
        <f t="array" ref="F226">IFERROR(_xlfn.XLOOKUP(Table13[[#This Row],[Date]],Raw_Data[[#All],[Date]],Raw_Data[[#All],[Operating Hours]]),"")</f>
        <v/>
      </c>
      <c r="G226" s="24" t="str">
        <f>IFERROR(_xlfn.XLOOKUP($A226,'Raw Data'!$G:$G,'Raw Data'!S:S)/1000,"")</f>
        <v/>
      </c>
      <c r="H226" s="24"/>
      <c r="I226" s="24" t="str">
        <f>IFERROR(_xlfn.XLOOKUP($A226,'Raw Data'!$G:$G,'Raw Data'!AF:AF)/1000,"")</f>
        <v/>
      </c>
      <c r="J226" s="24"/>
      <c r="K226" s="137" t="str">
        <f>IFERROR(_xlfn.XLOOKUP($A226,'Raw Data'!$G:$G,'Raw Data'!W:W),"")</f>
        <v/>
      </c>
      <c r="L226" s="136" t="str">
        <f>IFERROR(_xlfn.XLOOKUP($A226,'Raw Data'!$G:$G,'Raw Data'!X:X),"")</f>
        <v/>
      </c>
      <c r="M226" s="136" t="str">
        <f>IFERROR(_xlfn.XLOOKUP($A226,'Raw Data'!$G:$G,'Raw Data'!Y:Y),"")</f>
        <v/>
      </c>
      <c r="N226" s="136" t="str">
        <f>IFERROR(_xlfn.XLOOKUP($A226,'Raw Data'!$G:$G,'Raw Data'!Z:Z),"")</f>
        <v/>
      </c>
      <c r="O226" s="176" t="str">
        <f>IFERROR(1-SUMIF('Plant BD'!$B:$B,$A226,'Plant BD'!$AM:$AM)/($AA226+SUMIF('Plant BD'!$B:$B,$A226,'Plant BD'!$AM:$AM)),"")</f>
        <v/>
      </c>
      <c r="P226" s="176"/>
      <c r="Q226" s="177"/>
      <c r="R226" s="179" t="str">
        <f>IFERROR(1-SUMIF('Grid BD'!$B:$B,$A226,'Grid BD'!$AE:$AE)/($AA226+SUMIF('Grid BD'!$B:$B,$A226,'Grid BD'!$AE:$AE)),"")</f>
        <v/>
      </c>
      <c r="S226" s="17"/>
      <c r="T226" s="177" t="str">
        <f>IFERROR(1-SUMIF(Tracker_BD!H:H,$A226,Tracker_BD!AI:AI)/$F226,"")</f>
        <v/>
      </c>
      <c r="U226" s="178" t="str">
        <f t="shared" si="17"/>
        <v/>
      </c>
      <c r="V226" s="17"/>
      <c r="W226" s="164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38" t="str">
        <f>IFERROR(_xlfn.XLOOKUP($A226,'Raw Data'!$G:$G,'Raw Data'!AD:AD),"")</f>
        <v/>
      </c>
      <c r="AA226" s="38" t="str">
        <f>IFERROR(_xlfn.XLOOKUP($A226,'Raw Data'!$G:$G,'Raw Data'!AE:AE)*(1+(_xlfn.XLOOKUP(Table13[[#This Row],[Month Year]],JMR!$A:$A,JMR!$J:$J))),"")</f>
        <v/>
      </c>
      <c r="AB226" s="17">
        <f>_xlfn.XLOOKUP($D226,'Modelling New'!D:D,'Modelling New'!N:N)</f>
        <v>10.507</v>
      </c>
      <c r="AC226" s="24">
        <f>IFERROR(_xlfn.XLOOKUP($D226,'Modelling New'!$D:$D,'Modelling New'!P:P),"")</f>
        <v>5.2640218343333336</v>
      </c>
      <c r="AD226" s="38">
        <f>IFERROR(_xlfn.XLOOKUP($D226,'Modelling New'!$D:$D,'Modelling New'!T:T)*1000,"")</f>
        <v>38712.103320676884</v>
      </c>
      <c r="AE226" s="164">
        <f t="shared" si="19"/>
        <v>0.69992314338151795</v>
      </c>
      <c r="AF226" s="164">
        <f>IFERROR(_xlfn.XLOOKUP($D226,'Modelling New'!$D:$D,'Modelling New'!W:W),"")</f>
        <v>0.15351711287981379</v>
      </c>
      <c r="AG226" s="164">
        <f>IFERROR(_xlfn.XLOOKUP($D226,'Modelling New'!$D:$D,'Modelling New'!AD:AD),"")</f>
        <v>0.995</v>
      </c>
      <c r="AH226" s="164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64"/>
      <c r="AO226" s="164"/>
      <c r="AP226" s="164"/>
      <c r="AQ226" s="164"/>
      <c r="AR226" s="38">
        <f>IFERROR(_xlfn.XLOOKUP($D226,'Modelling New'!$D:$D,'Modelling New'!$N:$N),"")</f>
        <v>10.507</v>
      </c>
      <c r="AS226" s="38"/>
      <c r="AT226" s="38" t="str">
        <f>IFERROR(_xlfn.XLOOKUP(Table13[[#This Row],[Date]],'Raw Data'!$G:$G,'Raw Data'!$AJ:$AJ),"")</f>
        <v/>
      </c>
      <c r="AU226" s="38">
        <f>IFERROR(_xlfn.XLOOKUP(Table13[[#This Row],[Month Year]],'Modelling New'!$D:$D,'Modelling New'!$AN:$AN),"")</f>
        <v>10</v>
      </c>
      <c r="AV226" s="38">
        <f>SUMIF('Curtailment records'!$C:$C,Table13[[#This Row],[Date]],'Curtailment records'!$R:$R)/1000</f>
        <v>0</v>
      </c>
    </row>
    <row r="227" spans="1:48">
      <c r="A227" s="66">
        <f t="shared" si="20"/>
        <v>45970</v>
      </c>
      <c r="B227" s="38">
        <f>YEAR(Table13[[#This Row],[Date]])+IF(MONTH(Table13[[#This Row],[Date]])&gt;=4,1,0)</f>
        <v>2026</v>
      </c>
      <c r="C227" s="17">
        <f>YEAR(Table13[[#This Row],[Date]])</f>
        <v>2025</v>
      </c>
      <c r="D227" s="37">
        <f>Table13[[#This Row],[Date]]-DAY(Table13[[#This Row],[Date]])+1</f>
        <v>45962</v>
      </c>
      <c r="E227" s="17">
        <f t="shared" si="21"/>
        <v>30</v>
      </c>
      <c r="F227" s="135" t="str" cm="1">
        <f t="array" ref="F227">IFERROR(_xlfn.XLOOKUP(Table13[[#This Row],[Date]],Raw_Data[[#All],[Date]],Raw_Data[[#All],[Operating Hours]]),"")</f>
        <v/>
      </c>
      <c r="G227" s="136" t="str">
        <f>IFERROR(_xlfn.XLOOKUP($A227,'Raw Data'!$G:$G,'Raw Data'!S:S)/1000,"")</f>
        <v/>
      </c>
      <c r="H227" s="136"/>
      <c r="I227" s="136" t="str">
        <f>IFERROR(_xlfn.XLOOKUP($A227,'Raw Data'!$G:$G,'Raw Data'!AF:AF)/1000,"")</f>
        <v/>
      </c>
      <c r="J227" s="136"/>
      <c r="K227" s="137" t="str">
        <f>IFERROR(_xlfn.XLOOKUP($A227,'Raw Data'!$G:$G,'Raw Data'!W:W),"")</f>
        <v/>
      </c>
      <c r="L227" s="136" t="str">
        <f>IFERROR(_xlfn.XLOOKUP($A227,'Raw Data'!$G:$G,'Raw Data'!X:X),"")</f>
        <v/>
      </c>
      <c r="M227" s="136" t="str">
        <f>IFERROR(_xlfn.XLOOKUP($A227,'Raw Data'!$G:$G,'Raw Data'!Y:Y),"")</f>
        <v/>
      </c>
      <c r="N227" s="136" t="str">
        <f>IFERROR(_xlfn.XLOOKUP($A227,'Raw Data'!$G:$G,'Raw Data'!Z:Z),"")</f>
        <v/>
      </c>
      <c r="O227" s="176" t="str">
        <f>IFERROR(1-SUMIF('Plant BD'!$B:$B,$A227,'Plant BD'!$AM:$AM)/($AA227+SUMIF('Plant BD'!$B:$B,$A227,'Plant BD'!$AM:$AM)),"")</f>
        <v/>
      </c>
      <c r="P227" s="176"/>
      <c r="Q227" s="177"/>
      <c r="R227" s="176" t="str">
        <f>IFERROR(1-SUMIF('Grid BD'!$B:$B,$A227,'Grid BD'!$AE:$AE)/($AA227+SUMIF('Grid BD'!$B:$B,$A227,'Grid BD'!$AE:$AE)),"")</f>
        <v/>
      </c>
      <c r="S227" s="17"/>
      <c r="T227" s="177" t="str">
        <f>IFERROR(1-SUMIF(Tracker_BD!H:H,$A227,Tracker_BD!AI:AI)/$F227,"")</f>
        <v/>
      </c>
      <c r="U227" s="178" t="str">
        <f t="shared" si="17"/>
        <v/>
      </c>
      <c r="V227" s="17"/>
      <c r="W227" s="164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38" t="str">
        <f>IFERROR(_xlfn.XLOOKUP($A227,'Raw Data'!$G:$G,'Raw Data'!AD:AD),"")</f>
        <v/>
      </c>
      <c r="AA227" s="38" t="str">
        <f>IFERROR(_xlfn.XLOOKUP($A227,'Raw Data'!$G:$G,'Raw Data'!AE:AE)*(1+(_xlfn.XLOOKUP(Table13[[#This Row],[Month Year]],JMR!$A:$A,JMR!$J:$J))),"")</f>
        <v/>
      </c>
      <c r="AB227" s="17">
        <f>_xlfn.XLOOKUP($D227,'Modelling New'!D:D,'Modelling New'!N:N)</f>
        <v>10.507</v>
      </c>
      <c r="AC227" s="24">
        <f>IFERROR(_xlfn.XLOOKUP($D227,'Modelling New'!$D:$D,'Modelling New'!P:P),"")</f>
        <v>5.2640218343333336</v>
      </c>
      <c r="AD227" s="38">
        <f>IFERROR(_xlfn.XLOOKUP($D227,'Modelling New'!$D:$D,'Modelling New'!T:T)*1000,"")</f>
        <v>38712.103320676884</v>
      </c>
      <c r="AE227" s="164">
        <f t="shared" si="19"/>
        <v>0.69992314338151795</v>
      </c>
      <c r="AF227" s="164">
        <f>IFERROR(_xlfn.XLOOKUP($D227,'Modelling New'!$D:$D,'Modelling New'!W:W),"")</f>
        <v>0.15351711287981379</v>
      </c>
      <c r="AG227" s="164">
        <f>IFERROR(_xlfn.XLOOKUP($D227,'Modelling New'!$D:$D,'Modelling New'!AD:AD),"")</f>
        <v>0.995</v>
      </c>
      <c r="AH227" s="164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64"/>
      <c r="AO227" s="164"/>
      <c r="AP227" s="164"/>
      <c r="AQ227" s="164"/>
      <c r="AR227" s="38">
        <f>IFERROR(_xlfn.XLOOKUP($D227,'Modelling New'!$D:$D,'Modelling New'!$N:$N),"")</f>
        <v>10.507</v>
      </c>
      <c r="AS227" s="38"/>
      <c r="AT227" s="38" t="str">
        <f>IFERROR(_xlfn.XLOOKUP(Table13[[#This Row],[Date]],'Raw Data'!$G:$G,'Raw Data'!$AJ:$AJ),"")</f>
        <v/>
      </c>
      <c r="AU227" s="38">
        <f>IFERROR(_xlfn.XLOOKUP(Table13[[#This Row],[Month Year]],'Modelling New'!$D:$D,'Modelling New'!$AN:$AN),"")</f>
        <v>10</v>
      </c>
      <c r="AV227" s="38">
        <f>SUMIF('Curtailment records'!$C:$C,Table13[[#This Row],[Date]],'Curtailment records'!$R:$R)/1000</f>
        <v>0</v>
      </c>
    </row>
    <row r="228" spans="1:48">
      <c r="A228" s="66">
        <f t="shared" si="20"/>
        <v>45971</v>
      </c>
      <c r="B228" s="38">
        <f>YEAR(Table13[[#This Row],[Date]])+IF(MONTH(Table13[[#This Row],[Date]])&gt;=4,1,0)</f>
        <v>2026</v>
      </c>
      <c r="C228" s="17">
        <f>YEAR(Table13[[#This Row],[Date]])</f>
        <v>2025</v>
      </c>
      <c r="D228" s="37">
        <f>Table13[[#This Row],[Date]]-DAY(Table13[[#This Row],[Date]])+1</f>
        <v>45962</v>
      </c>
      <c r="E228" s="17">
        <f t="shared" si="21"/>
        <v>30</v>
      </c>
      <c r="F228" s="135" t="str" cm="1">
        <f t="array" ref="F228">IFERROR(_xlfn.XLOOKUP(Table13[[#This Row],[Date]],Raw_Data[[#All],[Date]],Raw_Data[[#All],[Operating Hours]]),"")</f>
        <v/>
      </c>
      <c r="G228" s="24" t="str">
        <f>IFERROR(_xlfn.XLOOKUP($A228,'Raw Data'!$G:$G,'Raw Data'!S:S)/1000,"")</f>
        <v/>
      </c>
      <c r="H228" s="24"/>
      <c r="I228" s="24" t="str">
        <f>IFERROR(_xlfn.XLOOKUP($A228,'Raw Data'!$G:$G,'Raw Data'!AF:AF)/1000,"")</f>
        <v/>
      </c>
      <c r="J228" s="24"/>
      <c r="K228" s="137" t="str">
        <f>IFERROR(_xlfn.XLOOKUP($A228,'Raw Data'!$G:$G,'Raw Data'!W:W),"")</f>
        <v/>
      </c>
      <c r="L228" s="136" t="str">
        <f>IFERROR(_xlfn.XLOOKUP($A228,'Raw Data'!$G:$G,'Raw Data'!X:X),"")</f>
        <v/>
      </c>
      <c r="M228" s="136" t="str">
        <f>IFERROR(_xlfn.XLOOKUP($A228,'Raw Data'!$G:$G,'Raw Data'!Y:Y),"")</f>
        <v/>
      </c>
      <c r="N228" s="136" t="str">
        <f>IFERROR(_xlfn.XLOOKUP($A228,'Raw Data'!$G:$G,'Raw Data'!Z:Z),"")</f>
        <v/>
      </c>
      <c r="O228" s="176" t="str">
        <f>IFERROR(1-SUMIF('Plant BD'!$B:$B,$A228,'Plant BD'!$AM:$AM)/($AA228+SUMIF('Plant BD'!$B:$B,$A228,'Plant BD'!$AM:$AM)),"")</f>
        <v/>
      </c>
      <c r="P228" s="176"/>
      <c r="Q228" s="177"/>
      <c r="R228" s="179" t="str">
        <f>IFERROR(1-SUMIF('Grid BD'!$B:$B,$A228,'Grid BD'!$AE:$AE)/($AA228+SUMIF('Grid BD'!$B:$B,$A228,'Grid BD'!$AE:$AE)),"")</f>
        <v/>
      </c>
      <c r="S228" s="17"/>
      <c r="T228" s="177" t="str">
        <f>IFERROR(1-SUMIF(Tracker_BD!H:H,$A228,Tracker_BD!AI:AI)/$F228,"")</f>
        <v/>
      </c>
      <c r="U228" s="178" t="str">
        <f t="shared" si="17"/>
        <v/>
      </c>
      <c r="V228" s="17"/>
      <c r="W228" s="164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38" t="str">
        <f>IFERROR(_xlfn.XLOOKUP($A228,'Raw Data'!$G:$G,'Raw Data'!AD:AD),"")</f>
        <v/>
      </c>
      <c r="AA228" s="38" t="str">
        <f>IFERROR(_xlfn.XLOOKUP($A228,'Raw Data'!$G:$G,'Raw Data'!AE:AE)*(1+(_xlfn.XLOOKUP(Table13[[#This Row],[Month Year]],JMR!$A:$A,JMR!$J:$J))),"")</f>
        <v/>
      </c>
      <c r="AB228" s="17">
        <f>_xlfn.XLOOKUP($D228,'Modelling New'!D:D,'Modelling New'!N:N)</f>
        <v>10.507</v>
      </c>
      <c r="AC228" s="24">
        <f>IFERROR(_xlfn.XLOOKUP($D228,'Modelling New'!$D:$D,'Modelling New'!P:P),"")</f>
        <v>5.2640218343333336</v>
      </c>
      <c r="AD228" s="38">
        <f>IFERROR(_xlfn.XLOOKUP($D228,'Modelling New'!$D:$D,'Modelling New'!T:T)*1000,"")</f>
        <v>38712.103320676884</v>
      </c>
      <c r="AE228" s="164">
        <f t="shared" si="19"/>
        <v>0.69992314338151795</v>
      </c>
      <c r="AF228" s="164">
        <f>IFERROR(_xlfn.XLOOKUP($D228,'Modelling New'!$D:$D,'Modelling New'!W:W),"")</f>
        <v>0.15351711287981379</v>
      </c>
      <c r="AG228" s="164">
        <f>IFERROR(_xlfn.XLOOKUP($D228,'Modelling New'!$D:$D,'Modelling New'!AD:AD),"")</f>
        <v>0.995</v>
      </c>
      <c r="AH228" s="164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64"/>
      <c r="AO228" s="164"/>
      <c r="AP228" s="164"/>
      <c r="AQ228" s="164"/>
      <c r="AR228" s="38">
        <f>IFERROR(_xlfn.XLOOKUP($D228,'Modelling New'!$D:$D,'Modelling New'!$N:$N),"")</f>
        <v>10.507</v>
      </c>
      <c r="AS228" s="38"/>
      <c r="AT228" s="38" t="str">
        <f>IFERROR(_xlfn.XLOOKUP(Table13[[#This Row],[Date]],'Raw Data'!$G:$G,'Raw Data'!$AJ:$AJ),"")</f>
        <v/>
      </c>
      <c r="AU228" s="38">
        <f>IFERROR(_xlfn.XLOOKUP(Table13[[#This Row],[Month Year]],'Modelling New'!$D:$D,'Modelling New'!$AN:$AN),"")</f>
        <v>10</v>
      </c>
      <c r="AV228" s="38">
        <f>SUMIF('Curtailment records'!$C:$C,Table13[[#This Row],[Date]],'Curtailment records'!$R:$R)/1000</f>
        <v>0</v>
      </c>
    </row>
    <row r="229" spans="1:48">
      <c r="A229" s="66">
        <f t="shared" si="20"/>
        <v>45972</v>
      </c>
      <c r="B229" s="38">
        <f>YEAR(Table13[[#This Row],[Date]])+IF(MONTH(Table13[[#This Row],[Date]])&gt;=4,1,0)</f>
        <v>2026</v>
      </c>
      <c r="C229" s="17">
        <f>YEAR(Table13[[#This Row],[Date]])</f>
        <v>2025</v>
      </c>
      <c r="D229" s="37">
        <f>Table13[[#This Row],[Date]]-DAY(Table13[[#This Row],[Date]])+1</f>
        <v>45962</v>
      </c>
      <c r="E229" s="17">
        <f t="shared" si="21"/>
        <v>30</v>
      </c>
      <c r="F229" s="135" t="str" cm="1">
        <f t="array" ref="F229">IFERROR(_xlfn.XLOOKUP(Table13[[#This Row],[Date]],Raw_Data[[#All],[Date]],Raw_Data[[#All],[Operating Hours]]),"")</f>
        <v/>
      </c>
      <c r="G229" s="136" t="str">
        <f>IFERROR(_xlfn.XLOOKUP($A229,'Raw Data'!$G:$G,'Raw Data'!S:S)/1000,"")</f>
        <v/>
      </c>
      <c r="H229" s="136"/>
      <c r="I229" s="136" t="str">
        <f>IFERROR(_xlfn.XLOOKUP($A229,'Raw Data'!$G:$G,'Raw Data'!AF:AF)/1000,"")</f>
        <v/>
      </c>
      <c r="J229" s="136"/>
      <c r="K229" s="137" t="str">
        <f>IFERROR(_xlfn.XLOOKUP($A229,'Raw Data'!$G:$G,'Raw Data'!W:W),"")</f>
        <v/>
      </c>
      <c r="L229" s="136" t="str">
        <f>IFERROR(_xlfn.XLOOKUP($A229,'Raw Data'!$G:$G,'Raw Data'!X:X),"")</f>
        <v/>
      </c>
      <c r="M229" s="136" t="str">
        <f>IFERROR(_xlfn.XLOOKUP($A229,'Raw Data'!$G:$G,'Raw Data'!Y:Y),"")</f>
        <v/>
      </c>
      <c r="N229" s="136" t="str">
        <f>IFERROR(_xlfn.XLOOKUP($A229,'Raw Data'!$G:$G,'Raw Data'!Z:Z),"")</f>
        <v/>
      </c>
      <c r="O229" s="176" t="str">
        <f>IFERROR(1-SUMIF('Plant BD'!$B:$B,$A229,'Plant BD'!$AM:$AM)/($AA229+SUMIF('Plant BD'!$B:$B,$A229,'Plant BD'!$AM:$AM)),"")</f>
        <v/>
      </c>
      <c r="P229" s="176"/>
      <c r="Q229" s="177"/>
      <c r="R229" s="176" t="str">
        <f>IFERROR(1-SUMIF('Grid BD'!$B:$B,$A229,'Grid BD'!$AE:$AE)/($AA229+SUMIF('Grid BD'!$B:$B,$A229,'Grid BD'!$AE:$AE)),"")</f>
        <v/>
      </c>
      <c r="S229" s="17"/>
      <c r="T229" s="177" t="str">
        <f>IFERROR(1-SUMIF(Tracker_BD!H:H,$A229,Tracker_BD!AI:AI)/$F229,"")</f>
        <v/>
      </c>
      <c r="U229" s="178" t="str">
        <f t="shared" si="17"/>
        <v/>
      </c>
      <c r="V229" s="17"/>
      <c r="W229" s="164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38" t="str">
        <f>IFERROR(_xlfn.XLOOKUP($A229,'Raw Data'!$G:$G,'Raw Data'!AD:AD),"")</f>
        <v/>
      </c>
      <c r="AA229" s="38" t="str">
        <f>IFERROR(_xlfn.XLOOKUP($A229,'Raw Data'!$G:$G,'Raw Data'!AE:AE)*(1+(_xlfn.XLOOKUP(Table13[[#This Row],[Month Year]],JMR!$A:$A,JMR!$J:$J))),"")</f>
        <v/>
      </c>
      <c r="AB229" s="17">
        <f>_xlfn.XLOOKUP($D229,'Modelling New'!D:D,'Modelling New'!N:N)</f>
        <v>10.507</v>
      </c>
      <c r="AC229" s="24">
        <f>IFERROR(_xlfn.XLOOKUP($D229,'Modelling New'!$D:$D,'Modelling New'!P:P),"")</f>
        <v>5.2640218343333336</v>
      </c>
      <c r="AD229" s="38">
        <f>IFERROR(_xlfn.XLOOKUP($D229,'Modelling New'!$D:$D,'Modelling New'!T:T)*1000,"")</f>
        <v>38712.103320676884</v>
      </c>
      <c r="AE229" s="164">
        <f t="shared" si="19"/>
        <v>0.69992314338151795</v>
      </c>
      <c r="AF229" s="164">
        <f>IFERROR(_xlfn.XLOOKUP($D229,'Modelling New'!$D:$D,'Modelling New'!W:W),"")</f>
        <v>0.15351711287981379</v>
      </c>
      <c r="AG229" s="164">
        <f>IFERROR(_xlfn.XLOOKUP($D229,'Modelling New'!$D:$D,'Modelling New'!AD:AD),"")</f>
        <v>0.995</v>
      </c>
      <c r="AH229" s="164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64"/>
      <c r="AO229" s="164"/>
      <c r="AP229" s="164"/>
      <c r="AQ229" s="164"/>
      <c r="AR229" s="38">
        <f>IFERROR(_xlfn.XLOOKUP($D229,'Modelling New'!$D:$D,'Modelling New'!$N:$N),"")</f>
        <v>10.507</v>
      </c>
      <c r="AS229" s="38"/>
      <c r="AT229" s="38" t="str">
        <f>IFERROR(_xlfn.XLOOKUP(Table13[[#This Row],[Date]],'Raw Data'!$G:$G,'Raw Data'!$AJ:$AJ),"")</f>
        <v/>
      </c>
      <c r="AU229" s="38">
        <f>IFERROR(_xlfn.XLOOKUP(Table13[[#This Row],[Month Year]],'Modelling New'!$D:$D,'Modelling New'!$AN:$AN),"")</f>
        <v>10</v>
      </c>
      <c r="AV229" s="38">
        <f>SUMIF('Curtailment records'!$C:$C,Table13[[#This Row],[Date]],'Curtailment records'!$R:$R)/1000</f>
        <v>0</v>
      </c>
    </row>
    <row r="230" spans="1:48">
      <c r="A230" s="66">
        <f t="shared" si="20"/>
        <v>45973</v>
      </c>
      <c r="B230" s="38">
        <f>YEAR(Table13[[#This Row],[Date]])+IF(MONTH(Table13[[#This Row],[Date]])&gt;=4,1,0)</f>
        <v>2026</v>
      </c>
      <c r="C230" s="17">
        <f>YEAR(Table13[[#This Row],[Date]])</f>
        <v>2025</v>
      </c>
      <c r="D230" s="37">
        <f>Table13[[#This Row],[Date]]-DAY(Table13[[#This Row],[Date]])+1</f>
        <v>45962</v>
      </c>
      <c r="E230" s="17">
        <f t="shared" si="21"/>
        <v>30</v>
      </c>
      <c r="F230" s="135" t="str" cm="1">
        <f t="array" ref="F230">IFERROR(_xlfn.XLOOKUP(Table13[[#This Row],[Date]],Raw_Data[[#All],[Date]],Raw_Data[[#All],[Operating Hours]]),"")</f>
        <v/>
      </c>
      <c r="G230" s="24" t="str">
        <f>IFERROR(_xlfn.XLOOKUP($A230,'Raw Data'!$G:$G,'Raw Data'!S:S)/1000,"")</f>
        <v/>
      </c>
      <c r="H230" s="24"/>
      <c r="I230" s="24" t="str">
        <f>IFERROR(_xlfn.XLOOKUP($A230,'Raw Data'!$G:$G,'Raw Data'!AF:AF)/1000,"")</f>
        <v/>
      </c>
      <c r="J230" s="24"/>
      <c r="K230" s="137" t="str">
        <f>IFERROR(_xlfn.XLOOKUP($A230,'Raw Data'!$G:$G,'Raw Data'!W:W),"")</f>
        <v/>
      </c>
      <c r="L230" s="136" t="str">
        <f>IFERROR(_xlfn.XLOOKUP($A230,'Raw Data'!$G:$G,'Raw Data'!X:X),"")</f>
        <v/>
      </c>
      <c r="M230" s="136" t="str">
        <f>IFERROR(_xlfn.XLOOKUP($A230,'Raw Data'!$G:$G,'Raw Data'!Y:Y),"")</f>
        <v/>
      </c>
      <c r="N230" s="136" t="str">
        <f>IFERROR(_xlfn.XLOOKUP($A230,'Raw Data'!$G:$G,'Raw Data'!Z:Z),"")</f>
        <v/>
      </c>
      <c r="O230" s="176" t="str">
        <f>IFERROR(1-SUMIF('Plant BD'!$B:$B,$A230,'Plant BD'!$AM:$AM)/($AA230+SUMIF('Plant BD'!$B:$B,$A230,'Plant BD'!$AM:$AM)),"")</f>
        <v/>
      </c>
      <c r="P230" s="176"/>
      <c r="Q230" s="177"/>
      <c r="R230" s="179" t="str">
        <f>IFERROR(1-SUMIF('Grid BD'!$B:$B,$A230,'Grid BD'!$AE:$AE)/($AA230+SUMIF('Grid BD'!$B:$B,$A230,'Grid BD'!$AE:$AE)),"")</f>
        <v/>
      </c>
      <c r="S230" s="17"/>
      <c r="T230" s="177" t="str">
        <f>IFERROR(1-SUMIF(Tracker_BD!H:H,$A230,Tracker_BD!AI:AI)/$F230,"")</f>
        <v/>
      </c>
      <c r="U230" s="178" t="str">
        <f t="shared" si="17"/>
        <v/>
      </c>
      <c r="V230" s="17"/>
      <c r="W230" s="164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38" t="str">
        <f>IFERROR(_xlfn.XLOOKUP($A230,'Raw Data'!$G:$G,'Raw Data'!AD:AD),"")</f>
        <v/>
      </c>
      <c r="AA230" s="38" t="str">
        <f>IFERROR(_xlfn.XLOOKUP($A230,'Raw Data'!$G:$G,'Raw Data'!AE:AE)*(1+(_xlfn.XLOOKUP(Table13[[#This Row],[Month Year]],JMR!$A:$A,JMR!$J:$J))),"")</f>
        <v/>
      </c>
      <c r="AB230" s="17">
        <f>_xlfn.XLOOKUP($D230,'Modelling New'!D:D,'Modelling New'!N:N)</f>
        <v>10.507</v>
      </c>
      <c r="AC230" s="24">
        <f>IFERROR(_xlfn.XLOOKUP($D230,'Modelling New'!$D:$D,'Modelling New'!P:P),"")</f>
        <v>5.2640218343333336</v>
      </c>
      <c r="AD230" s="38">
        <f>IFERROR(_xlfn.XLOOKUP($D230,'Modelling New'!$D:$D,'Modelling New'!T:T)*1000,"")</f>
        <v>38712.103320676884</v>
      </c>
      <c r="AE230" s="164">
        <f t="shared" si="19"/>
        <v>0.69992314338151795</v>
      </c>
      <c r="AF230" s="164">
        <f>IFERROR(_xlfn.XLOOKUP($D230,'Modelling New'!$D:$D,'Modelling New'!W:W),"")</f>
        <v>0.15351711287981379</v>
      </c>
      <c r="AG230" s="164">
        <f>IFERROR(_xlfn.XLOOKUP($D230,'Modelling New'!$D:$D,'Modelling New'!AD:AD),"")</f>
        <v>0.995</v>
      </c>
      <c r="AH230" s="164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64"/>
      <c r="AO230" s="164"/>
      <c r="AP230" s="164"/>
      <c r="AQ230" s="164"/>
      <c r="AR230" s="38">
        <f>IFERROR(_xlfn.XLOOKUP($D230,'Modelling New'!$D:$D,'Modelling New'!$N:$N),"")</f>
        <v>10.507</v>
      </c>
      <c r="AS230" s="38"/>
      <c r="AT230" s="38" t="str">
        <f>IFERROR(_xlfn.XLOOKUP(Table13[[#This Row],[Date]],'Raw Data'!$G:$G,'Raw Data'!$AJ:$AJ),"")</f>
        <v/>
      </c>
      <c r="AU230" s="38">
        <f>IFERROR(_xlfn.XLOOKUP(Table13[[#This Row],[Month Year]],'Modelling New'!$D:$D,'Modelling New'!$AN:$AN),"")</f>
        <v>10</v>
      </c>
      <c r="AV230" s="38">
        <f>SUMIF('Curtailment records'!$C:$C,Table13[[#This Row],[Date]],'Curtailment records'!$R:$R)/1000</f>
        <v>0</v>
      </c>
    </row>
    <row r="231" spans="1:48">
      <c r="A231" s="66">
        <f t="shared" si="20"/>
        <v>45974</v>
      </c>
      <c r="B231" s="38">
        <f>YEAR(Table13[[#This Row],[Date]])+IF(MONTH(Table13[[#This Row],[Date]])&gt;=4,1,0)</f>
        <v>2026</v>
      </c>
      <c r="C231" s="17">
        <f>YEAR(Table13[[#This Row],[Date]])</f>
        <v>2025</v>
      </c>
      <c r="D231" s="37">
        <f>Table13[[#This Row],[Date]]-DAY(Table13[[#This Row],[Date]])+1</f>
        <v>45962</v>
      </c>
      <c r="E231" s="17">
        <f t="shared" si="21"/>
        <v>30</v>
      </c>
      <c r="F231" s="135" t="str" cm="1">
        <f t="array" ref="F231">IFERROR(_xlfn.XLOOKUP(Table13[[#This Row],[Date]],Raw_Data[[#All],[Date]],Raw_Data[[#All],[Operating Hours]]),"")</f>
        <v/>
      </c>
      <c r="G231" s="136" t="str">
        <f>IFERROR(_xlfn.XLOOKUP($A231,'Raw Data'!$G:$G,'Raw Data'!S:S)/1000,"")</f>
        <v/>
      </c>
      <c r="H231" s="136"/>
      <c r="I231" s="136" t="str">
        <f>IFERROR(_xlfn.XLOOKUP($A231,'Raw Data'!$G:$G,'Raw Data'!AF:AF)/1000,"")</f>
        <v/>
      </c>
      <c r="J231" s="136"/>
      <c r="K231" s="137" t="str">
        <f>IFERROR(_xlfn.XLOOKUP($A231,'Raw Data'!$G:$G,'Raw Data'!W:W),"")</f>
        <v/>
      </c>
      <c r="L231" s="136" t="str">
        <f>IFERROR(_xlfn.XLOOKUP($A231,'Raw Data'!$G:$G,'Raw Data'!X:X),"")</f>
        <v/>
      </c>
      <c r="M231" s="136" t="str">
        <f>IFERROR(_xlfn.XLOOKUP($A231,'Raw Data'!$G:$G,'Raw Data'!Y:Y),"")</f>
        <v/>
      </c>
      <c r="N231" s="136" t="str">
        <f>IFERROR(_xlfn.XLOOKUP($A231,'Raw Data'!$G:$G,'Raw Data'!Z:Z),"")</f>
        <v/>
      </c>
      <c r="O231" s="176" t="str">
        <f>IFERROR(1-SUMIF('Plant BD'!$B:$B,$A231,'Plant BD'!$AM:$AM)/($AA231+SUMIF('Plant BD'!$B:$B,$A231,'Plant BD'!$AM:$AM)),"")</f>
        <v/>
      </c>
      <c r="P231" s="176"/>
      <c r="Q231" s="177"/>
      <c r="R231" s="176" t="str">
        <f>IFERROR(1-SUMIF('Grid BD'!$B:$B,$A231,'Grid BD'!$AE:$AE)/($AA231+SUMIF('Grid BD'!$B:$B,$A231,'Grid BD'!$AE:$AE)),"")</f>
        <v/>
      </c>
      <c r="S231" s="17"/>
      <c r="T231" s="177" t="str">
        <f>IFERROR(1-SUMIF(Tracker_BD!H:H,$A231,Tracker_BD!AI:AI)/$F231,"")</f>
        <v/>
      </c>
      <c r="U231" s="178" t="str">
        <f t="shared" si="17"/>
        <v/>
      </c>
      <c r="V231" s="17"/>
      <c r="W231" s="164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38" t="str">
        <f>IFERROR(_xlfn.XLOOKUP($A231,'Raw Data'!$G:$G,'Raw Data'!AD:AD),"")</f>
        <v/>
      </c>
      <c r="AA231" s="38" t="str">
        <f>IFERROR(_xlfn.XLOOKUP($A231,'Raw Data'!$G:$G,'Raw Data'!AE:AE)*(1+(_xlfn.XLOOKUP(Table13[[#This Row],[Month Year]],JMR!$A:$A,JMR!$J:$J))),"")</f>
        <v/>
      </c>
      <c r="AB231" s="17">
        <f>_xlfn.XLOOKUP($D231,'Modelling New'!D:D,'Modelling New'!N:N)</f>
        <v>10.507</v>
      </c>
      <c r="AC231" s="24">
        <f>IFERROR(_xlfn.XLOOKUP($D231,'Modelling New'!$D:$D,'Modelling New'!P:P),"")</f>
        <v>5.2640218343333336</v>
      </c>
      <c r="AD231" s="38">
        <f>IFERROR(_xlfn.XLOOKUP($D231,'Modelling New'!$D:$D,'Modelling New'!T:T)*1000,"")</f>
        <v>38712.103320676884</v>
      </c>
      <c r="AE231" s="164">
        <f t="shared" si="19"/>
        <v>0.69992314338151795</v>
      </c>
      <c r="AF231" s="164">
        <f>IFERROR(_xlfn.XLOOKUP($D231,'Modelling New'!$D:$D,'Modelling New'!W:W),"")</f>
        <v>0.15351711287981379</v>
      </c>
      <c r="AG231" s="164">
        <f>IFERROR(_xlfn.XLOOKUP($D231,'Modelling New'!$D:$D,'Modelling New'!AD:AD),"")</f>
        <v>0.995</v>
      </c>
      <c r="AH231" s="164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64"/>
      <c r="AO231" s="164"/>
      <c r="AP231" s="164"/>
      <c r="AQ231" s="164"/>
      <c r="AR231" s="38">
        <f>IFERROR(_xlfn.XLOOKUP($D231,'Modelling New'!$D:$D,'Modelling New'!$N:$N),"")</f>
        <v>10.507</v>
      </c>
      <c r="AS231" s="38"/>
      <c r="AT231" s="38" t="str">
        <f>IFERROR(_xlfn.XLOOKUP(Table13[[#This Row],[Date]],'Raw Data'!$G:$G,'Raw Data'!$AJ:$AJ),"")</f>
        <v/>
      </c>
      <c r="AU231" s="38">
        <f>IFERROR(_xlfn.XLOOKUP(Table13[[#This Row],[Month Year]],'Modelling New'!$D:$D,'Modelling New'!$AN:$AN),"")</f>
        <v>10</v>
      </c>
      <c r="AV231" s="38">
        <f>SUMIF('Curtailment records'!$C:$C,Table13[[#This Row],[Date]],'Curtailment records'!$R:$R)/1000</f>
        <v>0</v>
      </c>
    </row>
    <row r="232" spans="1:48">
      <c r="A232" s="66">
        <f t="shared" si="20"/>
        <v>45975</v>
      </c>
      <c r="B232" s="38">
        <f>YEAR(Table13[[#This Row],[Date]])+IF(MONTH(Table13[[#This Row],[Date]])&gt;=4,1,0)</f>
        <v>2026</v>
      </c>
      <c r="C232" s="17">
        <f>YEAR(Table13[[#This Row],[Date]])</f>
        <v>2025</v>
      </c>
      <c r="D232" s="37">
        <f>Table13[[#This Row],[Date]]-DAY(Table13[[#This Row],[Date]])+1</f>
        <v>45962</v>
      </c>
      <c r="E232" s="17">
        <f t="shared" si="21"/>
        <v>30</v>
      </c>
      <c r="F232" s="135" t="str" cm="1">
        <f t="array" ref="F232">IFERROR(_xlfn.XLOOKUP(Table13[[#This Row],[Date]],Raw_Data[[#All],[Date]],Raw_Data[[#All],[Operating Hours]]),"")</f>
        <v/>
      </c>
      <c r="G232" s="24" t="str">
        <f>IFERROR(_xlfn.XLOOKUP($A232,'Raw Data'!$G:$G,'Raw Data'!S:S)/1000,"")</f>
        <v/>
      </c>
      <c r="H232" s="24"/>
      <c r="I232" s="24" t="str">
        <f>IFERROR(_xlfn.XLOOKUP($A232,'Raw Data'!$G:$G,'Raw Data'!AF:AF)/1000,"")</f>
        <v/>
      </c>
      <c r="J232" s="24"/>
      <c r="K232" s="137" t="str">
        <f>IFERROR(_xlfn.XLOOKUP($A232,'Raw Data'!$G:$G,'Raw Data'!W:W),"")</f>
        <v/>
      </c>
      <c r="L232" s="136" t="str">
        <f>IFERROR(_xlfn.XLOOKUP($A232,'Raw Data'!$G:$G,'Raw Data'!X:X),"")</f>
        <v/>
      </c>
      <c r="M232" s="136" t="str">
        <f>IFERROR(_xlfn.XLOOKUP($A232,'Raw Data'!$G:$G,'Raw Data'!Y:Y),"")</f>
        <v/>
      </c>
      <c r="N232" s="136" t="str">
        <f>IFERROR(_xlfn.XLOOKUP($A232,'Raw Data'!$G:$G,'Raw Data'!Z:Z),"")</f>
        <v/>
      </c>
      <c r="O232" s="176" t="str">
        <f>IFERROR(1-SUMIF('Plant BD'!$B:$B,$A232,'Plant BD'!$AM:$AM)/($AA232+SUMIF('Plant BD'!$B:$B,$A232,'Plant BD'!$AM:$AM)),"")</f>
        <v/>
      </c>
      <c r="P232" s="176"/>
      <c r="Q232" s="177"/>
      <c r="R232" s="179" t="str">
        <f>IFERROR(1-SUMIF('Grid BD'!$B:$B,$A232,'Grid BD'!$AE:$AE)/($AA232+SUMIF('Grid BD'!$B:$B,$A232,'Grid BD'!$AE:$AE)),"")</f>
        <v/>
      </c>
      <c r="S232" s="17"/>
      <c r="T232" s="177" t="str">
        <f>IFERROR(1-SUMIF(Tracker_BD!H:H,$A232,Tracker_BD!AI:AI)/$F232,"")</f>
        <v/>
      </c>
      <c r="U232" s="178" t="str">
        <f t="shared" si="17"/>
        <v/>
      </c>
      <c r="V232" s="17"/>
      <c r="W232" s="164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38" t="str">
        <f>IFERROR(_xlfn.XLOOKUP($A232,'Raw Data'!$G:$G,'Raw Data'!AD:AD),"")</f>
        <v/>
      </c>
      <c r="AA232" s="38" t="str">
        <f>IFERROR(_xlfn.XLOOKUP($A232,'Raw Data'!$G:$G,'Raw Data'!AE:AE)*(1+(_xlfn.XLOOKUP(Table13[[#This Row],[Month Year]],JMR!$A:$A,JMR!$J:$J))),"")</f>
        <v/>
      </c>
      <c r="AB232" s="17">
        <f>_xlfn.XLOOKUP($D232,'Modelling New'!D:D,'Modelling New'!N:N)</f>
        <v>10.507</v>
      </c>
      <c r="AC232" s="24">
        <f>IFERROR(_xlfn.XLOOKUP($D232,'Modelling New'!$D:$D,'Modelling New'!P:P),"")</f>
        <v>5.2640218343333336</v>
      </c>
      <c r="AD232" s="38">
        <f>IFERROR(_xlfn.XLOOKUP($D232,'Modelling New'!$D:$D,'Modelling New'!T:T)*1000,"")</f>
        <v>38712.103320676884</v>
      </c>
      <c r="AE232" s="164">
        <f t="shared" si="19"/>
        <v>0.69992314338151795</v>
      </c>
      <c r="AF232" s="164">
        <f>IFERROR(_xlfn.XLOOKUP($D232,'Modelling New'!$D:$D,'Modelling New'!W:W),"")</f>
        <v>0.15351711287981379</v>
      </c>
      <c r="AG232" s="164">
        <f>IFERROR(_xlfn.XLOOKUP($D232,'Modelling New'!$D:$D,'Modelling New'!AD:AD),"")</f>
        <v>0.995</v>
      </c>
      <c r="AH232" s="164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64"/>
      <c r="AO232" s="164"/>
      <c r="AP232" s="164"/>
      <c r="AQ232" s="164"/>
      <c r="AR232" s="38">
        <f>IFERROR(_xlfn.XLOOKUP($D232,'Modelling New'!$D:$D,'Modelling New'!$N:$N),"")</f>
        <v>10.507</v>
      </c>
      <c r="AS232" s="38"/>
      <c r="AT232" s="38" t="str">
        <f>IFERROR(_xlfn.XLOOKUP(Table13[[#This Row],[Date]],'Raw Data'!$G:$G,'Raw Data'!$AJ:$AJ),"")</f>
        <v/>
      </c>
      <c r="AU232" s="38">
        <f>IFERROR(_xlfn.XLOOKUP(Table13[[#This Row],[Month Year]],'Modelling New'!$D:$D,'Modelling New'!$AN:$AN),"")</f>
        <v>10</v>
      </c>
      <c r="AV232" s="38">
        <f>SUMIF('Curtailment records'!$C:$C,Table13[[#This Row],[Date]],'Curtailment records'!$R:$R)/1000</f>
        <v>0</v>
      </c>
    </row>
    <row r="233" spans="1:48">
      <c r="A233" s="66">
        <f t="shared" si="20"/>
        <v>45976</v>
      </c>
      <c r="B233" s="38">
        <f>YEAR(Table13[[#This Row],[Date]])+IF(MONTH(Table13[[#This Row],[Date]])&gt;=4,1,0)</f>
        <v>2026</v>
      </c>
      <c r="C233" s="17">
        <f>YEAR(Table13[[#This Row],[Date]])</f>
        <v>2025</v>
      </c>
      <c r="D233" s="37">
        <f>Table13[[#This Row],[Date]]-DAY(Table13[[#This Row],[Date]])+1</f>
        <v>45962</v>
      </c>
      <c r="E233" s="17">
        <f t="shared" si="21"/>
        <v>30</v>
      </c>
      <c r="F233" s="135" t="str" cm="1">
        <f t="array" ref="F233">IFERROR(_xlfn.XLOOKUP(Table13[[#This Row],[Date]],Raw_Data[[#All],[Date]],Raw_Data[[#All],[Operating Hours]]),"")</f>
        <v/>
      </c>
      <c r="G233" s="136" t="str">
        <f>IFERROR(_xlfn.XLOOKUP($A233,'Raw Data'!$G:$G,'Raw Data'!S:S)/1000,"")</f>
        <v/>
      </c>
      <c r="H233" s="136"/>
      <c r="I233" s="136" t="str">
        <f>IFERROR(_xlfn.XLOOKUP($A233,'Raw Data'!$G:$G,'Raw Data'!AF:AF)/1000,"")</f>
        <v/>
      </c>
      <c r="J233" s="136"/>
      <c r="K233" s="137" t="str">
        <f>IFERROR(_xlfn.XLOOKUP($A233,'Raw Data'!$G:$G,'Raw Data'!W:W),"")</f>
        <v/>
      </c>
      <c r="L233" s="136" t="str">
        <f>IFERROR(_xlfn.XLOOKUP($A233,'Raw Data'!$G:$G,'Raw Data'!X:X),"")</f>
        <v/>
      </c>
      <c r="M233" s="136" t="str">
        <f>IFERROR(_xlfn.XLOOKUP($A233,'Raw Data'!$G:$G,'Raw Data'!Y:Y),"")</f>
        <v/>
      </c>
      <c r="N233" s="136" t="str">
        <f>IFERROR(_xlfn.XLOOKUP($A233,'Raw Data'!$G:$G,'Raw Data'!Z:Z),"")</f>
        <v/>
      </c>
      <c r="O233" s="176" t="str">
        <f>IFERROR(1-SUMIF('Plant BD'!$B:$B,$A233,'Plant BD'!$AM:$AM)/($AA233+SUMIF('Plant BD'!$B:$B,$A233,'Plant BD'!$AM:$AM)),"")</f>
        <v/>
      </c>
      <c r="P233" s="176"/>
      <c r="Q233" s="177"/>
      <c r="R233" s="176" t="str">
        <f>IFERROR(1-SUMIF('Grid BD'!$B:$B,$A233,'Grid BD'!$AE:$AE)/($AA233+SUMIF('Grid BD'!$B:$B,$A233,'Grid BD'!$AE:$AE)),"")</f>
        <v/>
      </c>
      <c r="S233" s="17"/>
      <c r="T233" s="177" t="str">
        <f>IFERROR(1-SUMIF(Tracker_BD!H:H,$A233,Tracker_BD!AI:AI)/$F233,"")</f>
        <v/>
      </c>
      <c r="U233" s="178" t="str">
        <f t="shared" si="17"/>
        <v/>
      </c>
      <c r="V233" s="17"/>
      <c r="W233" s="164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38" t="str">
        <f>IFERROR(_xlfn.XLOOKUP($A233,'Raw Data'!$G:$G,'Raw Data'!AD:AD),"")</f>
        <v/>
      </c>
      <c r="AA233" s="38" t="str">
        <f>IFERROR(_xlfn.XLOOKUP($A233,'Raw Data'!$G:$G,'Raw Data'!AE:AE)*(1+(_xlfn.XLOOKUP(Table13[[#This Row],[Month Year]],JMR!$A:$A,JMR!$J:$J))),"")</f>
        <v/>
      </c>
      <c r="AB233" s="17">
        <f>_xlfn.XLOOKUP($D233,'Modelling New'!D:D,'Modelling New'!N:N)</f>
        <v>10.507</v>
      </c>
      <c r="AC233" s="24">
        <f>IFERROR(_xlfn.XLOOKUP($D233,'Modelling New'!$D:$D,'Modelling New'!P:P),"")</f>
        <v>5.2640218343333336</v>
      </c>
      <c r="AD233" s="38">
        <f>IFERROR(_xlfn.XLOOKUP($D233,'Modelling New'!$D:$D,'Modelling New'!T:T)*1000,"")</f>
        <v>38712.103320676884</v>
      </c>
      <c r="AE233" s="164">
        <f t="shared" si="19"/>
        <v>0.69992314338151795</v>
      </c>
      <c r="AF233" s="164">
        <f>IFERROR(_xlfn.XLOOKUP($D233,'Modelling New'!$D:$D,'Modelling New'!W:W),"")</f>
        <v>0.15351711287981379</v>
      </c>
      <c r="AG233" s="164">
        <f>IFERROR(_xlfn.XLOOKUP($D233,'Modelling New'!$D:$D,'Modelling New'!AD:AD),"")</f>
        <v>0.995</v>
      </c>
      <c r="AH233" s="164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64"/>
      <c r="AO233" s="164"/>
      <c r="AP233" s="164"/>
      <c r="AQ233" s="164"/>
      <c r="AR233" s="38">
        <f>IFERROR(_xlfn.XLOOKUP($D233,'Modelling New'!$D:$D,'Modelling New'!$N:$N),"")</f>
        <v>10.507</v>
      </c>
      <c r="AS233" s="38"/>
      <c r="AT233" s="38" t="str">
        <f>IFERROR(_xlfn.XLOOKUP(Table13[[#This Row],[Date]],'Raw Data'!$G:$G,'Raw Data'!$AJ:$AJ),"")</f>
        <v/>
      </c>
      <c r="AU233" s="38">
        <f>IFERROR(_xlfn.XLOOKUP(Table13[[#This Row],[Month Year]],'Modelling New'!$D:$D,'Modelling New'!$AN:$AN),"")</f>
        <v>10</v>
      </c>
      <c r="AV233" s="38">
        <f>SUMIF('Curtailment records'!$C:$C,Table13[[#This Row],[Date]],'Curtailment records'!$R:$R)/1000</f>
        <v>0</v>
      </c>
    </row>
    <row r="234" spans="1:48">
      <c r="A234" s="66">
        <f t="shared" si="20"/>
        <v>45977</v>
      </c>
      <c r="B234" s="38">
        <f>YEAR(Table13[[#This Row],[Date]])+IF(MONTH(Table13[[#This Row],[Date]])&gt;=4,1,0)</f>
        <v>2026</v>
      </c>
      <c r="C234" s="17">
        <f>YEAR(Table13[[#This Row],[Date]])</f>
        <v>2025</v>
      </c>
      <c r="D234" s="37">
        <f>Table13[[#This Row],[Date]]-DAY(Table13[[#This Row],[Date]])+1</f>
        <v>45962</v>
      </c>
      <c r="E234" s="17">
        <f t="shared" si="21"/>
        <v>30</v>
      </c>
      <c r="F234" s="135" t="str" cm="1">
        <f t="array" ref="F234">IFERROR(_xlfn.XLOOKUP(Table13[[#This Row],[Date]],Raw_Data[[#All],[Date]],Raw_Data[[#All],[Operating Hours]]),"")</f>
        <v/>
      </c>
      <c r="G234" s="24" t="str">
        <f>IFERROR(_xlfn.XLOOKUP($A234,'Raw Data'!$G:$G,'Raw Data'!S:S)/1000,"")</f>
        <v/>
      </c>
      <c r="H234" s="24"/>
      <c r="I234" s="24" t="str">
        <f>IFERROR(_xlfn.XLOOKUP($A234,'Raw Data'!$G:$G,'Raw Data'!AF:AF)/1000,"")</f>
        <v/>
      </c>
      <c r="J234" s="24"/>
      <c r="K234" s="137" t="str">
        <f>IFERROR(_xlfn.XLOOKUP($A234,'Raw Data'!$G:$G,'Raw Data'!W:W),"")</f>
        <v/>
      </c>
      <c r="L234" s="136" t="str">
        <f>IFERROR(_xlfn.XLOOKUP($A234,'Raw Data'!$G:$G,'Raw Data'!X:X),"")</f>
        <v/>
      </c>
      <c r="M234" s="136" t="str">
        <f>IFERROR(_xlfn.XLOOKUP($A234,'Raw Data'!$G:$G,'Raw Data'!Y:Y),"")</f>
        <v/>
      </c>
      <c r="N234" s="136" t="str">
        <f>IFERROR(_xlfn.XLOOKUP($A234,'Raw Data'!$G:$G,'Raw Data'!Z:Z),"")</f>
        <v/>
      </c>
      <c r="O234" s="176" t="str">
        <f>IFERROR(1-SUMIF('Plant BD'!$B:$B,$A234,'Plant BD'!$AM:$AM)/($AA234+SUMIF('Plant BD'!$B:$B,$A234,'Plant BD'!$AM:$AM)),"")</f>
        <v/>
      </c>
      <c r="P234" s="176"/>
      <c r="Q234" s="177"/>
      <c r="R234" s="179" t="str">
        <f>IFERROR(1-SUMIF('Grid BD'!$B:$B,$A234,'Grid BD'!$AE:$AE)/($AA234+SUMIF('Grid BD'!$B:$B,$A234,'Grid BD'!$AE:$AE)),"")</f>
        <v/>
      </c>
      <c r="S234" s="17"/>
      <c r="T234" s="177" t="str">
        <f>IFERROR(1-SUMIF(Tracker_BD!H:H,$A234,Tracker_BD!AI:AI)/$F234,"")</f>
        <v/>
      </c>
      <c r="U234" s="178" t="str">
        <f t="shared" si="17"/>
        <v/>
      </c>
      <c r="V234" s="17"/>
      <c r="W234" s="164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38" t="str">
        <f>IFERROR(_xlfn.XLOOKUP($A234,'Raw Data'!$G:$G,'Raw Data'!AD:AD),"")</f>
        <v/>
      </c>
      <c r="AA234" s="38" t="str">
        <f>IFERROR(_xlfn.XLOOKUP($A234,'Raw Data'!$G:$G,'Raw Data'!AE:AE)*(1+(_xlfn.XLOOKUP(Table13[[#This Row],[Month Year]],JMR!$A:$A,JMR!$J:$J))),"")</f>
        <v/>
      </c>
      <c r="AB234" s="17">
        <f>_xlfn.XLOOKUP($D234,'Modelling New'!D:D,'Modelling New'!N:N)</f>
        <v>10.507</v>
      </c>
      <c r="AC234" s="24">
        <f>IFERROR(_xlfn.XLOOKUP($D234,'Modelling New'!$D:$D,'Modelling New'!P:P),"")</f>
        <v>5.2640218343333336</v>
      </c>
      <c r="AD234" s="38">
        <f>IFERROR(_xlfn.XLOOKUP($D234,'Modelling New'!$D:$D,'Modelling New'!T:T)*1000,"")</f>
        <v>38712.103320676884</v>
      </c>
      <c r="AE234" s="164">
        <f t="shared" si="19"/>
        <v>0.69992314338151795</v>
      </c>
      <c r="AF234" s="164">
        <f>IFERROR(_xlfn.XLOOKUP($D234,'Modelling New'!$D:$D,'Modelling New'!W:W),"")</f>
        <v>0.15351711287981379</v>
      </c>
      <c r="AG234" s="164">
        <f>IFERROR(_xlfn.XLOOKUP($D234,'Modelling New'!$D:$D,'Modelling New'!AD:AD),"")</f>
        <v>0.995</v>
      </c>
      <c r="AH234" s="164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64"/>
      <c r="AO234" s="164"/>
      <c r="AP234" s="164"/>
      <c r="AQ234" s="164"/>
      <c r="AR234" s="38">
        <f>IFERROR(_xlfn.XLOOKUP($D234,'Modelling New'!$D:$D,'Modelling New'!$N:$N),"")</f>
        <v>10.507</v>
      </c>
      <c r="AS234" s="38"/>
      <c r="AT234" s="38" t="str">
        <f>IFERROR(_xlfn.XLOOKUP(Table13[[#This Row],[Date]],'Raw Data'!$G:$G,'Raw Data'!$AJ:$AJ),"")</f>
        <v/>
      </c>
      <c r="AU234" s="38">
        <f>IFERROR(_xlfn.XLOOKUP(Table13[[#This Row],[Month Year]],'Modelling New'!$D:$D,'Modelling New'!$AN:$AN),"")</f>
        <v>10</v>
      </c>
      <c r="AV234" s="38">
        <f>SUMIF('Curtailment records'!$C:$C,Table13[[#This Row],[Date]],'Curtailment records'!$R:$R)/1000</f>
        <v>0</v>
      </c>
    </row>
    <row r="235" spans="1:48">
      <c r="A235" s="66">
        <f t="shared" si="20"/>
        <v>45978</v>
      </c>
      <c r="B235" s="38">
        <f>YEAR(Table13[[#This Row],[Date]])+IF(MONTH(Table13[[#This Row],[Date]])&gt;=4,1,0)</f>
        <v>2026</v>
      </c>
      <c r="C235" s="17">
        <f>YEAR(Table13[[#This Row],[Date]])</f>
        <v>2025</v>
      </c>
      <c r="D235" s="37">
        <f>Table13[[#This Row],[Date]]-DAY(Table13[[#This Row],[Date]])+1</f>
        <v>45962</v>
      </c>
      <c r="E235" s="17">
        <f t="shared" si="21"/>
        <v>30</v>
      </c>
      <c r="F235" s="135" t="str" cm="1">
        <f t="array" ref="F235">IFERROR(_xlfn.XLOOKUP(Table13[[#This Row],[Date]],Raw_Data[[#All],[Date]],Raw_Data[[#All],[Operating Hours]]),"")</f>
        <v/>
      </c>
      <c r="G235" s="136" t="str">
        <f>IFERROR(_xlfn.XLOOKUP($A235,'Raw Data'!$G:$G,'Raw Data'!S:S)/1000,"")</f>
        <v/>
      </c>
      <c r="H235" s="136"/>
      <c r="I235" s="136" t="str">
        <f>IFERROR(_xlfn.XLOOKUP($A235,'Raw Data'!$G:$G,'Raw Data'!AF:AF)/1000,"")</f>
        <v/>
      </c>
      <c r="J235" s="136"/>
      <c r="K235" s="137" t="str">
        <f>IFERROR(_xlfn.XLOOKUP($A235,'Raw Data'!$G:$G,'Raw Data'!W:W),"")</f>
        <v/>
      </c>
      <c r="L235" s="136" t="str">
        <f>IFERROR(_xlfn.XLOOKUP($A235,'Raw Data'!$G:$G,'Raw Data'!X:X),"")</f>
        <v/>
      </c>
      <c r="M235" s="136" t="str">
        <f>IFERROR(_xlfn.XLOOKUP($A235,'Raw Data'!$G:$G,'Raw Data'!Y:Y),"")</f>
        <v/>
      </c>
      <c r="N235" s="136" t="str">
        <f>IFERROR(_xlfn.XLOOKUP($A235,'Raw Data'!$G:$G,'Raw Data'!Z:Z),"")</f>
        <v/>
      </c>
      <c r="O235" s="176" t="str">
        <f>IFERROR(1-SUMIF('Plant BD'!$B:$B,$A235,'Plant BD'!$AM:$AM)/($AA235+SUMIF('Plant BD'!$B:$B,$A235,'Plant BD'!$AM:$AM)),"")</f>
        <v/>
      </c>
      <c r="P235" s="176"/>
      <c r="Q235" s="177"/>
      <c r="R235" s="176" t="str">
        <f>IFERROR(1-SUMIF('Grid BD'!$B:$B,$A235,'Grid BD'!$AE:$AE)/($AA235+SUMIF('Grid BD'!$B:$B,$A235,'Grid BD'!$AE:$AE)),"")</f>
        <v/>
      </c>
      <c r="S235" s="17"/>
      <c r="T235" s="177" t="str">
        <f>IFERROR(1-SUMIF(Tracker_BD!H:H,$A235,Tracker_BD!AI:AI)/$F235,"")</f>
        <v/>
      </c>
      <c r="U235" s="178" t="str">
        <f t="shared" si="17"/>
        <v/>
      </c>
      <c r="V235" s="17"/>
      <c r="W235" s="164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38" t="str">
        <f>IFERROR(_xlfn.XLOOKUP($A235,'Raw Data'!$G:$G,'Raw Data'!AD:AD),"")</f>
        <v/>
      </c>
      <c r="AA235" s="38" t="str">
        <f>IFERROR(_xlfn.XLOOKUP($A235,'Raw Data'!$G:$G,'Raw Data'!AE:AE)*(1+(_xlfn.XLOOKUP(Table13[[#This Row],[Month Year]],JMR!$A:$A,JMR!$J:$J))),"")</f>
        <v/>
      </c>
      <c r="AB235" s="17">
        <f>_xlfn.XLOOKUP($D235,'Modelling New'!D:D,'Modelling New'!N:N)</f>
        <v>10.507</v>
      </c>
      <c r="AC235" s="24">
        <f>IFERROR(_xlfn.XLOOKUP($D235,'Modelling New'!$D:$D,'Modelling New'!P:P),"")</f>
        <v>5.2640218343333336</v>
      </c>
      <c r="AD235" s="38">
        <f>IFERROR(_xlfn.XLOOKUP($D235,'Modelling New'!$D:$D,'Modelling New'!T:T)*1000,"")</f>
        <v>38712.103320676884</v>
      </c>
      <c r="AE235" s="164">
        <f t="shared" si="19"/>
        <v>0.69992314338151795</v>
      </c>
      <c r="AF235" s="164">
        <f>IFERROR(_xlfn.XLOOKUP($D235,'Modelling New'!$D:$D,'Modelling New'!W:W),"")</f>
        <v>0.15351711287981379</v>
      </c>
      <c r="AG235" s="164">
        <f>IFERROR(_xlfn.XLOOKUP($D235,'Modelling New'!$D:$D,'Modelling New'!AD:AD),"")</f>
        <v>0.995</v>
      </c>
      <c r="AH235" s="164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64"/>
      <c r="AO235" s="164"/>
      <c r="AP235" s="164"/>
      <c r="AQ235" s="164"/>
      <c r="AR235" s="38">
        <f>IFERROR(_xlfn.XLOOKUP($D235,'Modelling New'!$D:$D,'Modelling New'!$N:$N),"")</f>
        <v>10.507</v>
      </c>
      <c r="AS235" s="38"/>
      <c r="AT235" s="38" t="str">
        <f>IFERROR(_xlfn.XLOOKUP(Table13[[#This Row],[Date]],'Raw Data'!$G:$G,'Raw Data'!$AJ:$AJ),"")</f>
        <v/>
      </c>
      <c r="AU235" s="38">
        <f>IFERROR(_xlfn.XLOOKUP(Table13[[#This Row],[Month Year]],'Modelling New'!$D:$D,'Modelling New'!$AN:$AN),"")</f>
        <v>10</v>
      </c>
      <c r="AV235" s="38">
        <f>SUMIF('Curtailment records'!$C:$C,Table13[[#This Row],[Date]],'Curtailment records'!$R:$R)/1000</f>
        <v>0</v>
      </c>
    </row>
    <row r="236" spans="1:48">
      <c r="A236" s="66">
        <f t="shared" si="20"/>
        <v>45979</v>
      </c>
      <c r="B236" s="38">
        <f>YEAR(Table13[[#This Row],[Date]])+IF(MONTH(Table13[[#This Row],[Date]])&gt;=4,1,0)</f>
        <v>2026</v>
      </c>
      <c r="C236" s="17">
        <f>YEAR(Table13[[#This Row],[Date]])</f>
        <v>2025</v>
      </c>
      <c r="D236" s="37">
        <f>Table13[[#This Row],[Date]]-DAY(Table13[[#This Row],[Date]])+1</f>
        <v>45962</v>
      </c>
      <c r="E236" s="17">
        <f t="shared" si="21"/>
        <v>30</v>
      </c>
      <c r="F236" s="135" t="str" cm="1">
        <f t="array" ref="F236">IFERROR(_xlfn.XLOOKUP(Table13[[#This Row],[Date]],Raw_Data[[#All],[Date]],Raw_Data[[#All],[Operating Hours]]),"")</f>
        <v/>
      </c>
      <c r="G236" s="24" t="str">
        <f>IFERROR(_xlfn.XLOOKUP($A236,'Raw Data'!$G:$G,'Raw Data'!S:S)/1000,"")</f>
        <v/>
      </c>
      <c r="H236" s="24"/>
      <c r="I236" s="24" t="str">
        <f>IFERROR(_xlfn.XLOOKUP($A236,'Raw Data'!$G:$G,'Raw Data'!AF:AF)/1000,"")</f>
        <v/>
      </c>
      <c r="J236" s="24"/>
      <c r="K236" s="137" t="str">
        <f>IFERROR(_xlfn.XLOOKUP($A236,'Raw Data'!$G:$G,'Raw Data'!W:W),"")</f>
        <v/>
      </c>
      <c r="L236" s="136" t="str">
        <f>IFERROR(_xlfn.XLOOKUP($A236,'Raw Data'!$G:$G,'Raw Data'!X:X),"")</f>
        <v/>
      </c>
      <c r="M236" s="136" t="str">
        <f>IFERROR(_xlfn.XLOOKUP($A236,'Raw Data'!$G:$G,'Raw Data'!Y:Y),"")</f>
        <v/>
      </c>
      <c r="N236" s="136" t="str">
        <f>IFERROR(_xlfn.XLOOKUP($A236,'Raw Data'!$G:$G,'Raw Data'!Z:Z),"")</f>
        <v/>
      </c>
      <c r="O236" s="176" t="str">
        <f>IFERROR(1-SUMIF('Plant BD'!$B:$B,$A236,'Plant BD'!$AM:$AM)/($AA236+SUMIF('Plant BD'!$B:$B,$A236,'Plant BD'!$AM:$AM)),"")</f>
        <v/>
      </c>
      <c r="P236" s="176"/>
      <c r="Q236" s="177"/>
      <c r="R236" s="179" t="str">
        <f>IFERROR(1-SUMIF('Grid BD'!$B:$B,$A236,'Grid BD'!$AE:$AE)/($AA236+SUMIF('Grid BD'!$B:$B,$A236,'Grid BD'!$AE:$AE)),"")</f>
        <v/>
      </c>
      <c r="S236" s="17"/>
      <c r="T236" s="177" t="str">
        <f>IFERROR(1-SUMIF(Tracker_BD!H:H,$A236,Tracker_BD!AI:AI)/$F236,"")</f>
        <v/>
      </c>
      <c r="U236" s="178" t="str">
        <f t="shared" si="17"/>
        <v/>
      </c>
      <c r="V236" s="17"/>
      <c r="W236" s="164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38" t="str">
        <f>IFERROR(_xlfn.XLOOKUP($A236,'Raw Data'!$G:$G,'Raw Data'!AD:AD),"")</f>
        <v/>
      </c>
      <c r="AA236" s="38" t="str">
        <f>IFERROR(_xlfn.XLOOKUP($A236,'Raw Data'!$G:$G,'Raw Data'!AE:AE)*(1+(_xlfn.XLOOKUP(Table13[[#This Row],[Month Year]],JMR!$A:$A,JMR!$J:$J))),"")</f>
        <v/>
      </c>
      <c r="AB236" s="17">
        <f>_xlfn.XLOOKUP($D236,'Modelling New'!D:D,'Modelling New'!N:N)</f>
        <v>10.507</v>
      </c>
      <c r="AC236" s="24">
        <f>IFERROR(_xlfn.XLOOKUP($D236,'Modelling New'!$D:$D,'Modelling New'!P:P),"")</f>
        <v>5.2640218343333336</v>
      </c>
      <c r="AD236" s="38">
        <f>IFERROR(_xlfn.XLOOKUP($D236,'Modelling New'!$D:$D,'Modelling New'!T:T)*1000,"")</f>
        <v>38712.103320676884</v>
      </c>
      <c r="AE236" s="164">
        <f t="shared" si="19"/>
        <v>0.69992314338151795</v>
      </c>
      <c r="AF236" s="164">
        <f>IFERROR(_xlfn.XLOOKUP($D236,'Modelling New'!$D:$D,'Modelling New'!W:W),"")</f>
        <v>0.15351711287981379</v>
      </c>
      <c r="AG236" s="164">
        <f>IFERROR(_xlfn.XLOOKUP($D236,'Modelling New'!$D:$D,'Modelling New'!AD:AD),"")</f>
        <v>0.995</v>
      </c>
      <c r="AH236" s="164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64"/>
      <c r="AO236" s="164"/>
      <c r="AP236" s="164"/>
      <c r="AQ236" s="164"/>
      <c r="AR236" s="38">
        <f>IFERROR(_xlfn.XLOOKUP($D236,'Modelling New'!$D:$D,'Modelling New'!$N:$N),"")</f>
        <v>10.507</v>
      </c>
      <c r="AS236" s="38"/>
      <c r="AT236" s="38" t="str">
        <f>IFERROR(_xlfn.XLOOKUP(Table13[[#This Row],[Date]],'Raw Data'!$G:$G,'Raw Data'!$AJ:$AJ),"")</f>
        <v/>
      </c>
      <c r="AU236" s="38">
        <f>IFERROR(_xlfn.XLOOKUP(Table13[[#This Row],[Month Year]],'Modelling New'!$D:$D,'Modelling New'!$AN:$AN),"")</f>
        <v>10</v>
      </c>
      <c r="AV236" s="38">
        <f>SUMIF('Curtailment records'!$C:$C,Table13[[#This Row],[Date]],'Curtailment records'!$R:$R)/1000</f>
        <v>0</v>
      </c>
    </row>
    <row r="237" spans="1:48">
      <c r="A237" s="66">
        <f t="shared" si="20"/>
        <v>45980</v>
      </c>
      <c r="B237" s="38">
        <f>YEAR(Table13[[#This Row],[Date]])+IF(MONTH(Table13[[#This Row],[Date]])&gt;=4,1,0)</f>
        <v>2026</v>
      </c>
      <c r="C237" s="17">
        <f>YEAR(Table13[[#This Row],[Date]])</f>
        <v>2025</v>
      </c>
      <c r="D237" s="37">
        <f>Table13[[#This Row],[Date]]-DAY(Table13[[#This Row],[Date]])+1</f>
        <v>45962</v>
      </c>
      <c r="E237" s="17">
        <f t="shared" si="21"/>
        <v>30</v>
      </c>
      <c r="F237" s="135" t="str" cm="1">
        <f t="array" ref="F237">IFERROR(_xlfn.XLOOKUP(Table13[[#This Row],[Date]],Raw_Data[[#All],[Date]],Raw_Data[[#All],[Operating Hours]]),"")</f>
        <v/>
      </c>
      <c r="G237" s="136" t="str">
        <f>IFERROR(_xlfn.XLOOKUP($A237,'Raw Data'!$G:$G,'Raw Data'!S:S)/1000,"")</f>
        <v/>
      </c>
      <c r="H237" s="136"/>
      <c r="I237" s="136" t="str">
        <f>IFERROR(_xlfn.XLOOKUP($A237,'Raw Data'!$G:$G,'Raw Data'!AF:AF)/1000,"")</f>
        <v/>
      </c>
      <c r="J237" s="136"/>
      <c r="K237" s="137" t="str">
        <f>IFERROR(_xlfn.XLOOKUP($A237,'Raw Data'!$G:$G,'Raw Data'!W:W),"")</f>
        <v/>
      </c>
      <c r="L237" s="136" t="str">
        <f>IFERROR(_xlfn.XLOOKUP($A237,'Raw Data'!$G:$G,'Raw Data'!X:X),"")</f>
        <v/>
      </c>
      <c r="M237" s="136" t="str">
        <f>IFERROR(_xlfn.XLOOKUP($A237,'Raw Data'!$G:$G,'Raw Data'!Y:Y),"")</f>
        <v/>
      </c>
      <c r="N237" s="136" t="str">
        <f>IFERROR(_xlfn.XLOOKUP($A237,'Raw Data'!$G:$G,'Raw Data'!Z:Z),"")</f>
        <v/>
      </c>
      <c r="O237" s="176" t="str">
        <f>IFERROR(1-SUMIF('Plant BD'!$B:$B,$A237,'Plant BD'!$AM:$AM)/($AA237+SUMIF('Plant BD'!$B:$B,$A237,'Plant BD'!$AM:$AM)),"")</f>
        <v/>
      </c>
      <c r="P237" s="176"/>
      <c r="Q237" s="177"/>
      <c r="R237" s="176" t="str">
        <f>IFERROR(1-SUMIF('Grid BD'!$B:$B,$A237,'Grid BD'!$AE:$AE)/($AA237+SUMIF('Grid BD'!$B:$B,$A237,'Grid BD'!$AE:$AE)),"")</f>
        <v/>
      </c>
      <c r="S237" s="17"/>
      <c r="T237" s="177" t="str">
        <f>IFERROR(1-SUMIF(Tracker_BD!H:H,$A237,Tracker_BD!AI:AI)/$F237,"")</f>
        <v/>
      </c>
      <c r="U237" s="178" t="str">
        <f t="shared" si="17"/>
        <v/>
      </c>
      <c r="V237" s="17"/>
      <c r="W237" s="164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38" t="str">
        <f>IFERROR(_xlfn.XLOOKUP($A237,'Raw Data'!$G:$G,'Raw Data'!AD:AD),"")</f>
        <v/>
      </c>
      <c r="AA237" s="38" t="str">
        <f>IFERROR(_xlfn.XLOOKUP($A237,'Raw Data'!$G:$G,'Raw Data'!AE:AE)*(1+(_xlfn.XLOOKUP(Table13[[#This Row],[Month Year]],JMR!$A:$A,JMR!$J:$J))),"")</f>
        <v/>
      </c>
      <c r="AB237" s="17">
        <f>_xlfn.XLOOKUP($D237,'Modelling New'!D:D,'Modelling New'!N:N)</f>
        <v>10.507</v>
      </c>
      <c r="AC237" s="24">
        <f>IFERROR(_xlfn.XLOOKUP($D237,'Modelling New'!$D:$D,'Modelling New'!P:P),"")</f>
        <v>5.2640218343333336</v>
      </c>
      <c r="AD237" s="38">
        <f>IFERROR(_xlfn.XLOOKUP($D237,'Modelling New'!$D:$D,'Modelling New'!T:T)*1000,"")</f>
        <v>38712.103320676884</v>
      </c>
      <c r="AE237" s="164">
        <f t="shared" si="19"/>
        <v>0.69992314338151795</v>
      </c>
      <c r="AF237" s="164">
        <f>IFERROR(_xlfn.XLOOKUP($D237,'Modelling New'!$D:$D,'Modelling New'!W:W),"")</f>
        <v>0.15351711287981379</v>
      </c>
      <c r="AG237" s="164">
        <f>IFERROR(_xlfn.XLOOKUP($D237,'Modelling New'!$D:$D,'Modelling New'!AD:AD),"")</f>
        <v>0.995</v>
      </c>
      <c r="AH237" s="164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64"/>
      <c r="AO237" s="164"/>
      <c r="AP237" s="164"/>
      <c r="AQ237" s="164"/>
      <c r="AR237" s="38">
        <f>IFERROR(_xlfn.XLOOKUP($D237,'Modelling New'!$D:$D,'Modelling New'!$N:$N),"")</f>
        <v>10.507</v>
      </c>
      <c r="AS237" s="38"/>
      <c r="AT237" s="38" t="str">
        <f>IFERROR(_xlfn.XLOOKUP(Table13[[#This Row],[Date]],'Raw Data'!$G:$G,'Raw Data'!$AJ:$AJ),"")</f>
        <v/>
      </c>
      <c r="AU237" s="38">
        <f>IFERROR(_xlfn.XLOOKUP(Table13[[#This Row],[Month Year]],'Modelling New'!$D:$D,'Modelling New'!$AN:$AN),"")</f>
        <v>10</v>
      </c>
      <c r="AV237" s="38">
        <f>SUMIF('Curtailment records'!$C:$C,Table13[[#This Row],[Date]],'Curtailment records'!$R:$R)/1000</f>
        <v>0</v>
      </c>
    </row>
    <row r="238" spans="1:48">
      <c r="A238" s="66">
        <f t="shared" si="20"/>
        <v>45981</v>
      </c>
      <c r="B238" s="38">
        <f>YEAR(Table13[[#This Row],[Date]])+IF(MONTH(Table13[[#This Row],[Date]])&gt;=4,1,0)</f>
        <v>2026</v>
      </c>
      <c r="C238" s="17">
        <f>YEAR(Table13[[#This Row],[Date]])</f>
        <v>2025</v>
      </c>
      <c r="D238" s="37">
        <f>Table13[[#This Row],[Date]]-DAY(Table13[[#This Row],[Date]])+1</f>
        <v>45962</v>
      </c>
      <c r="E238" s="17">
        <f t="shared" si="21"/>
        <v>30</v>
      </c>
      <c r="F238" s="135" t="str" cm="1">
        <f t="array" ref="F238">IFERROR(_xlfn.XLOOKUP(Table13[[#This Row],[Date]],Raw_Data[[#All],[Date]],Raw_Data[[#All],[Operating Hours]]),"")</f>
        <v/>
      </c>
      <c r="G238" s="24" t="str">
        <f>IFERROR(_xlfn.XLOOKUP($A238,'Raw Data'!$G:$G,'Raw Data'!S:S)/1000,"")</f>
        <v/>
      </c>
      <c r="H238" s="24"/>
      <c r="I238" s="24" t="str">
        <f>IFERROR(_xlfn.XLOOKUP($A238,'Raw Data'!$G:$G,'Raw Data'!AF:AF)/1000,"")</f>
        <v/>
      </c>
      <c r="J238" s="24"/>
      <c r="K238" s="137" t="str">
        <f>IFERROR(_xlfn.XLOOKUP($A238,'Raw Data'!$G:$G,'Raw Data'!W:W),"")</f>
        <v/>
      </c>
      <c r="L238" s="136" t="str">
        <f>IFERROR(_xlfn.XLOOKUP($A238,'Raw Data'!$G:$G,'Raw Data'!X:X),"")</f>
        <v/>
      </c>
      <c r="M238" s="136" t="str">
        <f>IFERROR(_xlfn.XLOOKUP($A238,'Raw Data'!$G:$G,'Raw Data'!Y:Y),"")</f>
        <v/>
      </c>
      <c r="N238" s="136" t="str">
        <f>IFERROR(_xlfn.XLOOKUP($A238,'Raw Data'!$G:$G,'Raw Data'!Z:Z),"")</f>
        <v/>
      </c>
      <c r="O238" s="176" t="str">
        <f>IFERROR(1-SUMIF('Plant BD'!$B:$B,$A238,'Plant BD'!$AM:$AM)/($AA238+SUMIF('Plant BD'!$B:$B,$A238,'Plant BD'!$AM:$AM)),"")</f>
        <v/>
      </c>
      <c r="P238" s="176"/>
      <c r="Q238" s="177"/>
      <c r="R238" s="179" t="str">
        <f>IFERROR(1-SUMIF('Grid BD'!$B:$B,$A238,'Grid BD'!$AE:$AE)/($AA238+SUMIF('Grid BD'!$B:$B,$A238,'Grid BD'!$AE:$AE)),"")</f>
        <v/>
      </c>
      <c r="S238" s="17"/>
      <c r="T238" s="177" t="str">
        <f>IFERROR(1-SUMIF(Tracker_BD!H:H,$A238,Tracker_BD!AI:AI)/$F238,"")</f>
        <v/>
      </c>
      <c r="U238" s="178" t="str">
        <f t="shared" si="17"/>
        <v/>
      </c>
      <c r="V238" s="17"/>
      <c r="W238" s="164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38" t="str">
        <f>IFERROR(_xlfn.XLOOKUP($A238,'Raw Data'!$G:$G,'Raw Data'!AD:AD),"")</f>
        <v/>
      </c>
      <c r="AA238" s="38" t="str">
        <f>IFERROR(_xlfn.XLOOKUP($A238,'Raw Data'!$G:$G,'Raw Data'!AE:AE)*(1+(_xlfn.XLOOKUP(Table13[[#This Row],[Month Year]],JMR!$A:$A,JMR!$J:$J))),"")</f>
        <v/>
      </c>
      <c r="AB238" s="17">
        <f>_xlfn.XLOOKUP($D238,'Modelling New'!D:D,'Modelling New'!N:N)</f>
        <v>10.507</v>
      </c>
      <c r="AC238" s="24">
        <f>IFERROR(_xlfn.XLOOKUP($D238,'Modelling New'!$D:$D,'Modelling New'!P:P),"")</f>
        <v>5.2640218343333336</v>
      </c>
      <c r="AD238" s="38">
        <f>IFERROR(_xlfn.XLOOKUP($D238,'Modelling New'!$D:$D,'Modelling New'!T:T)*1000,"")</f>
        <v>38712.103320676884</v>
      </c>
      <c r="AE238" s="164">
        <f t="shared" si="19"/>
        <v>0.69992314338151795</v>
      </c>
      <c r="AF238" s="164">
        <f>IFERROR(_xlfn.XLOOKUP($D238,'Modelling New'!$D:$D,'Modelling New'!W:W),"")</f>
        <v>0.15351711287981379</v>
      </c>
      <c r="AG238" s="164">
        <f>IFERROR(_xlfn.XLOOKUP($D238,'Modelling New'!$D:$D,'Modelling New'!AD:AD),"")</f>
        <v>0.995</v>
      </c>
      <c r="AH238" s="164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64"/>
      <c r="AO238" s="164"/>
      <c r="AP238" s="164"/>
      <c r="AQ238" s="164"/>
      <c r="AR238" s="38">
        <f>IFERROR(_xlfn.XLOOKUP($D238,'Modelling New'!$D:$D,'Modelling New'!$N:$N),"")</f>
        <v>10.507</v>
      </c>
      <c r="AS238" s="38"/>
      <c r="AT238" s="38" t="str">
        <f>IFERROR(_xlfn.XLOOKUP(Table13[[#This Row],[Date]],'Raw Data'!$G:$G,'Raw Data'!$AJ:$AJ),"")</f>
        <v/>
      </c>
      <c r="AU238" s="38">
        <f>IFERROR(_xlfn.XLOOKUP(Table13[[#This Row],[Month Year]],'Modelling New'!$D:$D,'Modelling New'!$AN:$AN),"")</f>
        <v>10</v>
      </c>
      <c r="AV238" s="38">
        <f>SUMIF('Curtailment records'!$C:$C,Table13[[#This Row],[Date]],'Curtailment records'!$R:$R)/1000</f>
        <v>0</v>
      </c>
    </row>
    <row r="239" spans="1:48">
      <c r="A239" s="66">
        <f t="shared" si="20"/>
        <v>45982</v>
      </c>
      <c r="B239" s="38">
        <f>YEAR(Table13[[#This Row],[Date]])+IF(MONTH(Table13[[#This Row],[Date]])&gt;=4,1,0)</f>
        <v>2026</v>
      </c>
      <c r="C239" s="17">
        <f>YEAR(Table13[[#This Row],[Date]])</f>
        <v>2025</v>
      </c>
      <c r="D239" s="37">
        <f>Table13[[#This Row],[Date]]-DAY(Table13[[#This Row],[Date]])+1</f>
        <v>45962</v>
      </c>
      <c r="E239" s="17">
        <f t="shared" si="21"/>
        <v>30</v>
      </c>
      <c r="F239" s="135" t="str" cm="1">
        <f t="array" ref="F239">IFERROR(_xlfn.XLOOKUP(Table13[[#This Row],[Date]],Raw_Data[[#All],[Date]],Raw_Data[[#All],[Operating Hours]]),"")</f>
        <v/>
      </c>
      <c r="G239" s="136" t="str">
        <f>IFERROR(_xlfn.XLOOKUP($A239,'Raw Data'!$G:$G,'Raw Data'!S:S)/1000,"")</f>
        <v/>
      </c>
      <c r="H239" s="136"/>
      <c r="I239" s="136" t="str">
        <f>IFERROR(_xlfn.XLOOKUP($A239,'Raw Data'!$G:$G,'Raw Data'!AF:AF)/1000,"")</f>
        <v/>
      </c>
      <c r="J239" s="136"/>
      <c r="K239" s="137" t="str">
        <f>IFERROR(_xlfn.XLOOKUP($A239,'Raw Data'!$G:$G,'Raw Data'!W:W),"")</f>
        <v/>
      </c>
      <c r="L239" s="136" t="str">
        <f>IFERROR(_xlfn.XLOOKUP($A239,'Raw Data'!$G:$G,'Raw Data'!X:X),"")</f>
        <v/>
      </c>
      <c r="M239" s="136" t="str">
        <f>IFERROR(_xlfn.XLOOKUP($A239,'Raw Data'!$G:$G,'Raw Data'!Y:Y),"")</f>
        <v/>
      </c>
      <c r="N239" s="136" t="str">
        <f>IFERROR(_xlfn.XLOOKUP($A239,'Raw Data'!$G:$G,'Raw Data'!Z:Z),"")</f>
        <v/>
      </c>
      <c r="O239" s="176" t="str">
        <f>IFERROR(1-SUMIF('Plant BD'!$B:$B,$A239,'Plant BD'!$AM:$AM)/($AA239+SUMIF('Plant BD'!$B:$B,$A239,'Plant BD'!$AM:$AM)),"")</f>
        <v/>
      </c>
      <c r="P239" s="176"/>
      <c r="Q239" s="177"/>
      <c r="R239" s="176" t="str">
        <f>IFERROR(1-SUMIF('Grid BD'!$B:$B,$A239,'Grid BD'!$AE:$AE)/($AA239+SUMIF('Grid BD'!$B:$B,$A239,'Grid BD'!$AE:$AE)),"")</f>
        <v/>
      </c>
      <c r="S239" s="17"/>
      <c r="T239" s="177" t="str">
        <f>IFERROR(1-SUMIF(Tracker_BD!H:H,$A239,Tracker_BD!AI:AI)/$F239,"")</f>
        <v/>
      </c>
      <c r="U239" s="178" t="str">
        <f t="shared" si="17"/>
        <v/>
      </c>
      <c r="V239" s="17"/>
      <c r="W239" s="164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38" t="str">
        <f>IFERROR(_xlfn.XLOOKUP($A239,'Raw Data'!$G:$G,'Raw Data'!AD:AD),"")</f>
        <v/>
      </c>
      <c r="AA239" s="38" t="str">
        <f>IFERROR(_xlfn.XLOOKUP($A239,'Raw Data'!$G:$G,'Raw Data'!AE:AE)*(1+(_xlfn.XLOOKUP(Table13[[#This Row],[Month Year]],JMR!$A:$A,JMR!$J:$J))),"")</f>
        <v/>
      </c>
      <c r="AB239" s="17">
        <f>_xlfn.XLOOKUP($D239,'Modelling New'!D:D,'Modelling New'!N:N)</f>
        <v>10.507</v>
      </c>
      <c r="AC239" s="24">
        <f>IFERROR(_xlfn.XLOOKUP($D239,'Modelling New'!$D:$D,'Modelling New'!P:P),"")</f>
        <v>5.2640218343333336</v>
      </c>
      <c r="AD239" s="38">
        <f>IFERROR(_xlfn.XLOOKUP($D239,'Modelling New'!$D:$D,'Modelling New'!T:T)*1000,"")</f>
        <v>38712.103320676884</v>
      </c>
      <c r="AE239" s="164">
        <f t="shared" si="19"/>
        <v>0.69992314338151795</v>
      </c>
      <c r="AF239" s="164">
        <f>IFERROR(_xlfn.XLOOKUP($D239,'Modelling New'!$D:$D,'Modelling New'!W:W),"")</f>
        <v>0.15351711287981379</v>
      </c>
      <c r="AG239" s="164">
        <f>IFERROR(_xlfn.XLOOKUP($D239,'Modelling New'!$D:$D,'Modelling New'!AD:AD),"")</f>
        <v>0.995</v>
      </c>
      <c r="AH239" s="164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64"/>
      <c r="AO239" s="164"/>
      <c r="AP239" s="164"/>
      <c r="AQ239" s="164"/>
      <c r="AR239" s="38">
        <f>IFERROR(_xlfn.XLOOKUP($D239,'Modelling New'!$D:$D,'Modelling New'!$N:$N),"")</f>
        <v>10.507</v>
      </c>
      <c r="AS239" s="38"/>
      <c r="AT239" s="38" t="str">
        <f>IFERROR(_xlfn.XLOOKUP(Table13[[#This Row],[Date]],'Raw Data'!$G:$G,'Raw Data'!$AJ:$AJ),"")</f>
        <v/>
      </c>
      <c r="AU239" s="38">
        <f>IFERROR(_xlfn.XLOOKUP(Table13[[#This Row],[Month Year]],'Modelling New'!$D:$D,'Modelling New'!$AN:$AN),"")</f>
        <v>10</v>
      </c>
      <c r="AV239" s="38">
        <f>SUMIF('Curtailment records'!$C:$C,Table13[[#This Row],[Date]],'Curtailment records'!$R:$R)/1000</f>
        <v>0</v>
      </c>
    </row>
    <row r="240" spans="1:48">
      <c r="A240" s="66">
        <f t="shared" si="20"/>
        <v>45983</v>
      </c>
      <c r="B240" s="38">
        <f>YEAR(Table13[[#This Row],[Date]])+IF(MONTH(Table13[[#This Row],[Date]])&gt;=4,1,0)</f>
        <v>2026</v>
      </c>
      <c r="C240" s="17">
        <f>YEAR(Table13[[#This Row],[Date]])</f>
        <v>2025</v>
      </c>
      <c r="D240" s="37">
        <f>Table13[[#This Row],[Date]]-DAY(Table13[[#This Row],[Date]])+1</f>
        <v>45962</v>
      </c>
      <c r="E240" s="17">
        <f t="shared" si="21"/>
        <v>30</v>
      </c>
      <c r="F240" s="135" t="str" cm="1">
        <f t="array" ref="F240">IFERROR(_xlfn.XLOOKUP(Table13[[#This Row],[Date]],Raw_Data[[#All],[Date]],Raw_Data[[#All],[Operating Hours]]),"")</f>
        <v/>
      </c>
      <c r="G240" s="24" t="str">
        <f>IFERROR(_xlfn.XLOOKUP($A240,'Raw Data'!$G:$G,'Raw Data'!S:S)/1000,"")</f>
        <v/>
      </c>
      <c r="H240" s="24"/>
      <c r="I240" s="24" t="str">
        <f>IFERROR(_xlfn.XLOOKUP($A240,'Raw Data'!$G:$G,'Raw Data'!AF:AF)/1000,"")</f>
        <v/>
      </c>
      <c r="J240" s="24"/>
      <c r="K240" s="137" t="str">
        <f>IFERROR(_xlfn.XLOOKUP($A240,'Raw Data'!$G:$G,'Raw Data'!W:W),"")</f>
        <v/>
      </c>
      <c r="L240" s="136" t="str">
        <f>IFERROR(_xlfn.XLOOKUP($A240,'Raw Data'!$G:$G,'Raw Data'!X:X),"")</f>
        <v/>
      </c>
      <c r="M240" s="136" t="str">
        <f>IFERROR(_xlfn.XLOOKUP($A240,'Raw Data'!$G:$G,'Raw Data'!Y:Y),"")</f>
        <v/>
      </c>
      <c r="N240" s="136" t="str">
        <f>IFERROR(_xlfn.XLOOKUP($A240,'Raw Data'!$G:$G,'Raw Data'!Z:Z),"")</f>
        <v/>
      </c>
      <c r="O240" s="176" t="str">
        <f>IFERROR(1-SUMIF('Plant BD'!$B:$B,$A240,'Plant BD'!$AM:$AM)/($AA240+SUMIF('Plant BD'!$B:$B,$A240,'Plant BD'!$AM:$AM)),"")</f>
        <v/>
      </c>
      <c r="P240" s="176"/>
      <c r="Q240" s="177"/>
      <c r="R240" s="179" t="str">
        <f>IFERROR(1-SUMIF('Grid BD'!$B:$B,$A240,'Grid BD'!$AE:$AE)/($AA240+SUMIF('Grid BD'!$B:$B,$A240,'Grid BD'!$AE:$AE)),"")</f>
        <v/>
      </c>
      <c r="S240" s="17"/>
      <c r="T240" s="177" t="str">
        <f>IFERROR(1-SUMIF(Tracker_BD!H:H,$A240,Tracker_BD!AI:AI)/$F240,"")</f>
        <v/>
      </c>
      <c r="U240" s="178" t="str">
        <f t="shared" si="17"/>
        <v/>
      </c>
      <c r="V240" s="17"/>
      <c r="W240" s="164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38" t="str">
        <f>IFERROR(_xlfn.XLOOKUP($A240,'Raw Data'!$G:$G,'Raw Data'!AD:AD),"")</f>
        <v/>
      </c>
      <c r="AA240" s="38" t="str">
        <f>IFERROR(_xlfn.XLOOKUP($A240,'Raw Data'!$G:$G,'Raw Data'!AE:AE)*(1+(_xlfn.XLOOKUP(Table13[[#This Row],[Month Year]],JMR!$A:$A,JMR!$J:$J))),"")</f>
        <v/>
      </c>
      <c r="AB240" s="17">
        <f>_xlfn.XLOOKUP($D240,'Modelling New'!D:D,'Modelling New'!N:N)</f>
        <v>10.507</v>
      </c>
      <c r="AC240" s="24">
        <f>IFERROR(_xlfn.XLOOKUP($D240,'Modelling New'!$D:$D,'Modelling New'!P:P),"")</f>
        <v>5.2640218343333336</v>
      </c>
      <c r="AD240" s="38">
        <f>IFERROR(_xlfn.XLOOKUP($D240,'Modelling New'!$D:$D,'Modelling New'!T:T)*1000,"")</f>
        <v>38712.103320676884</v>
      </c>
      <c r="AE240" s="164">
        <f t="shared" si="19"/>
        <v>0.69992314338151795</v>
      </c>
      <c r="AF240" s="164">
        <f>IFERROR(_xlfn.XLOOKUP($D240,'Modelling New'!$D:$D,'Modelling New'!W:W),"")</f>
        <v>0.15351711287981379</v>
      </c>
      <c r="AG240" s="164">
        <f>IFERROR(_xlfn.XLOOKUP($D240,'Modelling New'!$D:$D,'Modelling New'!AD:AD),"")</f>
        <v>0.995</v>
      </c>
      <c r="AH240" s="164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64"/>
      <c r="AO240" s="164"/>
      <c r="AP240" s="164"/>
      <c r="AQ240" s="164"/>
      <c r="AR240" s="38">
        <f>IFERROR(_xlfn.XLOOKUP($D240,'Modelling New'!$D:$D,'Modelling New'!$N:$N),"")</f>
        <v>10.507</v>
      </c>
      <c r="AS240" s="38"/>
      <c r="AT240" s="38" t="str">
        <f>IFERROR(_xlfn.XLOOKUP(Table13[[#This Row],[Date]],'Raw Data'!$G:$G,'Raw Data'!$AJ:$AJ),"")</f>
        <v/>
      </c>
      <c r="AU240" s="38">
        <f>IFERROR(_xlfn.XLOOKUP(Table13[[#This Row],[Month Year]],'Modelling New'!$D:$D,'Modelling New'!$AN:$AN),"")</f>
        <v>10</v>
      </c>
      <c r="AV240" s="38">
        <f>SUMIF('Curtailment records'!$C:$C,Table13[[#This Row],[Date]],'Curtailment records'!$R:$R)/1000</f>
        <v>0</v>
      </c>
    </row>
    <row r="241" spans="1:48">
      <c r="A241" s="66">
        <f t="shared" si="20"/>
        <v>45984</v>
      </c>
      <c r="B241" s="38">
        <f>YEAR(Table13[[#This Row],[Date]])+IF(MONTH(Table13[[#This Row],[Date]])&gt;=4,1,0)</f>
        <v>2026</v>
      </c>
      <c r="C241" s="17">
        <f>YEAR(Table13[[#This Row],[Date]])</f>
        <v>2025</v>
      </c>
      <c r="D241" s="37">
        <f>Table13[[#This Row],[Date]]-DAY(Table13[[#This Row],[Date]])+1</f>
        <v>45962</v>
      </c>
      <c r="E241" s="17">
        <f t="shared" si="21"/>
        <v>30</v>
      </c>
      <c r="F241" s="135" t="str" cm="1">
        <f t="array" ref="F241">IFERROR(_xlfn.XLOOKUP(Table13[[#This Row],[Date]],Raw_Data[[#All],[Date]],Raw_Data[[#All],[Operating Hours]]),"")</f>
        <v/>
      </c>
      <c r="G241" s="136" t="str">
        <f>IFERROR(_xlfn.XLOOKUP($A241,'Raw Data'!$G:$G,'Raw Data'!S:S)/1000,"")</f>
        <v/>
      </c>
      <c r="H241" s="136"/>
      <c r="I241" s="136" t="str">
        <f>IFERROR(_xlfn.XLOOKUP($A241,'Raw Data'!$G:$G,'Raw Data'!AF:AF)/1000,"")</f>
        <v/>
      </c>
      <c r="J241" s="136"/>
      <c r="K241" s="137" t="str">
        <f>IFERROR(_xlfn.XLOOKUP($A241,'Raw Data'!$G:$G,'Raw Data'!W:W),"")</f>
        <v/>
      </c>
      <c r="L241" s="136" t="str">
        <f>IFERROR(_xlfn.XLOOKUP($A241,'Raw Data'!$G:$G,'Raw Data'!X:X),"")</f>
        <v/>
      </c>
      <c r="M241" s="136" t="str">
        <f>IFERROR(_xlfn.XLOOKUP($A241,'Raw Data'!$G:$G,'Raw Data'!Y:Y),"")</f>
        <v/>
      </c>
      <c r="N241" s="136" t="str">
        <f>IFERROR(_xlfn.XLOOKUP($A241,'Raw Data'!$G:$G,'Raw Data'!Z:Z),"")</f>
        <v/>
      </c>
      <c r="O241" s="176" t="str">
        <f>IFERROR(1-SUMIF('Plant BD'!$B:$B,$A241,'Plant BD'!$AM:$AM)/($AA241+SUMIF('Plant BD'!$B:$B,$A241,'Plant BD'!$AM:$AM)),"")</f>
        <v/>
      </c>
      <c r="P241" s="176"/>
      <c r="Q241" s="177"/>
      <c r="R241" s="176" t="str">
        <f>IFERROR(1-SUMIF('Grid BD'!$B:$B,$A241,'Grid BD'!$AE:$AE)/($AA241+SUMIF('Grid BD'!$B:$B,$A241,'Grid BD'!$AE:$AE)),"")</f>
        <v/>
      </c>
      <c r="S241" s="17"/>
      <c r="T241" s="177" t="str">
        <f>IFERROR(1-SUMIF(Tracker_BD!H:H,$A241,Tracker_BD!AI:AI)/$F241,"")</f>
        <v/>
      </c>
      <c r="U241" s="178" t="str">
        <f t="shared" si="17"/>
        <v/>
      </c>
      <c r="V241" s="17"/>
      <c r="W241" s="164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38" t="str">
        <f>IFERROR(_xlfn.XLOOKUP($A241,'Raw Data'!$G:$G,'Raw Data'!AD:AD),"")</f>
        <v/>
      </c>
      <c r="AA241" s="38" t="str">
        <f>IFERROR(_xlfn.XLOOKUP($A241,'Raw Data'!$G:$G,'Raw Data'!AE:AE)*(1+(_xlfn.XLOOKUP(Table13[[#This Row],[Month Year]],JMR!$A:$A,JMR!$J:$J))),"")</f>
        <v/>
      </c>
      <c r="AB241" s="17">
        <f>_xlfn.XLOOKUP($D241,'Modelling New'!D:D,'Modelling New'!N:N)</f>
        <v>10.507</v>
      </c>
      <c r="AC241" s="24">
        <f>IFERROR(_xlfn.XLOOKUP($D241,'Modelling New'!$D:$D,'Modelling New'!P:P),"")</f>
        <v>5.2640218343333336</v>
      </c>
      <c r="AD241" s="38">
        <f>IFERROR(_xlfn.XLOOKUP($D241,'Modelling New'!$D:$D,'Modelling New'!T:T)*1000,"")</f>
        <v>38712.103320676884</v>
      </c>
      <c r="AE241" s="164">
        <f t="shared" si="19"/>
        <v>0.69992314338151795</v>
      </c>
      <c r="AF241" s="164">
        <f>IFERROR(_xlfn.XLOOKUP($D241,'Modelling New'!$D:$D,'Modelling New'!W:W),"")</f>
        <v>0.15351711287981379</v>
      </c>
      <c r="AG241" s="164">
        <f>IFERROR(_xlfn.XLOOKUP($D241,'Modelling New'!$D:$D,'Modelling New'!AD:AD),"")</f>
        <v>0.995</v>
      </c>
      <c r="AH241" s="164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64"/>
      <c r="AO241" s="164"/>
      <c r="AP241" s="164"/>
      <c r="AQ241" s="164"/>
      <c r="AR241" s="38">
        <f>IFERROR(_xlfn.XLOOKUP($D241,'Modelling New'!$D:$D,'Modelling New'!$N:$N),"")</f>
        <v>10.507</v>
      </c>
      <c r="AS241" s="38"/>
      <c r="AT241" s="38" t="str">
        <f>IFERROR(_xlfn.XLOOKUP(Table13[[#This Row],[Date]],'Raw Data'!$G:$G,'Raw Data'!$AJ:$AJ),"")</f>
        <v/>
      </c>
      <c r="AU241" s="38">
        <f>IFERROR(_xlfn.XLOOKUP(Table13[[#This Row],[Month Year]],'Modelling New'!$D:$D,'Modelling New'!$AN:$AN),"")</f>
        <v>10</v>
      </c>
      <c r="AV241" s="38">
        <f>SUMIF('Curtailment records'!$C:$C,Table13[[#This Row],[Date]],'Curtailment records'!$R:$R)/1000</f>
        <v>0</v>
      </c>
    </row>
    <row r="242" spans="1:48">
      <c r="A242" s="66">
        <f t="shared" si="20"/>
        <v>45985</v>
      </c>
      <c r="B242" s="38">
        <f>YEAR(Table13[[#This Row],[Date]])+IF(MONTH(Table13[[#This Row],[Date]])&gt;=4,1,0)</f>
        <v>2026</v>
      </c>
      <c r="C242" s="17">
        <f>YEAR(Table13[[#This Row],[Date]])</f>
        <v>2025</v>
      </c>
      <c r="D242" s="37">
        <f>Table13[[#This Row],[Date]]-DAY(Table13[[#This Row],[Date]])+1</f>
        <v>45962</v>
      </c>
      <c r="E242" s="17">
        <f t="shared" si="21"/>
        <v>30</v>
      </c>
      <c r="F242" s="135" t="str" cm="1">
        <f t="array" ref="F242">IFERROR(_xlfn.XLOOKUP(Table13[[#This Row],[Date]],Raw_Data[[#All],[Date]],Raw_Data[[#All],[Operating Hours]]),"")</f>
        <v/>
      </c>
      <c r="G242" s="24" t="str">
        <f>IFERROR(_xlfn.XLOOKUP($A242,'Raw Data'!$G:$G,'Raw Data'!S:S)/1000,"")</f>
        <v/>
      </c>
      <c r="H242" s="24"/>
      <c r="I242" s="24" t="str">
        <f>IFERROR(_xlfn.XLOOKUP($A242,'Raw Data'!$G:$G,'Raw Data'!AF:AF)/1000,"")</f>
        <v/>
      </c>
      <c r="J242" s="24"/>
      <c r="K242" s="137" t="str">
        <f>IFERROR(_xlfn.XLOOKUP($A242,'Raw Data'!$G:$G,'Raw Data'!W:W),"")</f>
        <v/>
      </c>
      <c r="L242" s="136" t="str">
        <f>IFERROR(_xlfn.XLOOKUP($A242,'Raw Data'!$G:$G,'Raw Data'!X:X),"")</f>
        <v/>
      </c>
      <c r="M242" s="136" t="str">
        <f>IFERROR(_xlfn.XLOOKUP($A242,'Raw Data'!$G:$G,'Raw Data'!Y:Y),"")</f>
        <v/>
      </c>
      <c r="N242" s="136" t="str">
        <f>IFERROR(_xlfn.XLOOKUP($A242,'Raw Data'!$G:$G,'Raw Data'!Z:Z),"")</f>
        <v/>
      </c>
      <c r="O242" s="176" t="str">
        <f>IFERROR(1-SUMIF('Plant BD'!$B:$B,$A242,'Plant BD'!$AM:$AM)/($AA242+SUMIF('Plant BD'!$B:$B,$A242,'Plant BD'!$AM:$AM)),"")</f>
        <v/>
      </c>
      <c r="P242" s="176"/>
      <c r="Q242" s="177"/>
      <c r="R242" s="179" t="str">
        <f>IFERROR(1-SUMIF('Grid BD'!$B:$B,$A242,'Grid BD'!$AE:$AE)/($AA242+SUMIF('Grid BD'!$B:$B,$A242,'Grid BD'!$AE:$AE)),"")</f>
        <v/>
      </c>
      <c r="S242" s="17"/>
      <c r="T242" s="177" t="str">
        <f>IFERROR(1-SUMIF(Tracker_BD!H:H,$A242,Tracker_BD!AI:AI)/$F242,"")</f>
        <v/>
      </c>
      <c r="U242" s="178" t="str">
        <f t="shared" si="17"/>
        <v/>
      </c>
      <c r="V242" s="17"/>
      <c r="W242" s="164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38" t="str">
        <f>IFERROR(_xlfn.XLOOKUP($A242,'Raw Data'!$G:$G,'Raw Data'!AD:AD),"")</f>
        <v/>
      </c>
      <c r="AA242" s="38" t="str">
        <f>IFERROR(_xlfn.XLOOKUP($A242,'Raw Data'!$G:$G,'Raw Data'!AE:AE)*(1+(_xlfn.XLOOKUP(Table13[[#This Row],[Month Year]],JMR!$A:$A,JMR!$J:$J))),"")</f>
        <v/>
      </c>
      <c r="AB242" s="17">
        <f>_xlfn.XLOOKUP($D242,'Modelling New'!D:D,'Modelling New'!N:N)</f>
        <v>10.507</v>
      </c>
      <c r="AC242" s="24">
        <f>IFERROR(_xlfn.XLOOKUP($D242,'Modelling New'!$D:$D,'Modelling New'!P:P),"")</f>
        <v>5.2640218343333336</v>
      </c>
      <c r="AD242" s="38">
        <f>IFERROR(_xlfn.XLOOKUP($D242,'Modelling New'!$D:$D,'Modelling New'!T:T)*1000,"")</f>
        <v>38712.103320676884</v>
      </c>
      <c r="AE242" s="164">
        <f t="shared" si="19"/>
        <v>0.69992314338151795</v>
      </c>
      <c r="AF242" s="164">
        <f>IFERROR(_xlfn.XLOOKUP($D242,'Modelling New'!$D:$D,'Modelling New'!W:W),"")</f>
        <v>0.15351711287981379</v>
      </c>
      <c r="AG242" s="164">
        <f>IFERROR(_xlfn.XLOOKUP($D242,'Modelling New'!$D:$D,'Modelling New'!AD:AD),"")</f>
        <v>0.995</v>
      </c>
      <c r="AH242" s="164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64"/>
      <c r="AO242" s="164"/>
      <c r="AP242" s="164"/>
      <c r="AQ242" s="164"/>
      <c r="AR242" s="38">
        <f>IFERROR(_xlfn.XLOOKUP($D242,'Modelling New'!$D:$D,'Modelling New'!$N:$N),"")</f>
        <v>10.507</v>
      </c>
      <c r="AS242" s="38"/>
      <c r="AT242" s="38" t="str">
        <f>IFERROR(_xlfn.XLOOKUP(Table13[[#This Row],[Date]],'Raw Data'!$G:$G,'Raw Data'!$AJ:$AJ),"")</f>
        <v/>
      </c>
      <c r="AU242" s="38">
        <f>IFERROR(_xlfn.XLOOKUP(Table13[[#This Row],[Month Year]],'Modelling New'!$D:$D,'Modelling New'!$AN:$AN),"")</f>
        <v>10</v>
      </c>
      <c r="AV242" s="38">
        <f>SUMIF('Curtailment records'!$C:$C,Table13[[#This Row],[Date]],'Curtailment records'!$R:$R)/1000</f>
        <v>0</v>
      </c>
    </row>
    <row r="243" spans="1:48">
      <c r="A243" s="66">
        <f t="shared" si="20"/>
        <v>45986</v>
      </c>
      <c r="B243" s="38">
        <f>YEAR(Table13[[#This Row],[Date]])+IF(MONTH(Table13[[#This Row],[Date]])&gt;=4,1,0)</f>
        <v>2026</v>
      </c>
      <c r="C243" s="17">
        <f>YEAR(Table13[[#This Row],[Date]])</f>
        <v>2025</v>
      </c>
      <c r="D243" s="37">
        <f>Table13[[#This Row],[Date]]-DAY(Table13[[#This Row],[Date]])+1</f>
        <v>45962</v>
      </c>
      <c r="E243" s="17">
        <f t="shared" si="21"/>
        <v>30</v>
      </c>
      <c r="F243" s="135" t="str" cm="1">
        <f t="array" ref="F243">IFERROR(_xlfn.XLOOKUP(Table13[[#This Row],[Date]],Raw_Data[[#All],[Date]],Raw_Data[[#All],[Operating Hours]]),"")</f>
        <v/>
      </c>
      <c r="G243" s="136" t="str">
        <f>IFERROR(_xlfn.XLOOKUP($A243,'Raw Data'!$G:$G,'Raw Data'!S:S)/1000,"")</f>
        <v/>
      </c>
      <c r="H243" s="136"/>
      <c r="I243" s="136" t="str">
        <f>IFERROR(_xlfn.XLOOKUP($A243,'Raw Data'!$G:$G,'Raw Data'!AF:AF)/1000,"")</f>
        <v/>
      </c>
      <c r="J243" s="136"/>
      <c r="K243" s="137" t="str">
        <f>IFERROR(_xlfn.XLOOKUP($A243,'Raw Data'!$G:$G,'Raw Data'!W:W),"")</f>
        <v/>
      </c>
      <c r="L243" s="136" t="str">
        <f>IFERROR(_xlfn.XLOOKUP($A243,'Raw Data'!$G:$G,'Raw Data'!X:X),"")</f>
        <v/>
      </c>
      <c r="M243" s="136" t="str">
        <f>IFERROR(_xlfn.XLOOKUP($A243,'Raw Data'!$G:$G,'Raw Data'!Y:Y),"")</f>
        <v/>
      </c>
      <c r="N243" s="136" t="str">
        <f>IFERROR(_xlfn.XLOOKUP($A243,'Raw Data'!$G:$G,'Raw Data'!Z:Z),"")</f>
        <v/>
      </c>
      <c r="O243" s="176" t="str">
        <f>IFERROR(1-SUMIF('Plant BD'!$B:$B,$A243,'Plant BD'!$AM:$AM)/($AA243+SUMIF('Plant BD'!$B:$B,$A243,'Plant BD'!$AM:$AM)),"")</f>
        <v/>
      </c>
      <c r="P243" s="176"/>
      <c r="Q243" s="177"/>
      <c r="R243" s="176" t="str">
        <f>IFERROR(1-SUMIF('Grid BD'!$B:$B,$A243,'Grid BD'!$AE:$AE)/($AA243+SUMIF('Grid BD'!$B:$B,$A243,'Grid BD'!$AE:$AE)),"")</f>
        <v/>
      </c>
      <c r="S243" s="17"/>
      <c r="T243" s="177" t="str">
        <f>IFERROR(1-SUMIF(Tracker_BD!H:H,$A243,Tracker_BD!AI:AI)/$F243,"")</f>
        <v/>
      </c>
      <c r="U243" s="178" t="str">
        <f t="shared" si="17"/>
        <v/>
      </c>
      <c r="V243" s="17"/>
      <c r="W243" s="164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38" t="str">
        <f>IFERROR(_xlfn.XLOOKUP($A243,'Raw Data'!$G:$G,'Raw Data'!AD:AD),"")</f>
        <v/>
      </c>
      <c r="AA243" s="38" t="str">
        <f>IFERROR(_xlfn.XLOOKUP($A243,'Raw Data'!$G:$G,'Raw Data'!AE:AE)*(1+(_xlfn.XLOOKUP(Table13[[#This Row],[Month Year]],JMR!$A:$A,JMR!$J:$J))),"")</f>
        <v/>
      </c>
      <c r="AB243" s="17">
        <f>_xlfn.XLOOKUP($D243,'Modelling New'!D:D,'Modelling New'!N:N)</f>
        <v>10.507</v>
      </c>
      <c r="AC243" s="24">
        <f>IFERROR(_xlfn.XLOOKUP($D243,'Modelling New'!$D:$D,'Modelling New'!P:P),"")</f>
        <v>5.2640218343333336</v>
      </c>
      <c r="AD243" s="38">
        <f>IFERROR(_xlfn.XLOOKUP($D243,'Modelling New'!$D:$D,'Modelling New'!T:T)*1000,"")</f>
        <v>38712.103320676884</v>
      </c>
      <c r="AE243" s="164">
        <f t="shared" si="19"/>
        <v>0.69992314338151795</v>
      </c>
      <c r="AF243" s="164">
        <f>IFERROR(_xlfn.XLOOKUP($D243,'Modelling New'!$D:$D,'Modelling New'!W:W),"")</f>
        <v>0.15351711287981379</v>
      </c>
      <c r="AG243" s="164">
        <f>IFERROR(_xlfn.XLOOKUP($D243,'Modelling New'!$D:$D,'Modelling New'!AD:AD),"")</f>
        <v>0.995</v>
      </c>
      <c r="AH243" s="164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64"/>
      <c r="AO243" s="164"/>
      <c r="AP243" s="164"/>
      <c r="AQ243" s="164"/>
      <c r="AR243" s="38">
        <f>IFERROR(_xlfn.XLOOKUP($D243,'Modelling New'!$D:$D,'Modelling New'!$N:$N),"")</f>
        <v>10.507</v>
      </c>
      <c r="AS243" s="38"/>
      <c r="AT243" s="38" t="str">
        <f>IFERROR(_xlfn.XLOOKUP(Table13[[#This Row],[Date]],'Raw Data'!$G:$G,'Raw Data'!$AJ:$AJ),"")</f>
        <v/>
      </c>
      <c r="AU243" s="38">
        <f>IFERROR(_xlfn.XLOOKUP(Table13[[#This Row],[Month Year]],'Modelling New'!$D:$D,'Modelling New'!$AN:$AN),"")</f>
        <v>10</v>
      </c>
      <c r="AV243" s="38">
        <f>SUMIF('Curtailment records'!$C:$C,Table13[[#This Row],[Date]],'Curtailment records'!$R:$R)/1000</f>
        <v>0</v>
      </c>
    </row>
    <row r="244" spans="1:48">
      <c r="A244" s="66">
        <f t="shared" si="20"/>
        <v>45987</v>
      </c>
      <c r="B244" s="38">
        <f>YEAR(Table13[[#This Row],[Date]])+IF(MONTH(Table13[[#This Row],[Date]])&gt;=4,1,0)</f>
        <v>2026</v>
      </c>
      <c r="C244" s="17">
        <f>YEAR(Table13[[#This Row],[Date]])</f>
        <v>2025</v>
      </c>
      <c r="D244" s="37">
        <f>Table13[[#This Row],[Date]]-DAY(Table13[[#This Row],[Date]])+1</f>
        <v>45962</v>
      </c>
      <c r="E244" s="17">
        <f t="shared" si="21"/>
        <v>30</v>
      </c>
      <c r="F244" s="135" t="str" cm="1">
        <f t="array" ref="F244">IFERROR(_xlfn.XLOOKUP(Table13[[#This Row],[Date]],Raw_Data[[#All],[Date]],Raw_Data[[#All],[Operating Hours]]),"")</f>
        <v/>
      </c>
      <c r="G244" s="24" t="str">
        <f>IFERROR(_xlfn.XLOOKUP($A244,'Raw Data'!$G:$G,'Raw Data'!S:S)/1000,"")</f>
        <v/>
      </c>
      <c r="H244" s="24"/>
      <c r="I244" s="24" t="str">
        <f>IFERROR(_xlfn.XLOOKUP($A244,'Raw Data'!$G:$G,'Raw Data'!AF:AF)/1000,"")</f>
        <v/>
      </c>
      <c r="J244" s="24"/>
      <c r="K244" s="137" t="str">
        <f>IFERROR(_xlfn.XLOOKUP($A244,'Raw Data'!$G:$G,'Raw Data'!W:W),"")</f>
        <v/>
      </c>
      <c r="L244" s="136" t="str">
        <f>IFERROR(_xlfn.XLOOKUP($A244,'Raw Data'!$G:$G,'Raw Data'!X:X),"")</f>
        <v/>
      </c>
      <c r="M244" s="136" t="str">
        <f>IFERROR(_xlfn.XLOOKUP($A244,'Raw Data'!$G:$G,'Raw Data'!Y:Y),"")</f>
        <v/>
      </c>
      <c r="N244" s="136" t="str">
        <f>IFERROR(_xlfn.XLOOKUP($A244,'Raw Data'!$G:$G,'Raw Data'!Z:Z),"")</f>
        <v/>
      </c>
      <c r="O244" s="176" t="str">
        <f>IFERROR(1-SUMIF('Plant BD'!$B:$B,$A244,'Plant BD'!$AM:$AM)/($AA244+SUMIF('Plant BD'!$B:$B,$A244,'Plant BD'!$AM:$AM)),"")</f>
        <v/>
      </c>
      <c r="P244" s="176"/>
      <c r="Q244" s="177"/>
      <c r="R244" s="179" t="str">
        <f>IFERROR(1-SUMIF('Grid BD'!$B:$B,$A244,'Grid BD'!$AE:$AE)/($AA244+SUMIF('Grid BD'!$B:$B,$A244,'Grid BD'!$AE:$AE)),"")</f>
        <v/>
      </c>
      <c r="S244" s="17"/>
      <c r="T244" s="177" t="str">
        <f>IFERROR(1-SUMIF(Tracker_BD!H:H,$A244,Tracker_BD!AI:AI)/$F244,"")</f>
        <v/>
      </c>
      <c r="U244" s="178" t="str">
        <f t="shared" si="17"/>
        <v/>
      </c>
      <c r="V244" s="17"/>
      <c r="W244" s="164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38" t="str">
        <f>IFERROR(_xlfn.XLOOKUP($A244,'Raw Data'!$G:$G,'Raw Data'!AD:AD),"")</f>
        <v/>
      </c>
      <c r="AA244" s="38" t="str">
        <f>IFERROR(_xlfn.XLOOKUP($A244,'Raw Data'!$G:$G,'Raw Data'!AE:AE)*(1+(_xlfn.XLOOKUP(Table13[[#This Row],[Month Year]],JMR!$A:$A,JMR!$J:$J))),"")</f>
        <v/>
      </c>
      <c r="AB244" s="17">
        <f>_xlfn.XLOOKUP($D244,'Modelling New'!D:D,'Modelling New'!N:N)</f>
        <v>10.507</v>
      </c>
      <c r="AC244" s="24">
        <f>IFERROR(_xlfn.XLOOKUP($D244,'Modelling New'!$D:$D,'Modelling New'!P:P),"")</f>
        <v>5.2640218343333336</v>
      </c>
      <c r="AD244" s="38">
        <f>IFERROR(_xlfn.XLOOKUP($D244,'Modelling New'!$D:$D,'Modelling New'!T:T)*1000,"")</f>
        <v>38712.103320676884</v>
      </c>
      <c r="AE244" s="164">
        <f t="shared" si="19"/>
        <v>0.69992314338151795</v>
      </c>
      <c r="AF244" s="164">
        <f>IFERROR(_xlfn.XLOOKUP($D244,'Modelling New'!$D:$D,'Modelling New'!W:W),"")</f>
        <v>0.15351711287981379</v>
      </c>
      <c r="AG244" s="164">
        <f>IFERROR(_xlfn.XLOOKUP($D244,'Modelling New'!$D:$D,'Modelling New'!AD:AD),"")</f>
        <v>0.995</v>
      </c>
      <c r="AH244" s="164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64"/>
      <c r="AO244" s="164"/>
      <c r="AP244" s="164"/>
      <c r="AQ244" s="164"/>
      <c r="AR244" s="38">
        <f>IFERROR(_xlfn.XLOOKUP($D244,'Modelling New'!$D:$D,'Modelling New'!$N:$N),"")</f>
        <v>10.507</v>
      </c>
      <c r="AS244" s="38"/>
      <c r="AT244" s="38" t="str">
        <f>IFERROR(_xlfn.XLOOKUP(Table13[[#This Row],[Date]],'Raw Data'!$G:$G,'Raw Data'!$AJ:$AJ),"")</f>
        <v/>
      </c>
      <c r="AU244" s="38">
        <f>IFERROR(_xlfn.XLOOKUP(Table13[[#This Row],[Month Year]],'Modelling New'!$D:$D,'Modelling New'!$AN:$AN),"")</f>
        <v>10</v>
      </c>
      <c r="AV244" s="38">
        <f>SUMIF('Curtailment records'!$C:$C,Table13[[#This Row],[Date]],'Curtailment records'!$R:$R)/1000</f>
        <v>0</v>
      </c>
    </row>
    <row r="245" spans="1:48">
      <c r="A245" s="66">
        <f t="shared" si="20"/>
        <v>45988</v>
      </c>
      <c r="B245" s="38">
        <f>YEAR(Table13[[#This Row],[Date]])+IF(MONTH(Table13[[#This Row],[Date]])&gt;=4,1,0)</f>
        <v>2026</v>
      </c>
      <c r="C245" s="17">
        <f>YEAR(Table13[[#This Row],[Date]])</f>
        <v>2025</v>
      </c>
      <c r="D245" s="37">
        <f>Table13[[#This Row],[Date]]-DAY(Table13[[#This Row],[Date]])+1</f>
        <v>45962</v>
      </c>
      <c r="E245" s="17">
        <f t="shared" si="21"/>
        <v>30</v>
      </c>
      <c r="F245" s="135" t="str" cm="1">
        <f t="array" ref="F245">IFERROR(_xlfn.XLOOKUP(Table13[[#This Row],[Date]],Raw_Data[[#All],[Date]],Raw_Data[[#All],[Operating Hours]]),"")</f>
        <v/>
      </c>
      <c r="G245" s="136" t="str">
        <f>IFERROR(_xlfn.XLOOKUP($A245,'Raw Data'!$G:$G,'Raw Data'!S:S)/1000,"")</f>
        <v/>
      </c>
      <c r="H245" s="136"/>
      <c r="I245" s="136" t="str">
        <f>IFERROR(_xlfn.XLOOKUP($A245,'Raw Data'!$G:$G,'Raw Data'!AF:AF)/1000,"")</f>
        <v/>
      </c>
      <c r="J245" s="136"/>
      <c r="K245" s="137" t="str">
        <f>IFERROR(_xlfn.XLOOKUP($A245,'Raw Data'!$G:$G,'Raw Data'!W:W),"")</f>
        <v/>
      </c>
      <c r="L245" s="136" t="str">
        <f>IFERROR(_xlfn.XLOOKUP($A245,'Raw Data'!$G:$G,'Raw Data'!X:X),"")</f>
        <v/>
      </c>
      <c r="M245" s="136" t="str">
        <f>IFERROR(_xlfn.XLOOKUP($A245,'Raw Data'!$G:$G,'Raw Data'!Y:Y),"")</f>
        <v/>
      </c>
      <c r="N245" s="136" t="str">
        <f>IFERROR(_xlfn.XLOOKUP($A245,'Raw Data'!$G:$G,'Raw Data'!Z:Z),"")</f>
        <v/>
      </c>
      <c r="O245" s="176" t="str">
        <f>IFERROR(1-SUMIF('Plant BD'!$B:$B,$A245,'Plant BD'!$AM:$AM)/($AA245+SUMIF('Plant BD'!$B:$B,$A245,'Plant BD'!$AM:$AM)),"")</f>
        <v/>
      </c>
      <c r="P245" s="176"/>
      <c r="Q245" s="177"/>
      <c r="R245" s="176" t="str">
        <f>IFERROR(1-SUMIF('Grid BD'!$B:$B,$A245,'Grid BD'!$AE:$AE)/($AA245+SUMIF('Grid BD'!$B:$B,$A245,'Grid BD'!$AE:$AE)),"")</f>
        <v/>
      </c>
      <c r="S245" s="17"/>
      <c r="T245" s="177" t="str">
        <f>IFERROR(1-SUMIF(Tracker_BD!H:H,$A245,Tracker_BD!AI:AI)/$F245,"")</f>
        <v/>
      </c>
      <c r="U245" s="178" t="str">
        <f t="shared" si="17"/>
        <v/>
      </c>
      <c r="V245" s="17"/>
      <c r="W245" s="164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38" t="str">
        <f>IFERROR(_xlfn.XLOOKUP($A245,'Raw Data'!$G:$G,'Raw Data'!AD:AD),"")</f>
        <v/>
      </c>
      <c r="AA245" s="38" t="str">
        <f>IFERROR(_xlfn.XLOOKUP($A245,'Raw Data'!$G:$G,'Raw Data'!AE:AE)*(1+(_xlfn.XLOOKUP(Table13[[#This Row],[Month Year]],JMR!$A:$A,JMR!$J:$J))),"")</f>
        <v/>
      </c>
      <c r="AB245" s="17">
        <f>_xlfn.XLOOKUP($D245,'Modelling New'!D:D,'Modelling New'!N:N)</f>
        <v>10.507</v>
      </c>
      <c r="AC245" s="24">
        <f>IFERROR(_xlfn.XLOOKUP($D245,'Modelling New'!$D:$D,'Modelling New'!P:P),"")</f>
        <v>5.2640218343333336</v>
      </c>
      <c r="AD245" s="38">
        <f>IFERROR(_xlfn.XLOOKUP($D245,'Modelling New'!$D:$D,'Modelling New'!T:T)*1000,"")</f>
        <v>38712.103320676884</v>
      </c>
      <c r="AE245" s="164">
        <f t="shared" si="19"/>
        <v>0.69992314338151795</v>
      </c>
      <c r="AF245" s="164">
        <f>IFERROR(_xlfn.XLOOKUP($D245,'Modelling New'!$D:$D,'Modelling New'!W:W),"")</f>
        <v>0.15351711287981379</v>
      </c>
      <c r="AG245" s="164">
        <f>IFERROR(_xlfn.XLOOKUP($D245,'Modelling New'!$D:$D,'Modelling New'!AD:AD),"")</f>
        <v>0.995</v>
      </c>
      <c r="AH245" s="164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64"/>
      <c r="AO245" s="164"/>
      <c r="AP245" s="164"/>
      <c r="AQ245" s="164"/>
      <c r="AR245" s="38">
        <f>IFERROR(_xlfn.XLOOKUP($D245,'Modelling New'!$D:$D,'Modelling New'!$N:$N),"")</f>
        <v>10.507</v>
      </c>
      <c r="AS245" s="38"/>
      <c r="AT245" s="38" t="str">
        <f>IFERROR(_xlfn.XLOOKUP(Table13[[#This Row],[Date]],'Raw Data'!$G:$G,'Raw Data'!$AJ:$AJ),"")</f>
        <v/>
      </c>
      <c r="AU245" s="38">
        <f>IFERROR(_xlfn.XLOOKUP(Table13[[#This Row],[Month Year]],'Modelling New'!$D:$D,'Modelling New'!$AN:$AN),"")</f>
        <v>10</v>
      </c>
      <c r="AV245" s="38">
        <f>SUMIF('Curtailment records'!$C:$C,Table13[[#This Row],[Date]],'Curtailment records'!$R:$R)/1000</f>
        <v>0</v>
      </c>
    </row>
    <row r="246" spans="1:48">
      <c r="A246" s="66">
        <f t="shared" si="20"/>
        <v>45989</v>
      </c>
      <c r="B246" s="38">
        <f>YEAR(Table13[[#This Row],[Date]])+IF(MONTH(Table13[[#This Row],[Date]])&gt;=4,1,0)</f>
        <v>2026</v>
      </c>
      <c r="C246" s="17">
        <f>YEAR(Table13[[#This Row],[Date]])</f>
        <v>2025</v>
      </c>
      <c r="D246" s="37">
        <f>Table13[[#This Row],[Date]]-DAY(Table13[[#This Row],[Date]])+1</f>
        <v>45962</v>
      </c>
      <c r="E246" s="17">
        <f t="shared" si="21"/>
        <v>30</v>
      </c>
      <c r="F246" s="135" t="str" cm="1">
        <f t="array" ref="F246">IFERROR(_xlfn.XLOOKUP(Table13[[#This Row],[Date]],Raw_Data[[#All],[Date]],Raw_Data[[#All],[Operating Hours]]),"")</f>
        <v/>
      </c>
      <c r="G246" s="24" t="str">
        <f>IFERROR(_xlfn.XLOOKUP($A246,'Raw Data'!$G:$G,'Raw Data'!S:S)/1000,"")</f>
        <v/>
      </c>
      <c r="H246" s="24"/>
      <c r="I246" s="24" t="str">
        <f>IFERROR(_xlfn.XLOOKUP($A246,'Raw Data'!$G:$G,'Raw Data'!AF:AF)/1000,"")</f>
        <v/>
      </c>
      <c r="J246" s="24"/>
      <c r="K246" s="137" t="str">
        <f>IFERROR(_xlfn.XLOOKUP($A246,'Raw Data'!$G:$G,'Raw Data'!W:W),"")</f>
        <v/>
      </c>
      <c r="L246" s="136" t="str">
        <f>IFERROR(_xlfn.XLOOKUP($A246,'Raw Data'!$G:$G,'Raw Data'!X:X),"")</f>
        <v/>
      </c>
      <c r="M246" s="136" t="str">
        <f>IFERROR(_xlfn.XLOOKUP($A246,'Raw Data'!$G:$G,'Raw Data'!Y:Y),"")</f>
        <v/>
      </c>
      <c r="N246" s="136" t="str">
        <f>IFERROR(_xlfn.XLOOKUP($A246,'Raw Data'!$G:$G,'Raw Data'!Z:Z),"")</f>
        <v/>
      </c>
      <c r="O246" s="176" t="str">
        <f>IFERROR(1-SUMIF('Plant BD'!$B:$B,$A246,'Plant BD'!$AM:$AM)/($AA246+SUMIF('Plant BD'!$B:$B,$A246,'Plant BD'!$AM:$AM)),"")</f>
        <v/>
      </c>
      <c r="P246" s="176"/>
      <c r="Q246" s="177"/>
      <c r="R246" s="179" t="str">
        <f>IFERROR(1-SUMIF('Grid BD'!$B:$B,$A246,'Grid BD'!$AE:$AE)/($AA246+SUMIF('Grid BD'!$B:$B,$A246,'Grid BD'!$AE:$AE)),"")</f>
        <v/>
      </c>
      <c r="S246" s="17"/>
      <c r="T246" s="177" t="str">
        <f>IFERROR(1-SUMIF(Tracker_BD!H:H,$A246,Tracker_BD!AI:AI)/$F246,"")</f>
        <v/>
      </c>
      <c r="U246" s="178" t="str">
        <f t="shared" si="17"/>
        <v/>
      </c>
      <c r="V246" s="17"/>
      <c r="W246" s="164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38" t="str">
        <f>IFERROR(_xlfn.XLOOKUP($A246,'Raw Data'!$G:$G,'Raw Data'!AD:AD),"")</f>
        <v/>
      </c>
      <c r="AA246" s="38" t="str">
        <f>IFERROR(_xlfn.XLOOKUP($A246,'Raw Data'!$G:$G,'Raw Data'!AE:AE)*(1+(_xlfn.XLOOKUP(Table13[[#This Row],[Month Year]],JMR!$A:$A,JMR!$J:$J))),"")</f>
        <v/>
      </c>
      <c r="AB246" s="17">
        <f>_xlfn.XLOOKUP($D246,'Modelling New'!D:D,'Modelling New'!N:N)</f>
        <v>10.507</v>
      </c>
      <c r="AC246" s="24">
        <f>IFERROR(_xlfn.XLOOKUP($D246,'Modelling New'!$D:$D,'Modelling New'!P:P),"")</f>
        <v>5.2640218343333336</v>
      </c>
      <c r="AD246" s="38">
        <f>IFERROR(_xlfn.XLOOKUP($D246,'Modelling New'!$D:$D,'Modelling New'!T:T)*1000,"")</f>
        <v>38712.103320676884</v>
      </c>
      <c r="AE246" s="164">
        <f t="shared" si="19"/>
        <v>0.69992314338151795</v>
      </c>
      <c r="AF246" s="164">
        <f>IFERROR(_xlfn.XLOOKUP($D246,'Modelling New'!$D:$D,'Modelling New'!W:W),"")</f>
        <v>0.15351711287981379</v>
      </c>
      <c r="AG246" s="164">
        <f>IFERROR(_xlfn.XLOOKUP($D246,'Modelling New'!$D:$D,'Modelling New'!AD:AD),"")</f>
        <v>0.995</v>
      </c>
      <c r="AH246" s="164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64"/>
      <c r="AO246" s="164"/>
      <c r="AP246" s="164"/>
      <c r="AQ246" s="164"/>
      <c r="AR246" s="38">
        <f>IFERROR(_xlfn.XLOOKUP($D246,'Modelling New'!$D:$D,'Modelling New'!$N:$N),"")</f>
        <v>10.507</v>
      </c>
      <c r="AS246" s="38"/>
      <c r="AT246" s="38" t="str">
        <f>IFERROR(_xlfn.XLOOKUP(Table13[[#This Row],[Date]],'Raw Data'!$G:$G,'Raw Data'!$AJ:$AJ),"")</f>
        <v/>
      </c>
      <c r="AU246" s="38">
        <f>IFERROR(_xlfn.XLOOKUP(Table13[[#This Row],[Month Year]],'Modelling New'!$D:$D,'Modelling New'!$AN:$AN),"")</f>
        <v>10</v>
      </c>
      <c r="AV246" s="38">
        <f>SUMIF('Curtailment records'!$C:$C,Table13[[#This Row],[Date]],'Curtailment records'!$R:$R)/1000</f>
        <v>0</v>
      </c>
    </row>
    <row r="247" spans="1:48">
      <c r="A247" s="66">
        <f t="shared" si="20"/>
        <v>45990</v>
      </c>
      <c r="B247" s="38">
        <f>YEAR(Table13[[#This Row],[Date]])+IF(MONTH(Table13[[#This Row],[Date]])&gt;=4,1,0)</f>
        <v>2026</v>
      </c>
      <c r="C247" s="17">
        <f>YEAR(Table13[[#This Row],[Date]])</f>
        <v>2025</v>
      </c>
      <c r="D247" s="37">
        <f>Table13[[#This Row],[Date]]-DAY(Table13[[#This Row],[Date]])+1</f>
        <v>45962</v>
      </c>
      <c r="E247" s="17">
        <f t="shared" si="21"/>
        <v>30</v>
      </c>
      <c r="F247" s="135" t="str" cm="1">
        <f t="array" ref="F247">IFERROR(_xlfn.XLOOKUP(Table13[[#This Row],[Date]],Raw_Data[[#All],[Date]],Raw_Data[[#All],[Operating Hours]]),"")</f>
        <v/>
      </c>
      <c r="G247" s="136" t="str">
        <f>IFERROR(_xlfn.XLOOKUP($A247,'Raw Data'!$G:$G,'Raw Data'!S:S)/1000,"")</f>
        <v/>
      </c>
      <c r="H247" s="136"/>
      <c r="I247" s="136" t="str">
        <f>IFERROR(_xlfn.XLOOKUP($A247,'Raw Data'!$G:$G,'Raw Data'!AF:AF)/1000,"")</f>
        <v/>
      </c>
      <c r="J247" s="136"/>
      <c r="K247" s="137" t="str">
        <f>IFERROR(_xlfn.XLOOKUP($A247,'Raw Data'!$G:$G,'Raw Data'!W:W),"")</f>
        <v/>
      </c>
      <c r="L247" s="136" t="str">
        <f>IFERROR(_xlfn.XLOOKUP($A247,'Raw Data'!$G:$G,'Raw Data'!X:X),"")</f>
        <v/>
      </c>
      <c r="M247" s="136" t="str">
        <f>IFERROR(_xlfn.XLOOKUP($A247,'Raw Data'!$G:$G,'Raw Data'!Y:Y),"")</f>
        <v/>
      </c>
      <c r="N247" s="136" t="str">
        <f>IFERROR(_xlfn.XLOOKUP($A247,'Raw Data'!$G:$G,'Raw Data'!Z:Z),"")</f>
        <v/>
      </c>
      <c r="O247" s="176" t="str">
        <f>IFERROR(1-SUMIF('Plant BD'!$B:$B,$A247,'Plant BD'!$AM:$AM)/($AA247+SUMIF('Plant BD'!$B:$B,$A247,'Plant BD'!$AM:$AM)),"")</f>
        <v/>
      </c>
      <c r="P247" s="176"/>
      <c r="Q247" s="177"/>
      <c r="R247" s="176" t="str">
        <f>IFERROR(1-SUMIF('Grid BD'!$B:$B,$A247,'Grid BD'!$AE:$AE)/($AA247+SUMIF('Grid BD'!$B:$B,$A247,'Grid BD'!$AE:$AE)),"")</f>
        <v/>
      </c>
      <c r="S247" s="17"/>
      <c r="T247" s="177" t="str">
        <f>IFERROR(1-SUMIF(Tracker_BD!H:H,$A247,Tracker_BD!AI:AI)/$F247,"")</f>
        <v/>
      </c>
      <c r="U247" s="178" t="str">
        <f t="shared" si="17"/>
        <v/>
      </c>
      <c r="V247" s="17"/>
      <c r="W247" s="164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38" t="str">
        <f>IFERROR(_xlfn.XLOOKUP($A247,'Raw Data'!$G:$G,'Raw Data'!AD:AD),"")</f>
        <v/>
      </c>
      <c r="AA247" s="38" t="str">
        <f>IFERROR(_xlfn.XLOOKUP($A247,'Raw Data'!$G:$G,'Raw Data'!AE:AE)*(1+(_xlfn.XLOOKUP(Table13[[#This Row],[Month Year]],JMR!$A:$A,JMR!$J:$J))),"")</f>
        <v/>
      </c>
      <c r="AB247" s="17">
        <f>_xlfn.XLOOKUP($D247,'Modelling New'!D:D,'Modelling New'!N:N)</f>
        <v>10.507</v>
      </c>
      <c r="AC247" s="24">
        <f>IFERROR(_xlfn.XLOOKUP($D247,'Modelling New'!$D:$D,'Modelling New'!P:P),"")</f>
        <v>5.2640218343333336</v>
      </c>
      <c r="AD247" s="38">
        <f>IFERROR(_xlfn.XLOOKUP($D247,'Modelling New'!$D:$D,'Modelling New'!T:T)*1000,"")</f>
        <v>38712.103320676884</v>
      </c>
      <c r="AE247" s="164">
        <f t="shared" si="19"/>
        <v>0.69992314338151795</v>
      </c>
      <c r="AF247" s="164">
        <f>IFERROR(_xlfn.XLOOKUP($D247,'Modelling New'!$D:$D,'Modelling New'!W:W),"")</f>
        <v>0.15351711287981379</v>
      </c>
      <c r="AG247" s="164">
        <f>IFERROR(_xlfn.XLOOKUP($D247,'Modelling New'!$D:$D,'Modelling New'!AD:AD),"")</f>
        <v>0.995</v>
      </c>
      <c r="AH247" s="164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64"/>
      <c r="AO247" s="164"/>
      <c r="AP247" s="164"/>
      <c r="AQ247" s="164"/>
      <c r="AR247" s="38">
        <f>IFERROR(_xlfn.XLOOKUP($D247,'Modelling New'!$D:$D,'Modelling New'!$N:$N),"")</f>
        <v>10.507</v>
      </c>
      <c r="AS247" s="38"/>
      <c r="AT247" s="38" t="str">
        <f>IFERROR(_xlfn.XLOOKUP(Table13[[#This Row],[Date]],'Raw Data'!$G:$G,'Raw Data'!$AJ:$AJ),"")</f>
        <v/>
      </c>
      <c r="AU247" s="38">
        <f>IFERROR(_xlfn.XLOOKUP(Table13[[#This Row],[Month Year]],'Modelling New'!$D:$D,'Modelling New'!$AN:$AN),"")</f>
        <v>10</v>
      </c>
      <c r="AV247" s="38">
        <f>SUMIF('Curtailment records'!$C:$C,Table13[[#This Row],[Date]],'Curtailment records'!$R:$R)/1000</f>
        <v>0</v>
      </c>
    </row>
    <row r="248" spans="1:48">
      <c r="A248" s="66">
        <f t="shared" si="20"/>
        <v>45991</v>
      </c>
      <c r="B248" s="38">
        <f>YEAR(Table13[[#This Row],[Date]])+IF(MONTH(Table13[[#This Row],[Date]])&gt;=4,1,0)</f>
        <v>2026</v>
      </c>
      <c r="C248" s="17">
        <f>YEAR(Table13[[#This Row],[Date]])</f>
        <v>2025</v>
      </c>
      <c r="D248" s="37">
        <f>Table13[[#This Row],[Date]]-DAY(Table13[[#This Row],[Date]])+1</f>
        <v>45962</v>
      </c>
      <c r="E248" s="17">
        <f t="shared" si="21"/>
        <v>30</v>
      </c>
      <c r="F248" s="135" t="str" cm="1">
        <f t="array" ref="F248">IFERROR(_xlfn.XLOOKUP(Table13[[#This Row],[Date]],Raw_Data[[#All],[Date]],Raw_Data[[#All],[Operating Hours]]),"")</f>
        <v/>
      </c>
      <c r="G248" s="24" t="str">
        <f>IFERROR(_xlfn.XLOOKUP($A248,'Raw Data'!$G:$G,'Raw Data'!S:S)/1000,"")</f>
        <v/>
      </c>
      <c r="H248" s="24"/>
      <c r="I248" s="24" t="str">
        <f>IFERROR(_xlfn.XLOOKUP($A248,'Raw Data'!$G:$G,'Raw Data'!AF:AF)/1000,"")</f>
        <v/>
      </c>
      <c r="J248" s="24"/>
      <c r="K248" s="137" t="str">
        <f>IFERROR(_xlfn.XLOOKUP($A248,'Raw Data'!$G:$G,'Raw Data'!W:W),"")</f>
        <v/>
      </c>
      <c r="L248" s="136" t="str">
        <f>IFERROR(_xlfn.XLOOKUP($A248,'Raw Data'!$G:$G,'Raw Data'!X:X),"")</f>
        <v/>
      </c>
      <c r="M248" s="136" t="str">
        <f>IFERROR(_xlfn.XLOOKUP($A248,'Raw Data'!$G:$G,'Raw Data'!Y:Y),"")</f>
        <v/>
      </c>
      <c r="N248" s="136" t="str">
        <f>IFERROR(_xlfn.XLOOKUP($A248,'Raw Data'!$G:$G,'Raw Data'!Z:Z),"")</f>
        <v/>
      </c>
      <c r="O248" s="176" t="str">
        <f>IFERROR(1-SUMIF('Plant BD'!$B:$B,$A248,'Plant BD'!$AM:$AM)/($AA248+SUMIF('Plant BD'!$B:$B,$A248,'Plant BD'!$AM:$AM)),"")</f>
        <v/>
      </c>
      <c r="P248" s="176"/>
      <c r="Q248" s="177"/>
      <c r="R248" s="179" t="str">
        <f>IFERROR(1-SUMIF('Grid BD'!$B:$B,$A248,'Grid BD'!$AE:$AE)/($AA248+SUMIF('Grid BD'!$B:$B,$A248,'Grid BD'!$AE:$AE)),"")</f>
        <v/>
      </c>
      <c r="S248" s="17"/>
      <c r="T248" s="177" t="str">
        <f>IFERROR(1-SUMIF(Tracker_BD!H:H,$A248,Tracker_BD!AI:AI)/$F248,"")</f>
        <v/>
      </c>
      <c r="U248" s="178" t="str">
        <f t="shared" si="17"/>
        <v/>
      </c>
      <c r="V248" s="17"/>
      <c r="W248" s="164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38" t="str">
        <f>IFERROR(_xlfn.XLOOKUP($A248,'Raw Data'!$G:$G,'Raw Data'!AD:AD),"")</f>
        <v/>
      </c>
      <c r="AA248" s="38" t="str">
        <f>IFERROR(_xlfn.XLOOKUP($A248,'Raw Data'!$G:$G,'Raw Data'!AE:AE)*(1+(_xlfn.XLOOKUP(Table13[[#This Row],[Month Year]],JMR!$A:$A,JMR!$J:$J))),"")</f>
        <v/>
      </c>
      <c r="AB248" s="17">
        <f>_xlfn.XLOOKUP($D248,'Modelling New'!D:D,'Modelling New'!N:N)</f>
        <v>10.507</v>
      </c>
      <c r="AC248" s="24">
        <f>IFERROR(_xlfn.XLOOKUP($D248,'Modelling New'!$D:$D,'Modelling New'!P:P),"")</f>
        <v>5.2640218343333336</v>
      </c>
      <c r="AD248" s="38">
        <f>IFERROR(_xlfn.XLOOKUP($D248,'Modelling New'!$D:$D,'Modelling New'!T:T)*1000,"")</f>
        <v>38712.103320676884</v>
      </c>
      <c r="AE248" s="164">
        <f t="shared" si="19"/>
        <v>0.69992314338151795</v>
      </c>
      <c r="AF248" s="164">
        <f>IFERROR(_xlfn.XLOOKUP($D248,'Modelling New'!$D:$D,'Modelling New'!W:W),"")</f>
        <v>0.15351711287981379</v>
      </c>
      <c r="AG248" s="164">
        <f>IFERROR(_xlfn.XLOOKUP($D248,'Modelling New'!$D:$D,'Modelling New'!AD:AD),"")</f>
        <v>0.995</v>
      </c>
      <c r="AH248" s="164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64"/>
      <c r="AO248" s="164"/>
      <c r="AP248" s="164"/>
      <c r="AQ248" s="164"/>
      <c r="AR248" s="38">
        <f>IFERROR(_xlfn.XLOOKUP($D248,'Modelling New'!$D:$D,'Modelling New'!$N:$N),"")</f>
        <v>10.507</v>
      </c>
      <c r="AS248" s="38"/>
      <c r="AT248" s="38" t="str">
        <f>IFERROR(_xlfn.XLOOKUP(Table13[[#This Row],[Date]],'Raw Data'!$G:$G,'Raw Data'!$AJ:$AJ),"")</f>
        <v/>
      </c>
      <c r="AU248" s="38">
        <f>IFERROR(_xlfn.XLOOKUP(Table13[[#This Row],[Month Year]],'Modelling New'!$D:$D,'Modelling New'!$AN:$AN),"")</f>
        <v>10</v>
      </c>
      <c r="AV248" s="38">
        <f>SUMIF('Curtailment records'!$C:$C,Table13[[#This Row],[Date]],'Curtailment records'!$R:$R)/1000</f>
        <v>0</v>
      </c>
    </row>
    <row r="249" spans="1:48">
      <c r="A249" s="66">
        <f t="shared" si="20"/>
        <v>45992</v>
      </c>
      <c r="B249" s="38">
        <f>YEAR(Table13[[#This Row],[Date]])+IF(MONTH(Table13[[#This Row],[Date]])&gt;=4,1,0)</f>
        <v>2026</v>
      </c>
      <c r="C249" s="17">
        <f>YEAR(Table13[[#This Row],[Date]])</f>
        <v>2025</v>
      </c>
      <c r="D249" s="37">
        <f>Table13[[#This Row],[Date]]-DAY(Table13[[#This Row],[Date]])+1</f>
        <v>45992</v>
      </c>
      <c r="E249" s="17">
        <f t="shared" si="21"/>
        <v>31</v>
      </c>
      <c r="F249" s="135" t="str" cm="1">
        <f t="array" ref="F249">IFERROR(_xlfn.XLOOKUP(Table13[[#This Row],[Date]],Raw_Data[[#All],[Date]],Raw_Data[[#All],[Operating Hours]]),"")</f>
        <v/>
      </c>
      <c r="G249" s="136" t="str">
        <f>IFERROR(_xlfn.XLOOKUP($A249,'Raw Data'!$G:$G,'Raw Data'!S:S)/1000,"")</f>
        <v/>
      </c>
      <c r="H249" s="136"/>
      <c r="I249" s="136" t="str">
        <f>IFERROR(_xlfn.XLOOKUP($A249,'Raw Data'!$G:$G,'Raw Data'!AF:AF)/1000,"")</f>
        <v/>
      </c>
      <c r="J249" s="136"/>
      <c r="K249" s="137" t="str">
        <f>IFERROR(_xlfn.XLOOKUP($A249,'Raw Data'!$G:$G,'Raw Data'!W:W),"")</f>
        <v/>
      </c>
      <c r="L249" s="136" t="str">
        <f>IFERROR(_xlfn.XLOOKUP($A249,'Raw Data'!$G:$G,'Raw Data'!X:X),"")</f>
        <v/>
      </c>
      <c r="M249" s="136" t="str">
        <f>IFERROR(_xlfn.XLOOKUP($A249,'Raw Data'!$G:$G,'Raw Data'!Y:Y),"")</f>
        <v/>
      </c>
      <c r="N249" s="136" t="str">
        <f>IFERROR(_xlfn.XLOOKUP($A249,'Raw Data'!$G:$G,'Raw Data'!Z:Z),"")</f>
        <v/>
      </c>
      <c r="O249" s="176" t="str">
        <f>IFERROR(1-SUMIF('Plant BD'!$B:$B,$A249,'Plant BD'!$AM:$AM)/($AA249+SUMIF('Plant BD'!$B:$B,$A249,'Plant BD'!$AM:$AM)),"")</f>
        <v/>
      </c>
      <c r="P249" s="176"/>
      <c r="Q249" s="177"/>
      <c r="R249" s="176" t="str">
        <f>IFERROR(1-SUMIF('Grid BD'!$B:$B,$A249,'Grid BD'!$AE:$AE)/($AA249+SUMIF('Grid BD'!$B:$B,$A249,'Grid BD'!$AE:$AE)),"")</f>
        <v/>
      </c>
      <c r="S249" s="17"/>
      <c r="T249" s="177" t="str">
        <f>IFERROR(1-SUMIF(Tracker_BD!H:H,$A249,Tracker_BD!AI:AI)/$F249,"")</f>
        <v/>
      </c>
      <c r="U249" s="178" t="str">
        <f t="shared" si="17"/>
        <v/>
      </c>
      <c r="V249" s="17"/>
      <c r="W249" s="164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38" t="str">
        <f>IFERROR(_xlfn.XLOOKUP($A249,'Raw Data'!$G:$G,'Raw Data'!AD:AD),"")</f>
        <v/>
      </c>
      <c r="AA249" s="38" t="str">
        <f>IFERROR(_xlfn.XLOOKUP($A249,'Raw Data'!$G:$G,'Raw Data'!AE:AE)*(1+(_xlfn.XLOOKUP(Table13[[#This Row],[Month Year]],JMR!$A:$A,JMR!$J:$J))),"")</f>
        <v/>
      </c>
      <c r="AB249" s="17">
        <f>_xlfn.XLOOKUP($D249,'Modelling New'!D:D,'Modelling New'!N:N)</f>
        <v>10.507</v>
      </c>
      <c r="AC249" s="24">
        <f>IFERROR(_xlfn.XLOOKUP($D249,'Modelling New'!$D:$D,'Modelling New'!P:P),"")</f>
        <v>5.671045235483871</v>
      </c>
      <c r="AD249" s="38">
        <f>IFERROR(_xlfn.XLOOKUP($D249,'Modelling New'!$D:$D,'Modelling New'!T:T)*1000,"")</f>
        <v>43169.874244195649</v>
      </c>
      <c r="AE249" s="164">
        <f t="shared" si="19"/>
        <v>0.72450091751334023</v>
      </c>
      <c r="AF249" s="164">
        <f>IFERROR(_xlfn.XLOOKUP($D249,'Modelling New'!$D:$D,'Modelling New'!W:W),"")</f>
        <v>0.17119489484865505</v>
      </c>
      <c r="AG249" s="164">
        <f>IFERROR(_xlfn.XLOOKUP($D249,'Modelling New'!$D:$D,'Modelling New'!AD:AD),"")</f>
        <v>0.995</v>
      </c>
      <c r="AH249" s="164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64"/>
      <c r="AO249" s="164"/>
      <c r="AP249" s="164"/>
      <c r="AQ249" s="164"/>
      <c r="AR249" s="38">
        <f>IFERROR(_xlfn.XLOOKUP($D249,'Modelling New'!$D:$D,'Modelling New'!$N:$N),"")</f>
        <v>10.507</v>
      </c>
      <c r="AS249" s="38"/>
      <c r="AT249" s="38" t="str">
        <f>IFERROR(_xlfn.XLOOKUP(Table13[[#This Row],[Date]],'Raw Data'!$G:$G,'Raw Data'!$AJ:$AJ),"")</f>
        <v/>
      </c>
      <c r="AU249" s="38">
        <f>IFERROR(_xlfn.XLOOKUP(Table13[[#This Row],[Month Year]],'Modelling New'!$D:$D,'Modelling New'!$AN:$AN),"")</f>
        <v>10</v>
      </c>
      <c r="AV249" s="38">
        <f>SUMIF('Curtailment records'!$C:$C,Table13[[#This Row],[Date]],'Curtailment records'!$R:$R)/1000</f>
        <v>0</v>
      </c>
    </row>
    <row r="250" spans="1:48">
      <c r="A250" s="66">
        <f t="shared" si="20"/>
        <v>45993</v>
      </c>
      <c r="B250" s="38">
        <f>YEAR(Table13[[#This Row],[Date]])+IF(MONTH(Table13[[#This Row],[Date]])&gt;=4,1,0)</f>
        <v>2026</v>
      </c>
      <c r="C250" s="17">
        <f>YEAR(Table13[[#This Row],[Date]])</f>
        <v>2025</v>
      </c>
      <c r="D250" s="37">
        <f>Table13[[#This Row],[Date]]-DAY(Table13[[#This Row],[Date]])+1</f>
        <v>45992</v>
      </c>
      <c r="E250" s="17">
        <f t="shared" si="21"/>
        <v>31</v>
      </c>
      <c r="F250" s="135" t="str" cm="1">
        <f t="array" ref="F250">IFERROR(_xlfn.XLOOKUP(Table13[[#This Row],[Date]],Raw_Data[[#All],[Date]],Raw_Data[[#All],[Operating Hours]]),"")</f>
        <v/>
      </c>
      <c r="G250" s="24" t="str">
        <f>IFERROR(_xlfn.XLOOKUP($A250,'Raw Data'!$G:$G,'Raw Data'!S:S)/1000,"")</f>
        <v/>
      </c>
      <c r="H250" s="24"/>
      <c r="I250" s="24" t="str">
        <f>IFERROR(_xlfn.XLOOKUP($A250,'Raw Data'!$G:$G,'Raw Data'!AF:AF)/1000,"")</f>
        <v/>
      </c>
      <c r="J250" s="24"/>
      <c r="K250" s="137" t="str">
        <f>IFERROR(_xlfn.XLOOKUP($A250,'Raw Data'!$G:$G,'Raw Data'!W:W),"")</f>
        <v/>
      </c>
      <c r="L250" s="136" t="str">
        <f>IFERROR(_xlfn.XLOOKUP($A250,'Raw Data'!$G:$G,'Raw Data'!X:X),"")</f>
        <v/>
      </c>
      <c r="M250" s="136" t="str">
        <f>IFERROR(_xlfn.XLOOKUP($A250,'Raw Data'!$G:$G,'Raw Data'!Y:Y),"")</f>
        <v/>
      </c>
      <c r="N250" s="136" t="str">
        <f>IFERROR(_xlfn.XLOOKUP($A250,'Raw Data'!$G:$G,'Raw Data'!Z:Z),"")</f>
        <v/>
      </c>
      <c r="O250" s="176" t="str">
        <f>IFERROR(1-SUMIF('Plant BD'!$B:$B,$A250,'Plant BD'!$AM:$AM)/($AA250+SUMIF('Plant BD'!$B:$B,$A250,'Plant BD'!$AM:$AM)),"")</f>
        <v/>
      </c>
      <c r="P250" s="176"/>
      <c r="Q250" s="177"/>
      <c r="R250" s="179" t="str">
        <f>IFERROR(1-SUMIF('Grid BD'!$B:$B,$A250,'Grid BD'!$AE:$AE)/($AA250+SUMIF('Grid BD'!$B:$B,$A250,'Grid BD'!$AE:$AE)),"")</f>
        <v/>
      </c>
      <c r="S250" s="17"/>
      <c r="T250" s="177" t="str">
        <f>IFERROR(1-SUMIF(Tracker_BD!H:H,$A250,Tracker_BD!AI:AI)/$F250,"")</f>
        <v/>
      </c>
      <c r="U250" s="178" t="str">
        <f t="shared" si="17"/>
        <v/>
      </c>
      <c r="V250" s="17"/>
      <c r="W250" s="164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38" t="str">
        <f>IFERROR(_xlfn.XLOOKUP($A250,'Raw Data'!$G:$G,'Raw Data'!AD:AD),"")</f>
        <v/>
      </c>
      <c r="AA250" s="38" t="str">
        <f>IFERROR(_xlfn.XLOOKUP($A250,'Raw Data'!$G:$G,'Raw Data'!AE:AE)*(1+(_xlfn.XLOOKUP(Table13[[#This Row],[Month Year]],JMR!$A:$A,JMR!$J:$J))),"")</f>
        <v/>
      </c>
      <c r="AB250" s="17">
        <f>_xlfn.XLOOKUP($D250,'Modelling New'!D:D,'Modelling New'!N:N)</f>
        <v>10.507</v>
      </c>
      <c r="AC250" s="24">
        <f>IFERROR(_xlfn.XLOOKUP($D250,'Modelling New'!$D:$D,'Modelling New'!P:P),"")</f>
        <v>5.671045235483871</v>
      </c>
      <c r="AD250" s="38">
        <f>IFERROR(_xlfn.XLOOKUP($D250,'Modelling New'!$D:$D,'Modelling New'!T:T)*1000,"")</f>
        <v>43169.874244195649</v>
      </c>
      <c r="AE250" s="164">
        <f t="shared" si="19"/>
        <v>0.72450091751334023</v>
      </c>
      <c r="AF250" s="164">
        <f>IFERROR(_xlfn.XLOOKUP($D250,'Modelling New'!$D:$D,'Modelling New'!W:W),"")</f>
        <v>0.17119489484865505</v>
      </c>
      <c r="AG250" s="164">
        <f>IFERROR(_xlfn.XLOOKUP($D250,'Modelling New'!$D:$D,'Modelling New'!AD:AD),"")</f>
        <v>0.995</v>
      </c>
      <c r="AH250" s="164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64"/>
      <c r="AO250" s="164"/>
      <c r="AP250" s="164"/>
      <c r="AQ250" s="164"/>
      <c r="AR250" s="38">
        <f>IFERROR(_xlfn.XLOOKUP($D250,'Modelling New'!$D:$D,'Modelling New'!$N:$N),"")</f>
        <v>10.507</v>
      </c>
      <c r="AS250" s="38"/>
      <c r="AT250" s="38" t="str">
        <f>IFERROR(_xlfn.XLOOKUP(Table13[[#This Row],[Date]],'Raw Data'!$G:$G,'Raw Data'!$AJ:$AJ),"")</f>
        <v/>
      </c>
      <c r="AU250" s="38">
        <f>IFERROR(_xlfn.XLOOKUP(Table13[[#This Row],[Month Year]],'Modelling New'!$D:$D,'Modelling New'!$AN:$AN),"")</f>
        <v>10</v>
      </c>
      <c r="AV250" s="38">
        <f>SUMIF('Curtailment records'!$C:$C,Table13[[#This Row],[Date]],'Curtailment records'!$R:$R)/1000</f>
        <v>0</v>
      </c>
    </row>
    <row r="251" spans="1:48">
      <c r="A251" s="66">
        <f t="shared" si="20"/>
        <v>45994</v>
      </c>
      <c r="B251" s="38">
        <f>YEAR(Table13[[#This Row],[Date]])+IF(MONTH(Table13[[#This Row],[Date]])&gt;=4,1,0)</f>
        <v>2026</v>
      </c>
      <c r="C251" s="17">
        <f>YEAR(Table13[[#This Row],[Date]])</f>
        <v>2025</v>
      </c>
      <c r="D251" s="37">
        <f>Table13[[#This Row],[Date]]-DAY(Table13[[#This Row],[Date]])+1</f>
        <v>45992</v>
      </c>
      <c r="E251" s="17">
        <f t="shared" si="21"/>
        <v>31</v>
      </c>
      <c r="F251" s="135" t="str" cm="1">
        <f t="array" ref="F251">IFERROR(_xlfn.XLOOKUP(Table13[[#This Row],[Date]],Raw_Data[[#All],[Date]],Raw_Data[[#All],[Operating Hours]]),"")</f>
        <v/>
      </c>
      <c r="G251" s="136" t="str">
        <f>IFERROR(_xlfn.XLOOKUP($A251,'Raw Data'!$G:$G,'Raw Data'!S:S)/1000,"")</f>
        <v/>
      </c>
      <c r="H251" s="136"/>
      <c r="I251" s="136" t="str">
        <f>IFERROR(_xlfn.XLOOKUP($A251,'Raw Data'!$G:$G,'Raw Data'!AF:AF)/1000,"")</f>
        <v/>
      </c>
      <c r="J251" s="136"/>
      <c r="K251" s="137" t="str">
        <f>IFERROR(_xlfn.XLOOKUP($A251,'Raw Data'!$G:$G,'Raw Data'!W:W),"")</f>
        <v/>
      </c>
      <c r="L251" s="136" t="str">
        <f>IFERROR(_xlfn.XLOOKUP($A251,'Raw Data'!$G:$G,'Raw Data'!X:X),"")</f>
        <v/>
      </c>
      <c r="M251" s="136" t="str">
        <f>IFERROR(_xlfn.XLOOKUP($A251,'Raw Data'!$G:$G,'Raw Data'!Y:Y),"")</f>
        <v/>
      </c>
      <c r="N251" s="136" t="str">
        <f>IFERROR(_xlfn.XLOOKUP($A251,'Raw Data'!$G:$G,'Raw Data'!Z:Z),"")</f>
        <v/>
      </c>
      <c r="O251" s="176" t="str">
        <f>IFERROR(1-SUMIF('Plant BD'!$B:$B,$A251,'Plant BD'!$AM:$AM)/($AA251+SUMIF('Plant BD'!$B:$B,$A251,'Plant BD'!$AM:$AM)),"")</f>
        <v/>
      </c>
      <c r="P251" s="176"/>
      <c r="Q251" s="177"/>
      <c r="R251" s="176" t="str">
        <f>IFERROR(1-SUMIF('Grid BD'!$B:$B,$A251,'Grid BD'!$AE:$AE)/($AA251+SUMIF('Grid BD'!$B:$B,$A251,'Grid BD'!$AE:$AE)),"")</f>
        <v/>
      </c>
      <c r="S251" s="17"/>
      <c r="T251" s="177" t="str">
        <f>IFERROR(1-SUMIF(Tracker_BD!H:H,$A251,Tracker_BD!AI:AI)/$F251,"")</f>
        <v/>
      </c>
      <c r="U251" s="178" t="str">
        <f t="shared" si="17"/>
        <v/>
      </c>
      <c r="V251" s="17"/>
      <c r="W251" s="164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38" t="str">
        <f>IFERROR(_xlfn.XLOOKUP($A251,'Raw Data'!$G:$G,'Raw Data'!AD:AD),"")</f>
        <v/>
      </c>
      <c r="AA251" s="38" t="str">
        <f>IFERROR(_xlfn.XLOOKUP($A251,'Raw Data'!$G:$G,'Raw Data'!AE:AE)*(1+(_xlfn.XLOOKUP(Table13[[#This Row],[Month Year]],JMR!$A:$A,JMR!$J:$J))),"")</f>
        <v/>
      </c>
      <c r="AB251" s="17">
        <f>_xlfn.XLOOKUP($D251,'Modelling New'!D:D,'Modelling New'!N:N)</f>
        <v>10.507</v>
      </c>
      <c r="AC251" s="24">
        <f>IFERROR(_xlfn.XLOOKUP($D251,'Modelling New'!$D:$D,'Modelling New'!P:P),"")</f>
        <v>5.671045235483871</v>
      </c>
      <c r="AD251" s="38">
        <f>IFERROR(_xlfn.XLOOKUP($D251,'Modelling New'!$D:$D,'Modelling New'!T:T)*1000,"")</f>
        <v>43169.874244195649</v>
      </c>
      <c r="AE251" s="164">
        <f t="shared" si="19"/>
        <v>0.72450091751334023</v>
      </c>
      <c r="AF251" s="164">
        <f>IFERROR(_xlfn.XLOOKUP($D251,'Modelling New'!$D:$D,'Modelling New'!W:W),"")</f>
        <v>0.17119489484865505</v>
      </c>
      <c r="AG251" s="164">
        <f>IFERROR(_xlfn.XLOOKUP($D251,'Modelling New'!$D:$D,'Modelling New'!AD:AD),"")</f>
        <v>0.995</v>
      </c>
      <c r="AH251" s="164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64"/>
      <c r="AO251" s="164"/>
      <c r="AP251" s="164"/>
      <c r="AQ251" s="164"/>
      <c r="AR251" s="38">
        <f>IFERROR(_xlfn.XLOOKUP($D251,'Modelling New'!$D:$D,'Modelling New'!$N:$N),"")</f>
        <v>10.507</v>
      </c>
      <c r="AS251" s="38"/>
      <c r="AT251" s="38" t="str">
        <f>IFERROR(_xlfn.XLOOKUP(Table13[[#This Row],[Date]],'Raw Data'!$G:$G,'Raw Data'!$AJ:$AJ),"")</f>
        <v/>
      </c>
      <c r="AU251" s="38">
        <f>IFERROR(_xlfn.XLOOKUP(Table13[[#This Row],[Month Year]],'Modelling New'!$D:$D,'Modelling New'!$AN:$AN),"")</f>
        <v>10</v>
      </c>
      <c r="AV251" s="38">
        <f>SUMIF('Curtailment records'!$C:$C,Table13[[#This Row],[Date]],'Curtailment records'!$R:$R)/1000</f>
        <v>0</v>
      </c>
    </row>
    <row r="252" spans="1:48">
      <c r="A252" s="66">
        <f t="shared" si="20"/>
        <v>45995</v>
      </c>
      <c r="B252" s="38">
        <f>YEAR(Table13[[#This Row],[Date]])+IF(MONTH(Table13[[#This Row],[Date]])&gt;=4,1,0)</f>
        <v>2026</v>
      </c>
      <c r="C252" s="17">
        <f>YEAR(Table13[[#This Row],[Date]])</f>
        <v>2025</v>
      </c>
      <c r="D252" s="37">
        <f>Table13[[#This Row],[Date]]-DAY(Table13[[#This Row],[Date]])+1</f>
        <v>45992</v>
      </c>
      <c r="E252" s="17">
        <f t="shared" si="21"/>
        <v>31</v>
      </c>
      <c r="F252" s="135" t="str" cm="1">
        <f t="array" ref="F252">IFERROR(_xlfn.XLOOKUP(Table13[[#This Row],[Date]],Raw_Data[[#All],[Date]],Raw_Data[[#All],[Operating Hours]]),"")</f>
        <v/>
      </c>
      <c r="G252" s="24" t="str">
        <f>IFERROR(_xlfn.XLOOKUP($A252,'Raw Data'!$G:$G,'Raw Data'!S:S)/1000,"")</f>
        <v/>
      </c>
      <c r="H252" s="24"/>
      <c r="I252" s="24" t="str">
        <f>IFERROR(_xlfn.XLOOKUP($A252,'Raw Data'!$G:$G,'Raw Data'!AF:AF)/1000,"")</f>
        <v/>
      </c>
      <c r="J252" s="24"/>
      <c r="K252" s="137" t="str">
        <f>IFERROR(_xlfn.XLOOKUP($A252,'Raw Data'!$G:$G,'Raw Data'!W:W),"")</f>
        <v/>
      </c>
      <c r="L252" s="136" t="str">
        <f>IFERROR(_xlfn.XLOOKUP($A252,'Raw Data'!$G:$G,'Raw Data'!X:X),"")</f>
        <v/>
      </c>
      <c r="M252" s="136" t="str">
        <f>IFERROR(_xlfn.XLOOKUP($A252,'Raw Data'!$G:$G,'Raw Data'!Y:Y),"")</f>
        <v/>
      </c>
      <c r="N252" s="136" t="str">
        <f>IFERROR(_xlfn.XLOOKUP($A252,'Raw Data'!$G:$G,'Raw Data'!Z:Z),"")</f>
        <v/>
      </c>
      <c r="O252" s="176" t="str">
        <f>IFERROR(1-SUMIF('Plant BD'!$B:$B,$A252,'Plant BD'!$AM:$AM)/($AA252+SUMIF('Plant BD'!$B:$B,$A252,'Plant BD'!$AM:$AM)),"")</f>
        <v/>
      </c>
      <c r="P252" s="176"/>
      <c r="Q252" s="177"/>
      <c r="R252" s="179" t="str">
        <f>IFERROR(1-SUMIF('Grid BD'!$B:$B,$A252,'Grid BD'!$AE:$AE)/($AA252+SUMIF('Grid BD'!$B:$B,$A252,'Grid BD'!$AE:$AE)),"")</f>
        <v/>
      </c>
      <c r="S252" s="17"/>
      <c r="T252" s="177" t="str">
        <f>IFERROR(1-SUMIF(Tracker_BD!H:H,$A252,Tracker_BD!AI:AI)/$F252,"")</f>
        <v/>
      </c>
      <c r="U252" s="178" t="str">
        <f t="shared" si="17"/>
        <v/>
      </c>
      <c r="V252" s="17"/>
      <c r="W252" s="164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38" t="str">
        <f>IFERROR(_xlfn.XLOOKUP($A252,'Raw Data'!$G:$G,'Raw Data'!AD:AD),"")</f>
        <v/>
      </c>
      <c r="AA252" s="38" t="str">
        <f>IFERROR(_xlfn.XLOOKUP($A252,'Raw Data'!$G:$G,'Raw Data'!AE:AE)*(1+(_xlfn.XLOOKUP(Table13[[#This Row],[Month Year]],JMR!$A:$A,JMR!$J:$J))),"")</f>
        <v/>
      </c>
      <c r="AB252" s="17">
        <f>_xlfn.XLOOKUP($D252,'Modelling New'!D:D,'Modelling New'!N:N)</f>
        <v>10.507</v>
      </c>
      <c r="AC252" s="24">
        <f>IFERROR(_xlfn.XLOOKUP($D252,'Modelling New'!$D:$D,'Modelling New'!P:P),"")</f>
        <v>5.671045235483871</v>
      </c>
      <c r="AD252" s="38">
        <f>IFERROR(_xlfn.XLOOKUP($D252,'Modelling New'!$D:$D,'Modelling New'!T:T)*1000,"")</f>
        <v>43169.874244195649</v>
      </c>
      <c r="AE252" s="164">
        <f t="shared" si="19"/>
        <v>0.72450091751334023</v>
      </c>
      <c r="AF252" s="164">
        <f>IFERROR(_xlfn.XLOOKUP($D252,'Modelling New'!$D:$D,'Modelling New'!W:W),"")</f>
        <v>0.17119489484865505</v>
      </c>
      <c r="AG252" s="164">
        <f>IFERROR(_xlfn.XLOOKUP($D252,'Modelling New'!$D:$D,'Modelling New'!AD:AD),"")</f>
        <v>0.995</v>
      </c>
      <c r="AH252" s="164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64"/>
      <c r="AO252" s="164"/>
      <c r="AP252" s="164"/>
      <c r="AQ252" s="164"/>
      <c r="AR252" s="38">
        <f>IFERROR(_xlfn.XLOOKUP($D252,'Modelling New'!$D:$D,'Modelling New'!$N:$N),"")</f>
        <v>10.507</v>
      </c>
      <c r="AS252" s="38"/>
      <c r="AT252" s="38" t="str">
        <f>IFERROR(_xlfn.XLOOKUP(Table13[[#This Row],[Date]],'Raw Data'!$G:$G,'Raw Data'!$AJ:$AJ),"")</f>
        <v/>
      </c>
      <c r="AU252" s="38">
        <f>IFERROR(_xlfn.XLOOKUP(Table13[[#This Row],[Month Year]],'Modelling New'!$D:$D,'Modelling New'!$AN:$AN),"")</f>
        <v>10</v>
      </c>
      <c r="AV252" s="38">
        <f>SUMIF('Curtailment records'!$C:$C,Table13[[#This Row],[Date]],'Curtailment records'!$R:$R)/1000</f>
        <v>0</v>
      </c>
    </row>
    <row r="253" spans="1:48">
      <c r="A253" s="66">
        <f t="shared" si="20"/>
        <v>45996</v>
      </c>
      <c r="B253" s="38">
        <f>YEAR(Table13[[#This Row],[Date]])+IF(MONTH(Table13[[#This Row],[Date]])&gt;=4,1,0)</f>
        <v>2026</v>
      </c>
      <c r="C253" s="17">
        <f>YEAR(Table13[[#This Row],[Date]])</f>
        <v>2025</v>
      </c>
      <c r="D253" s="37">
        <f>Table13[[#This Row],[Date]]-DAY(Table13[[#This Row],[Date]])+1</f>
        <v>45992</v>
      </c>
      <c r="E253" s="17">
        <f t="shared" si="21"/>
        <v>31</v>
      </c>
      <c r="F253" s="135" t="str" cm="1">
        <f t="array" ref="F253">IFERROR(_xlfn.XLOOKUP(Table13[[#This Row],[Date]],Raw_Data[[#All],[Date]],Raw_Data[[#All],[Operating Hours]]),"")</f>
        <v/>
      </c>
      <c r="G253" s="136" t="str">
        <f>IFERROR(_xlfn.XLOOKUP($A253,'Raw Data'!$G:$G,'Raw Data'!S:S)/1000,"")</f>
        <v/>
      </c>
      <c r="H253" s="136"/>
      <c r="I253" s="136" t="str">
        <f>IFERROR(_xlfn.XLOOKUP($A253,'Raw Data'!$G:$G,'Raw Data'!AF:AF)/1000,"")</f>
        <v/>
      </c>
      <c r="J253" s="136"/>
      <c r="K253" s="137" t="str">
        <f>IFERROR(_xlfn.XLOOKUP($A253,'Raw Data'!$G:$G,'Raw Data'!W:W),"")</f>
        <v/>
      </c>
      <c r="L253" s="136" t="str">
        <f>IFERROR(_xlfn.XLOOKUP($A253,'Raw Data'!$G:$G,'Raw Data'!X:X),"")</f>
        <v/>
      </c>
      <c r="M253" s="136" t="str">
        <f>IFERROR(_xlfn.XLOOKUP($A253,'Raw Data'!$G:$G,'Raw Data'!Y:Y),"")</f>
        <v/>
      </c>
      <c r="N253" s="136" t="str">
        <f>IFERROR(_xlfn.XLOOKUP($A253,'Raw Data'!$G:$G,'Raw Data'!Z:Z),"")</f>
        <v/>
      </c>
      <c r="O253" s="176" t="str">
        <f>IFERROR(1-SUMIF('Plant BD'!$B:$B,$A253,'Plant BD'!$AM:$AM)/($AA253+SUMIF('Plant BD'!$B:$B,$A253,'Plant BD'!$AM:$AM)),"")</f>
        <v/>
      </c>
      <c r="P253" s="176"/>
      <c r="Q253" s="177"/>
      <c r="R253" s="176" t="str">
        <f>IFERROR(1-SUMIF('Grid BD'!$B:$B,$A253,'Grid BD'!$AE:$AE)/($AA253+SUMIF('Grid BD'!$B:$B,$A253,'Grid BD'!$AE:$AE)),"")</f>
        <v/>
      </c>
      <c r="S253" s="17"/>
      <c r="T253" s="177" t="str">
        <f>IFERROR(1-SUMIF(Tracker_BD!H:H,$A253,Tracker_BD!AI:AI)/$F253,"")</f>
        <v/>
      </c>
      <c r="U253" s="178" t="str">
        <f t="shared" ref="U253:U279" si="22">IFERROR(AA253/(I253*1000)/AB253,"")</f>
        <v/>
      </c>
      <c r="V253" s="17"/>
      <c r="W253" s="164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38" t="str">
        <f>IFERROR(_xlfn.XLOOKUP($A253,'Raw Data'!$G:$G,'Raw Data'!AD:AD),"")</f>
        <v/>
      </c>
      <c r="AA253" s="38" t="str">
        <f>IFERROR(_xlfn.XLOOKUP($A253,'Raw Data'!$G:$G,'Raw Data'!AE:AE)*(1+(_xlfn.XLOOKUP(Table13[[#This Row],[Month Year]],JMR!$A:$A,JMR!$J:$J))),"")</f>
        <v/>
      </c>
      <c r="AB253" s="17">
        <f>_xlfn.XLOOKUP($D253,'Modelling New'!D:D,'Modelling New'!N:N)</f>
        <v>10.507</v>
      </c>
      <c r="AC253" s="24">
        <f>IFERROR(_xlfn.XLOOKUP($D253,'Modelling New'!$D:$D,'Modelling New'!P:P),"")</f>
        <v>5.671045235483871</v>
      </c>
      <c r="AD253" s="38">
        <f>IFERROR(_xlfn.XLOOKUP($D253,'Modelling New'!$D:$D,'Modelling New'!T:T)*1000,"")</f>
        <v>43169.874244195649</v>
      </c>
      <c r="AE253" s="164">
        <f t="shared" ref="AE253:AE279" si="24">IFERROR(AD253/AC253/AB253/1000,"")</f>
        <v>0.72450091751334023</v>
      </c>
      <c r="AF253" s="164">
        <f>IFERROR(_xlfn.XLOOKUP($D253,'Modelling New'!$D:$D,'Modelling New'!W:W),"")</f>
        <v>0.17119489484865505</v>
      </c>
      <c r="AG253" s="164">
        <f>IFERROR(_xlfn.XLOOKUP($D253,'Modelling New'!$D:$D,'Modelling New'!AD:AD),"")</f>
        <v>0.995</v>
      </c>
      <c r="AH253" s="164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64"/>
      <c r="AO253" s="164"/>
      <c r="AP253" s="164"/>
      <c r="AQ253" s="164"/>
      <c r="AR253" s="38">
        <f>IFERROR(_xlfn.XLOOKUP($D253,'Modelling New'!$D:$D,'Modelling New'!$N:$N),"")</f>
        <v>10.507</v>
      </c>
      <c r="AS253" s="38"/>
      <c r="AT253" s="38" t="str">
        <f>IFERROR(_xlfn.XLOOKUP(Table13[[#This Row],[Date]],'Raw Data'!$G:$G,'Raw Data'!$AJ:$AJ),"")</f>
        <v/>
      </c>
      <c r="AU253" s="38">
        <f>IFERROR(_xlfn.XLOOKUP(Table13[[#This Row],[Month Year]],'Modelling New'!$D:$D,'Modelling New'!$AN:$AN),"")</f>
        <v>10</v>
      </c>
      <c r="AV253" s="38">
        <f>SUMIF('Curtailment records'!$C:$C,Table13[[#This Row],[Date]],'Curtailment records'!$R:$R)/1000</f>
        <v>0</v>
      </c>
    </row>
    <row r="254" spans="1:48">
      <c r="A254" s="66">
        <f t="shared" si="20"/>
        <v>45997</v>
      </c>
      <c r="B254" s="38">
        <f>YEAR(Table13[[#This Row],[Date]])+IF(MONTH(Table13[[#This Row],[Date]])&gt;=4,1,0)</f>
        <v>2026</v>
      </c>
      <c r="C254" s="17">
        <f>YEAR(Table13[[#This Row],[Date]])</f>
        <v>2025</v>
      </c>
      <c r="D254" s="37">
        <f>Table13[[#This Row],[Date]]-DAY(Table13[[#This Row],[Date]])+1</f>
        <v>45992</v>
      </c>
      <c r="E254" s="17">
        <f t="shared" si="21"/>
        <v>31</v>
      </c>
      <c r="F254" s="135" t="str" cm="1">
        <f t="array" ref="F254">IFERROR(_xlfn.XLOOKUP(Table13[[#This Row],[Date]],Raw_Data[[#All],[Date]],Raw_Data[[#All],[Operating Hours]]),"")</f>
        <v/>
      </c>
      <c r="G254" s="24" t="str">
        <f>IFERROR(_xlfn.XLOOKUP($A254,'Raw Data'!$G:$G,'Raw Data'!S:S)/1000,"")</f>
        <v/>
      </c>
      <c r="H254" s="24"/>
      <c r="I254" s="24" t="str">
        <f>IFERROR(_xlfn.XLOOKUP($A254,'Raw Data'!$G:$G,'Raw Data'!AF:AF)/1000,"")</f>
        <v/>
      </c>
      <c r="J254" s="24"/>
      <c r="K254" s="137" t="str">
        <f>IFERROR(_xlfn.XLOOKUP($A254,'Raw Data'!$G:$G,'Raw Data'!W:W),"")</f>
        <v/>
      </c>
      <c r="L254" s="136" t="str">
        <f>IFERROR(_xlfn.XLOOKUP($A254,'Raw Data'!$G:$G,'Raw Data'!X:X),"")</f>
        <v/>
      </c>
      <c r="M254" s="136" t="str">
        <f>IFERROR(_xlfn.XLOOKUP($A254,'Raw Data'!$G:$G,'Raw Data'!Y:Y),"")</f>
        <v/>
      </c>
      <c r="N254" s="136" t="str">
        <f>IFERROR(_xlfn.XLOOKUP($A254,'Raw Data'!$G:$G,'Raw Data'!Z:Z),"")</f>
        <v/>
      </c>
      <c r="O254" s="176" t="str">
        <f>IFERROR(1-SUMIF('Plant BD'!$B:$B,$A254,'Plant BD'!$AM:$AM)/($AA254+SUMIF('Plant BD'!$B:$B,$A254,'Plant BD'!$AM:$AM)),"")</f>
        <v/>
      </c>
      <c r="P254" s="176"/>
      <c r="Q254" s="177"/>
      <c r="R254" s="179" t="str">
        <f>IFERROR(1-SUMIF('Grid BD'!$B:$B,$A254,'Grid BD'!$AE:$AE)/($AA254+SUMIF('Grid BD'!$B:$B,$A254,'Grid BD'!$AE:$AE)),"")</f>
        <v/>
      </c>
      <c r="S254" s="17"/>
      <c r="T254" s="177" t="str">
        <f>IFERROR(1-SUMIF(Tracker_BD!H:H,$A254,Tracker_BD!AI:AI)/$F254,"")</f>
        <v/>
      </c>
      <c r="U254" s="178" t="str">
        <f t="shared" si="22"/>
        <v/>
      </c>
      <c r="V254" s="17"/>
      <c r="W254" s="164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38" t="str">
        <f>IFERROR(_xlfn.XLOOKUP($A254,'Raw Data'!$G:$G,'Raw Data'!AD:AD),"")</f>
        <v/>
      </c>
      <c r="AA254" s="38" t="str">
        <f>IFERROR(_xlfn.XLOOKUP($A254,'Raw Data'!$G:$G,'Raw Data'!AE:AE)*(1+(_xlfn.XLOOKUP(Table13[[#This Row],[Month Year]],JMR!$A:$A,JMR!$J:$J))),"")</f>
        <v/>
      </c>
      <c r="AB254" s="17">
        <f>_xlfn.XLOOKUP($D254,'Modelling New'!D:D,'Modelling New'!N:N)</f>
        <v>10.507</v>
      </c>
      <c r="AC254" s="24">
        <f>IFERROR(_xlfn.XLOOKUP($D254,'Modelling New'!$D:$D,'Modelling New'!P:P),"")</f>
        <v>5.671045235483871</v>
      </c>
      <c r="AD254" s="38">
        <f>IFERROR(_xlfn.XLOOKUP($D254,'Modelling New'!$D:$D,'Modelling New'!T:T)*1000,"")</f>
        <v>43169.874244195649</v>
      </c>
      <c r="AE254" s="164">
        <f t="shared" si="24"/>
        <v>0.72450091751334023</v>
      </c>
      <c r="AF254" s="164">
        <f>IFERROR(_xlfn.XLOOKUP($D254,'Modelling New'!$D:$D,'Modelling New'!W:W),"")</f>
        <v>0.17119489484865505</v>
      </c>
      <c r="AG254" s="164">
        <f>IFERROR(_xlfn.XLOOKUP($D254,'Modelling New'!$D:$D,'Modelling New'!AD:AD),"")</f>
        <v>0.995</v>
      </c>
      <c r="AH254" s="164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64"/>
      <c r="AO254" s="164"/>
      <c r="AP254" s="164"/>
      <c r="AQ254" s="164"/>
      <c r="AR254" s="38">
        <f>IFERROR(_xlfn.XLOOKUP($D254,'Modelling New'!$D:$D,'Modelling New'!$N:$N),"")</f>
        <v>10.507</v>
      </c>
      <c r="AS254" s="38"/>
      <c r="AT254" s="38" t="str">
        <f>IFERROR(_xlfn.XLOOKUP(Table13[[#This Row],[Date]],'Raw Data'!$G:$G,'Raw Data'!$AJ:$AJ),"")</f>
        <v/>
      </c>
      <c r="AU254" s="38">
        <f>IFERROR(_xlfn.XLOOKUP(Table13[[#This Row],[Month Year]],'Modelling New'!$D:$D,'Modelling New'!$AN:$AN),"")</f>
        <v>10</v>
      </c>
      <c r="AV254" s="38">
        <f>SUMIF('Curtailment records'!$C:$C,Table13[[#This Row],[Date]],'Curtailment records'!$R:$R)/1000</f>
        <v>0</v>
      </c>
    </row>
    <row r="255" spans="1:48">
      <c r="A255" s="66">
        <f t="shared" si="20"/>
        <v>45998</v>
      </c>
      <c r="B255" s="38">
        <f>YEAR(Table13[[#This Row],[Date]])+IF(MONTH(Table13[[#This Row],[Date]])&gt;=4,1,0)</f>
        <v>2026</v>
      </c>
      <c r="C255" s="17">
        <f>YEAR(Table13[[#This Row],[Date]])</f>
        <v>2025</v>
      </c>
      <c r="D255" s="37">
        <f>Table13[[#This Row],[Date]]-DAY(Table13[[#This Row],[Date]])+1</f>
        <v>45992</v>
      </c>
      <c r="E255" s="17">
        <f t="shared" si="21"/>
        <v>31</v>
      </c>
      <c r="F255" s="135" t="str" cm="1">
        <f t="array" ref="F255">IFERROR(_xlfn.XLOOKUP(Table13[[#This Row],[Date]],Raw_Data[[#All],[Date]],Raw_Data[[#All],[Operating Hours]]),"")</f>
        <v/>
      </c>
      <c r="G255" s="136" t="str">
        <f>IFERROR(_xlfn.XLOOKUP($A255,'Raw Data'!$G:$G,'Raw Data'!S:S)/1000,"")</f>
        <v/>
      </c>
      <c r="H255" s="136"/>
      <c r="I255" s="136" t="str">
        <f>IFERROR(_xlfn.XLOOKUP($A255,'Raw Data'!$G:$G,'Raw Data'!AF:AF)/1000,"")</f>
        <v/>
      </c>
      <c r="J255" s="136"/>
      <c r="K255" s="137" t="str">
        <f>IFERROR(_xlfn.XLOOKUP($A255,'Raw Data'!$G:$G,'Raw Data'!W:W),"")</f>
        <v/>
      </c>
      <c r="L255" s="136" t="str">
        <f>IFERROR(_xlfn.XLOOKUP($A255,'Raw Data'!$G:$G,'Raw Data'!X:X),"")</f>
        <v/>
      </c>
      <c r="M255" s="136" t="str">
        <f>IFERROR(_xlfn.XLOOKUP($A255,'Raw Data'!$G:$G,'Raw Data'!Y:Y),"")</f>
        <v/>
      </c>
      <c r="N255" s="136" t="str">
        <f>IFERROR(_xlfn.XLOOKUP($A255,'Raw Data'!$G:$G,'Raw Data'!Z:Z),"")</f>
        <v/>
      </c>
      <c r="O255" s="176" t="str">
        <f>IFERROR(1-SUMIF('Plant BD'!$B:$B,$A255,'Plant BD'!$AM:$AM)/($AA255+SUMIF('Plant BD'!$B:$B,$A255,'Plant BD'!$AM:$AM)),"")</f>
        <v/>
      </c>
      <c r="P255" s="176"/>
      <c r="Q255" s="177"/>
      <c r="R255" s="176" t="str">
        <f>IFERROR(1-SUMIF('Grid BD'!$B:$B,$A255,'Grid BD'!$AE:$AE)/($AA255+SUMIF('Grid BD'!$B:$B,$A255,'Grid BD'!$AE:$AE)),"")</f>
        <v/>
      </c>
      <c r="S255" s="17"/>
      <c r="T255" s="177" t="str">
        <f>IFERROR(1-SUMIF(Tracker_BD!H:H,$A255,Tracker_BD!AI:AI)/$F255,"")</f>
        <v/>
      </c>
      <c r="U255" s="178" t="str">
        <f t="shared" si="22"/>
        <v/>
      </c>
      <c r="V255" s="17"/>
      <c r="W255" s="164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38" t="str">
        <f>IFERROR(_xlfn.XLOOKUP($A255,'Raw Data'!$G:$G,'Raw Data'!AD:AD),"")</f>
        <v/>
      </c>
      <c r="AA255" s="38" t="str">
        <f>IFERROR(_xlfn.XLOOKUP($A255,'Raw Data'!$G:$G,'Raw Data'!AE:AE)*(1+(_xlfn.XLOOKUP(Table13[[#This Row],[Month Year]],JMR!$A:$A,JMR!$J:$J))),"")</f>
        <v/>
      </c>
      <c r="AB255" s="17">
        <f>_xlfn.XLOOKUP($D255,'Modelling New'!D:D,'Modelling New'!N:N)</f>
        <v>10.507</v>
      </c>
      <c r="AC255" s="24">
        <f>IFERROR(_xlfn.XLOOKUP($D255,'Modelling New'!$D:$D,'Modelling New'!P:P),"")</f>
        <v>5.671045235483871</v>
      </c>
      <c r="AD255" s="38">
        <f>IFERROR(_xlfn.XLOOKUP($D255,'Modelling New'!$D:$D,'Modelling New'!T:T)*1000,"")</f>
        <v>43169.874244195649</v>
      </c>
      <c r="AE255" s="164">
        <f t="shared" si="24"/>
        <v>0.72450091751334023</v>
      </c>
      <c r="AF255" s="164">
        <f>IFERROR(_xlfn.XLOOKUP($D255,'Modelling New'!$D:$D,'Modelling New'!W:W),"")</f>
        <v>0.17119489484865505</v>
      </c>
      <c r="AG255" s="164">
        <f>IFERROR(_xlfn.XLOOKUP($D255,'Modelling New'!$D:$D,'Modelling New'!AD:AD),"")</f>
        <v>0.995</v>
      </c>
      <c r="AH255" s="164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64"/>
      <c r="AO255" s="164"/>
      <c r="AP255" s="164"/>
      <c r="AQ255" s="164"/>
      <c r="AR255" s="38">
        <f>IFERROR(_xlfn.XLOOKUP($D255,'Modelling New'!$D:$D,'Modelling New'!$N:$N),"")</f>
        <v>10.507</v>
      </c>
      <c r="AS255" s="38"/>
      <c r="AT255" s="38" t="str">
        <f>IFERROR(_xlfn.XLOOKUP(Table13[[#This Row],[Date]],'Raw Data'!$G:$G,'Raw Data'!$AJ:$AJ),"")</f>
        <v/>
      </c>
      <c r="AU255" s="38">
        <f>IFERROR(_xlfn.XLOOKUP(Table13[[#This Row],[Month Year]],'Modelling New'!$D:$D,'Modelling New'!$AN:$AN),"")</f>
        <v>10</v>
      </c>
      <c r="AV255" s="38">
        <f>SUMIF('Curtailment records'!$C:$C,Table13[[#This Row],[Date]],'Curtailment records'!$R:$R)/1000</f>
        <v>0</v>
      </c>
    </row>
    <row r="256" spans="1:48">
      <c r="A256" s="66">
        <f t="shared" si="20"/>
        <v>45999</v>
      </c>
      <c r="B256" s="38">
        <f>YEAR(Table13[[#This Row],[Date]])+IF(MONTH(Table13[[#This Row],[Date]])&gt;=4,1,0)</f>
        <v>2026</v>
      </c>
      <c r="C256" s="17">
        <f>YEAR(Table13[[#This Row],[Date]])</f>
        <v>2025</v>
      </c>
      <c r="D256" s="37">
        <f>Table13[[#This Row],[Date]]-DAY(Table13[[#This Row],[Date]])+1</f>
        <v>45992</v>
      </c>
      <c r="E256" s="17">
        <f t="shared" si="21"/>
        <v>31</v>
      </c>
      <c r="F256" s="135" t="str" cm="1">
        <f t="array" ref="F256">IFERROR(_xlfn.XLOOKUP(Table13[[#This Row],[Date]],Raw_Data[[#All],[Date]],Raw_Data[[#All],[Operating Hours]]),"")</f>
        <v/>
      </c>
      <c r="G256" s="24" t="str">
        <f>IFERROR(_xlfn.XLOOKUP($A256,'Raw Data'!$G:$G,'Raw Data'!S:S)/1000,"")</f>
        <v/>
      </c>
      <c r="H256" s="24"/>
      <c r="I256" s="24" t="str">
        <f>IFERROR(_xlfn.XLOOKUP($A256,'Raw Data'!$G:$G,'Raw Data'!AF:AF)/1000,"")</f>
        <v/>
      </c>
      <c r="J256" s="24"/>
      <c r="K256" s="137" t="str">
        <f>IFERROR(_xlfn.XLOOKUP($A256,'Raw Data'!$G:$G,'Raw Data'!W:W),"")</f>
        <v/>
      </c>
      <c r="L256" s="136" t="str">
        <f>IFERROR(_xlfn.XLOOKUP($A256,'Raw Data'!$G:$G,'Raw Data'!X:X),"")</f>
        <v/>
      </c>
      <c r="M256" s="136" t="str">
        <f>IFERROR(_xlfn.XLOOKUP($A256,'Raw Data'!$G:$G,'Raw Data'!Y:Y),"")</f>
        <v/>
      </c>
      <c r="N256" s="136" t="str">
        <f>IFERROR(_xlfn.XLOOKUP($A256,'Raw Data'!$G:$G,'Raw Data'!Z:Z),"")</f>
        <v/>
      </c>
      <c r="O256" s="176" t="str">
        <f>IFERROR(1-SUMIF('Plant BD'!$B:$B,$A256,'Plant BD'!$AM:$AM)/($AA256+SUMIF('Plant BD'!$B:$B,$A256,'Plant BD'!$AM:$AM)),"")</f>
        <v/>
      </c>
      <c r="P256" s="176"/>
      <c r="Q256" s="177"/>
      <c r="R256" s="179" t="str">
        <f>IFERROR(1-SUMIF('Grid BD'!$B:$B,$A256,'Grid BD'!$AE:$AE)/($AA256+SUMIF('Grid BD'!$B:$B,$A256,'Grid BD'!$AE:$AE)),"")</f>
        <v/>
      </c>
      <c r="S256" s="17"/>
      <c r="T256" s="177" t="str">
        <f>IFERROR(1-SUMIF(Tracker_BD!H:H,$A256,Tracker_BD!AI:AI)/$F256,"")</f>
        <v/>
      </c>
      <c r="U256" s="178" t="str">
        <f t="shared" si="22"/>
        <v/>
      </c>
      <c r="V256" s="17"/>
      <c r="W256" s="164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38" t="str">
        <f>IFERROR(_xlfn.XLOOKUP($A256,'Raw Data'!$G:$G,'Raw Data'!AD:AD),"")</f>
        <v/>
      </c>
      <c r="AA256" s="38" t="str">
        <f>IFERROR(_xlfn.XLOOKUP($A256,'Raw Data'!$G:$G,'Raw Data'!AE:AE)*(1+(_xlfn.XLOOKUP(Table13[[#This Row],[Month Year]],JMR!$A:$A,JMR!$J:$J))),"")</f>
        <v/>
      </c>
      <c r="AB256" s="17">
        <f>_xlfn.XLOOKUP($D256,'Modelling New'!D:D,'Modelling New'!N:N)</f>
        <v>10.507</v>
      </c>
      <c r="AC256" s="24">
        <f>IFERROR(_xlfn.XLOOKUP($D256,'Modelling New'!$D:$D,'Modelling New'!P:P),"")</f>
        <v>5.671045235483871</v>
      </c>
      <c r="AD256" s="38">
        <f>IFERROR(_xlfn.XLOOKUP($D256,'Modelling New'!$D:$D,'Modelling New'!T:T)*1000,"")</f>
        <v>43169.874244195649</v>
      </c>
      <c r="AE256" s="164">
        <f t="shared" si="24"/>
        <v>0.72450091751334023</v>
      </c>
      <c r="AF256" s="164">
        <f>IFERROR(_xlfn.XLOOKUP($D256,'Modelling New'!$D:$D,'Modelling New'!W:W),"")</f>
        <v>0.17119489484865505</v>
      </c>
      <c r="AG256" s="164">
        <f>IFERROR(_xlfn.XLOOKUP($D256,'Modelling New'!$D:$D,'Modelling New'!AD:AD),"")</f>
        <v>0.995</v>
      </c>
      <c r="AH256" s="164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64"/>
      <c r="AO256" s="164"/>
      <c r="AP256" s="164"/>
      <c r="AQ256" s="164"/>
      <c r="AR256" s="38">
        <f>IFERROR(_xlfn.XLOOKUP($D256,'Modelling New'!$D:$D,'Modelling New'!$N:$N),"")</f>
        <v>10.507</v>
      </c>
      <c r="AS256" s="38"/>
      <c r="AT256" s="38" t="str">
        <f>IFERROR(_xlfn.XLOOKUP(Table13[[#This Row],[Date]],'Raw Data'!$G:$G,'Raw Data'!$AJ:$AJ),"")</f>
        <v/>
      </c>
      <c r="AU256" s="38">
        <f>IFERROR(_xlfn.XLOOKUP(Table13[[#This Row],[Month Year]],'Modelling New'!$D:$D,'Modelling New'!$AN:$AN),"")</f>
        <v>10</v>
      </c>
      <c r="AV256" s="38">
        <f>SUMIF('Curtailment records'!$C:$C,Table13[[#This Row],[Date]],'Curtailment records'!$R:$R)/1000</f>
        <v>0</v>
      </c>
    </row>
    <row r="257" spans="1:48">
      <c r="A257" s="66">
        <f t="shared" si="20"/>
        <v>46000</v>
      </c>
      <c r="B257" s="38">
        <f>YEAR(Table13[[#This Row],[Date]])+IF(MONTH(Table13[[#This Row],[Date]])&gt;=4,1,0)</f>
        <v>2026</v>
      </c>
      <c r="C257" s="17">
        <f>YEAR(Table13[[#This Row],[Date]])</f>
        <v>2025</v>
      </c>
      <c r="D257" s="37">
        <f>Table13[[#This Row],[Date]]-DAY(Table13[[#This Row],[Date]])+1</f>
        <v>45992</v>
      </c>
      <c r="E257" s="17">
        <f t="shared" si="21"/>
        <v>31</v>
      </c>
      <c r="F257" s="135" t="str" cm="1">
        <f t="array" ref="F257">IFERROR(_xlfn.XLOOKUP(Table13[[#This Row],[Date]],Raw_Data[[#All],[Date]],Raw_Data[[#All],[Operating Hours]]),"")</f>
        <v/>
      </c>
      <c r="G257" s="136" t="str">
        <f>IFERROR(_xlfn.XLOOKUP($A257,'Raw Data'!$G:$G,'Raw Data'!S:S)/1000,"")</f>
        <v/>
      </c>
      <c r="H257" s="136"/>
      <c r="I257" s="136" t="str">
        <f>IFERROR(_xlfn.XLOOKUP($A257,'Raw Data'!$G:$G,'Raw Data'!AF:AF)/1000,"")</f>
        <v/>
      </c>
      <c r="J257" s="136"/>
      <c r="K257" s="137" t="str">
        <f>IFERROR(_xlfn.XLOOKUP($A257,'Raw Data'!$G:$G,'Raw Data'!W:W),"")</f>
        <v/>
      </c>
      <c r="L257" s="136" t="str">
        <f>IFERROR(_xlfn.XLOOKUP($A257,'Raw Data'!$G:$G,'Raw Data'!X:X),"")</f>
        <v/>
      </c>
      <c r="M257" s="136" t="str">
        <f>IFERROR(_xlfn.XLOOKUP($A257,'Raw Data'!$G:$G,'Raw Data'!Y:Y),"")</f>
        <v/>
      </c>
      <c r="N257" s="136" t="str">
        <f>IFERROR(_xlfn.XLOOKUP($A257,'Raw Data'!$G:$G,'Raw Data'!Z:Z),"")</f>
        <v/>
      </c>
      <c r="O257" s="176" t="str">
        <f>IFERROR(1-SUMIF('Plant BD'!$B:$B,$A257,'Plant BD'!$AM:$AM)/($AA257+SUMIF('Plant BD'!$B:$B,$A257,'Plant BD'!$AM:$AM)),"")</f>
        <v/>
      </c>
      <c r="P257" s="176"/>
      <c r="Q257" s="177"/>
      <c r="R257" s="176" t="str">
        <f>IFERROR(1-SUMIF('Grid BD'!$B:$B,$A257,'Grid BD'!$AE:$AE)/($AA257+SUMIF('Grid BD'!$B:$B,$A257,'Grid BD'!$AE:$AE)),"")</f>
        <v/>
      </c>
      <c r="S257" s="17"/>
      <c r="T257" s="177" t="str">
        <f>IFERROR(1-SUMIF(Tracker_BD!H:H,$A257,Tracker_BD!AI:AI)/$F257,"")</f>
        <v/>
      </c>
      <c r="U257" s="178" t="str">
        <f t="shared" si="22"/>
        <v/>
      </c>
      <c r="V257" s="17"/>
      <c r="W257" s="164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38" t="str">
        <f>IFERROR(_xlfn.XLOOKUP($A257,'Raw Data'!$G:$G,'Raw Data'!AD:AD),"")</f>
        <v/>
      </c>
      <c r="AA257" s="38" t="str">
        <f>IFERROR(_xlfn.XLOOKUP($A257,'Raw Data'!$G:$G,'Raw Data'!AE:AE)*(1+(_xlfn.XLOOKUP(Table13[[#This Row],[Month Year]],JMR!$A:$A,JMR!$J:$J))),"")</f>
        <v/>
      </c>
      <c r="AB257" s="17">
        <f>_xlfn.XLOOKUP($D257,'Modelling New'!D:D,'Modelling New'!N:N)</f>
        <v>10.507</v>
      </c>
      <c r="AC257" s="24">
        <f>IFERROR(_xlfn.XLOOKUP($D257,'Modelling New'!$D:$D,'Modelling New'!P:P),"")</f>
        <v>5.671045235483871</v>
      </c>
      <c r="AD257" s="38">
        <f>IFERROR(_xlfn.XLOOKUP($D257,'Modelling New'!$D:$D,'Modelling New'!T:T)*1000,"")</f>
        <v>43169.874244195649</v>
      </c>
      <c r="AE257" s="164">
        <f t="shared" si="24"/>
        <v>0.72450091751334023</v>
      </c>
      <c r="AF257" s="164">
        <f>IFERROR(_xlfn.XLOOKUP($D257,'Modelling New'!$D:$D,'Modelling New'!W:W),"")</f>
        <v>0.17119489484865505</v>
      </c>
      <c r="AG257" s="164">
        <f>IFERROR(_xlfn.XLOOKUP($D257,'Modelling New'!$D:$D,'Modelling New'!AD:AD),"")</f>
        <v>0.995</v>
      </c>
      <c r="AH257" s="164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64"/>
      <c r="AO257" s="164"/>
      <c r="AP257" s="164"/>
      <c r="AQ257" s="164"/>
      <c r="AR257" s="38">
        <f>IFERROR(_xlfn.XLOOKUP($D257,'Modelling New'!$D:$D,'Modelling New'!$N:$N),"")</f>
        <v>10.507</v>
      </c>
      <c r="AS257" s="38"/>
      <c r="AT257" s="38" t="str">
        <f>IFERROR(_xlfn.XLOOKUP(Table13[[#This Row],[Date]],'Raw Data'!$G:$G,'Raw Data'!$AJ:$AJ),"")</f>
        <v/>
      </c>
      <c r="AU257" s="38">
        <f>IFERROR(_xlfn.XLOOKUP(Table13[[#This Row],[Month Year]],'Modelling New'!$D:$D,'Modelling New'!$AN:$AN),"")</f>
        <v>10</v>
      </c>
      <c r="AV257" s="38">
        <f>SUMIF('Curtailment records'!$C:$C,Table13[[#This Row],[Date]],'Curtailment records'!$R:$R)/1000</f>
        <v>0</v>
      </c>
    </row>
    <row r="258" spans="1:48">
      <c r="A258" s="66">
        <f t="shared" si="20"/>
        <v>46001</v>
      </c>
      <c r="B258" s="38">
        <f>YEAR(Table13[[#This Row],[Date]])+IF(MONTH(Table13[[#This Row],[Date]])&gt;=4,1,0)</f>
        <v>2026</v>
      </c>
      <c r="C258" s="17">
        <f>YEAR(Table13[[#This Row],[Date]])</f>
        <v>2025</v>
      </c>
      <c r="D258" s="37">
        <f>Table13[[#This Row],[Date]]-DAY(Table13[[#This Row],[Date]])+1</f>
        <v>45992</v>
      </c>
      <c r="E258" s="17">
        <f t="shared" si="21"/>
        <v>31</v>
      </c>
      <c r="F258" s="135" t="str" cm="1">
        <f t="array" ref="F258">IFERROR(_xlfn.XLOOKUP(Table13[[#This Row],[Date]],Raw_Data[[#All],[Date]],Raw_Data[[#All],[Operating Hours]]),"")</f>
        <v/>
      </c>
      <c r="G258" s="24" t="str">
        <f>IFERROR(_xlfn.XLOOKUP($A258,'Raw Data'!$G:$G,'Raw Data'!S:S)/1000,"")</f>
        <v/>
      </c>
      <c r="H258" s="24"/>
      <c r="I258" s="24" t="str">
        <f>IFERROR(_xlfn.XLOOKUP($A258,'Raw Data'!$G:$G,'Raw Data'!AF:AF)/1000,"")</f>
        <v/>
      </c>
      <c r="J258" s="24"/>
      <c r="K258" s="137" t="str">
        <f>IFERROR(_xlfn.XLOOKUP($A258,'Raw Data'!$G:$G,'Raw Data'!W:W),"")</f>
        <v/>
      </c>
      <c r="L258" s="136" t="str">
        <f>IFERROR(_xlfn.XLOOKUP($A258,'Raw Data'!$G:$G,'Raw Data'!X:X),"")</f>
        <v/>
      </c>
      <c r="M258" s="136" t="str">
        <f>IFERROR(_xlfn.XLOOKUP($A258,'Raw Data'!$G:$G,'Raw Data'!Y:Y),"")</f>
        <v/>
      </c>
      <c r="N258" s="136" t="str">
        <f>IFERROR(_xlfn.XLOOKUP($A258,'Raw Data'!$G:$G,'Raw Data'!Z:Z),"")</f>
        <v/>
      </c>
      <c r="O258" s="176" t="str">
        <f>IFERROR(1-SUMIF('Plant BD'!$B:$B,$A258,'Plant BD'!$AM:$AM)/($AA258+SUMIF('Plant BD'!$B:$B,$A258,'Plant BD'!$AM:$AM)),"")</f>
        <v/>
      </c>
      <c r="P258" s="176"/>
      <c r="Q258" s="177"/>
      <c r="R258" s="179" t="str">
        <f>IFERROR(1-SUMIF('Grid BD'!$B:$B,$A258,'Grid BD'!$AE:$AE)/($AA258+SUMIF('Grid BD'!$B:$B,$A258,'Grid BD'!$AE:$AE)),"")</f>
        <v/>
      </c>
      <c r="S258" s="17"/>
      <c r="T258" s="177" t="str">
        <f>IFERROR(1-SUMIF(Tracker_BD!H:H,$A258,Tracker_BD!AI:AI)/$F258,"")</f>
        <v/>
      </c>
      <c r="U258" s="178" t="str">
        <f t="shared" si="22"/>
        <v/>
      </c>
      <c r="V258" s="17"/>
      <c r="W258" s="164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38" t="str">
        <f>IFERROR(_xlfn.XLOOKUP($A258,'Raw Data'!$G:$G,'Raw Data'!AD:AD),"")</f>
        <v/>
      </c>
      <c r="AA258" s="38" t="str">
        <f>IFERROR(_xlfn.XLOOKUP($A258,'Raw Data'!$G:$G,'Raw Data'!AE:AE)*(1+(_xlfn.XLOOKUP(Table13[[#This Row],[Month Year]],JMR!$A:$A,JMR!$J:$J))),"")</f>
        <v/>
      </c>
      <c r="AB258" s="17">
        <f>_xlfn.XLOOKUP($D258,'Modelling New'!D:D,'Modelling New'!N:N)</f>
        <v>10.507</v>
      </c>
      <c r="AC258" s="24">
        <f>IFERROR(_xlfn.XLOOKUP($D258,'Modelling New'!$D:$D,'Modelling New'!P:P),"")</f>
        <v>5.671045235483871</v>
      </c>
      <c r="AD258" s="38">
        <f>IFERROR(_xlfn.XLOOKUP($D258,'Modelling New'!$D:$D,'Modelling New'!T:T)*1000,"")</f>
        <v>43169.874244195649</v>
      </c>
      <c r="AE258" s="164">
        <f t="shared" si="24"/>
        <v>0.72450091751334023</v>
      </c>
      <c r="AF258" s="164">
        <f>IFERROR(_xlfn.XLOOKUP($D258,'Modelling New'!$D:$D,'Modelling New'!W:W),"")</f>
        <v>0.17119489484865505</v>
      </c>
      <c r="AG258" s="164">
        <f>IFERROR(_xlfn.XLOOKUP($D258,'Modelling New'!$D:$D,'Modelling New'!AD:AD),"")</f>
        <v>0.995</v>
      </c>
      <c r="AH258" s="164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64"/>
      <c r="AO258" s="164"/>
      <c r="AP258" s="164"/>
      <c r="AQ258" s="164"/>
      <c r="AR258" s="38">
        <f>IFERROR(_xlfn.XLOOKUP($D258,'Modelling New'!$D:$D,'Modelling New'!$N:$N),"")</f>
        <v>10.507</v>
      </c>
      <c r="AS258" s="38"/>
      <c r="AT258" s="38" t="str">
        <f>IFERROR(_xlfn.XLOOKUP(Table13[[#This Row],[Date]],'Raw Data'!$G:$G,'Raw Data'!$AJ:$AJ),"")</f>
        <v/>
      </c>
      <c r="AU258" s="38">
        <f>IFERROR(_xlfn.XLOOKUP(Table13[[#This Row],[Month Year]],'Modelling New'!$D:$D,'Modelling New'!$AN:$AN),"")</f>
        <v>10</v>
      </c>
      <c r="AV258" s="38">
        <f>SUMIF('Curtailment records'!$C:$C,Table13[[#This Row],[Date]],'Curtailment records'!$R:$R)/1000</f>
        <v>0</v>
      </c>
    </row>
    <row r="259" spans="1:48">
      <c r="A259" s="66">
        <f t="shared" si="20"/>
        <v>46002</v>
      </c>
      <c r="B259" s="38">
        <f>YEAR(Table13[[#This Row],[Date]])+IF(MONTH(Table13[[#This Row],[Date]])&gt;=4,1,0)</f>
        <v>2026</v>
      </c>
      <c r="C259" s="17">
        <f>YEAR(Table13[[#This Row],[Date]])</f>
        <v>2025</v>
      </c>
      <c r="D259" s="37">
        <f>Table13[[#This Row],[Date]]-DAY(Table13[[#This Row],[Date]])+1</f>
        <v>45992</v>
      </c>
      <c r="E259" s="17">
        <f t="shared" si="21"/>
        <v>31</v>
      </c>
      <c r="F259" s="135" t="str" cm="1">
        <f t="array" ref="F259">IFERROR(_xlfn.XLOOKUP(Table13[[#This Row],[Date]],Raw_Data[[#All],[Date]],Raw_Data[[#All],[Operating Hours]]),"")</f>
        <v/>
      </c>
      <c r="G259" s="136" t="str">
        <f>IFERROR(_xlfn.XLOOKUP($A259,'Raw Data'!$G:$G,'Raw Data'!S:S)/1000,"")</f>
        <v/>
      </c>
      <c r="H259" s="136"/>
      <c r="I259" s="136" t="str">
        <f>IFERROR(_xlfn.XLOOKUP($A259,'Raw Data'!$G:$G,'Raw Data'!AF:AF)/1000,"")</f>
        <v/>
      </c>
      <c r="J259" s="136"/>
      <c r="K259" s="137" t="str">
        <f>IFERROR(_xlfn.XLOOKUP($A259,'Raw Data'!$G:$G,'Raw Data'!W:W),"")</f>
        <v/>
      </c>
      <c r="L259" s="136" t="str">
        <f>IFERROR(_xlfn.XLOOKUP($A259,'Raw Data'!$G:$G,'Raw Data'!X:X),"")</f>
        <v/>
      </c>
      <c r="M259" s="136" t="str">
        <f>IFERROR(_xlfn.XLOOKUP($A259,'Raw Data'!$G:$G,'Raw Data'!Y:Y),"")</f>
        <v/>
      </c>
      <c r="N259" s="136" t="str">
        <f>IFERROR(_xlfn.XLOOKUP($A259,'Raw Data'!$G:$G,'Raw Data'!Z:Z),"")</f>
        <v/>
      </c>
      <c r="O259" s="176" t="str">
        <f>IFERROR(1-SUMIF('Plant BD'!$B:$B,$A259,'Plant BD'!$AM:$AM)/($AA259+SUMIF('Plant BD'!$B:$B,$A259,'Plant BD'!$AM:$AM)),"")</f>
        <v/>
      </c>
      <c r="P259" s="176"/>
      <c r="Q259" s="177"/>
      <c r="R259" s="176" t="str">
        <f>IFERROR(1-SUMIF('Grid BD'!$B:$B,$A259,'Grid BD'!$AE:$AE)/($AA259+SUMIF('Grid BD'!$B:$B,$A259,'Grid BD'!$AE:$AE)),"")</f>
        <v/>
      </c>
      <c r="S259" s="17"/>
      <c r="T259" s="177" t="str">
        <f>IFERROR(1-SUMIF(Tracker_BD!H:H,$A259,Tracker_BD!AI:AI)/$F259,"")</f>
        <v/>
      </c>
      <c r="U259" s="178" t="str">
        <f t="shared" si="22"/>
        <v/>
      </c>
      <c r="V259" s="17"/>
      <c r="W259" s="164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38" t="str">
        <f>IFERROR(_xlfn.XLOOKUP($A259,'Raw Data'!$G:$G,'Raw Data'!AD:AD),"")</f>
        <v/>
      </c>
      <c r="AA259" s="38" t="str">
        <f>IFERROR(_xlfn.XLOOKUP($A259,'Raw Data'!$G:$G,'Raw Data'!AE:AE)*(1+(_xlfn.XLOOKUP(Table13[[#This Row],[Month Year]],JMR!$A:$A,JMR!$J:$J))),"")</f>
        <v/>
      </c>
      <c r="AB259" s="17">
        <f>_xlfn.XLOOKUP($D259,'Modelling New'!D:D,'Modelling New'!N:N)</f>
        <v>10.507</v>
      </c>
      <c r="AC259" s="24">
        <f>IFERROR(_xlfn.XLOOKUP($D259,'Modelling New'!$D:$D,'Modelling New'!P:P),"")</f>
        <v>5.671045235483871</v>
      </c>
      <c r="AD259" s="38">
        <f>IFERROR(_xlfn.XLOOKUP($D259,'Modelling New'!$D:$D,'Modelling New'!T:T)*1000,"")</f>
        <v>43169.874244195649</v>
      </c>
      <c r="AE259" s="164">
        <f t="shared" si="24"/>
        <v>0.72450091751334023</v>
      </c>
      <c r="AF259" s="164">
        <f>IFERROR(_xlfn.XLOOKUP($D259,'Modelling New'!$D:$D,'Modelling New'!W:W),"")</f>
        <v>0.17119489484865505</v>
      </c>
      <c r="AG259" s="164">
        <f>IFERROR(_xlfn.XLOOKUP($D259,'Modelling New'!$D:$D,'Modelling New'!AD:AD),"")</f>
        <v>0.995</v>
      </c>
      <c r="AH259" s="164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64"/>
      <c r="AO259" s="164"/>
      <c r="AP259" s="164"/>
      <c r="AQ259" s="164"/>
      <c r="AR259" s="38">
        <f>IFERROR(_xlfn.XLOOKUP($D259,'Modelling New'!$D:$D,'Modelling New'!$N:$N),"")</f>
        <v>10.507</v>
      </c>
      <c r="AS259" s="38"/>
      <c r="AT259" s="38" t="str">
        <f>IFERROR(_xlfn.XLOOKUP(Table13[[#This Row],[Date]],'Raw Data'!$G:$G,'Raw Data'!$AJ:$AJ),"")</f>
        <v/>
      </c>
      <c r="AU259" s="38">
        <f>IFERROR(_xlfn.XLOOKUP(Table13[[#This Row],[Month Year]],'Modelling New'!$D:$D,'Modelling New'!$AN:$AN),"")</f>
        <v>10</v>
      </c>
      <c r="AV259" s="38">
        <f>SUMIF('Curtailment records'!$C:$C,Table13[[#This Row],[Date]],'Curtailment records'!$R:$R)/1000</f>
        <v>0</v>
      </c>
    </row>
    <row r="260" spans="1:48">
      <c r="A260" s="66">
        <f t="shared" si="20"/>
        <v>46003</v>
      </c>
      <c r="B260" s="38">
        <f>YEAR(Table13[[#This Row],[Date]])+IF(MONTH(Table13[[#This Row],[Date]])&gt;=4,1,0)</f>
        <v>2026</v>
      </c>
      <c r="C260" s="17">
        <f>YEAR(Table13[[#This Row],[Date]])</f>
        <v>2025</v>
      </c>
      <c r="D260" s="37">
        <f>Table13[[#This Row],[Date]]-DAY(Table13[[#This Row],[Date]])+1</f>
        <v>45992</v>
      </c>
      <c r="E260" s="17">
        <f t="shared" si="21"/>
        <v>31</v>
      </c>
      <c r="F260" s="135" t="str" cm="1">
        <f t="array" ref="F260">IFERROR(_xlfn.XLOOKUP(Table13[[#This Row],[Date]],Raw_Data[[#All],[Date]],Raw_Data[[#All],[Operating Hours]]),"")</f>
        <v/>
      </c>
      <c r="G260" s="24" t="str">
        <f>IFERROR(_xlfn.XLOOKUP($A260,'Raw Data'!$G:$G,'Raw Data'!S:S)/1000,"")</f>
        <v/>
      </c>
      <c r="H260" s="24"/>
      <c r="I260" s="24" t="str">
        <f>IFERROR(_xlfn.XLOOKUP($A260,'Raw Data'!$G:$G,'Raw Data'!AF:AF)/1000,"")</f>
        <v/>
      </c>
      <c r="J260" s="24"/>
      <c r="K260" s="137" t="str">
        <f>IFERROR(_xlfn.XLOOKUP($A260,'Raw Data'!$G:$G,'Raw Data'!W:W),"")</f>
        <v/>
      </c>
      <c r="L260" s="136" t="str">
        <f>IFERROR(_xlfn.XLOOKUP($A260,'Raw Data'!$G:$G,'Raw Data'!X:X),"")</f>
        <v/>
      </c>
      <c r="M260" s="136" t="str">
        <f>IFERROR(_xlfn.XLOOKUP($A260,'Raw Data'!$G:$G,'Raw Data'!Y:Y),"")</f>
        <v/>
      </c>
      <c r="N260" s="136" t="str">
        <f>IFERROR(_xlfn.XLOOKUP($A260,'Raw Data'!$G:$G,'Raw Data'!Z:Z),"")</f>
        <v/>
      </c>
      <c r="O260" s="176" t="str">
        <f>IFERROR(1-SUMIF('Plant BD'!$B:$B,$A260,'Plant BD'!$AM:$AM)/($AA260+SUMIF('Plant BD'!$B:$B,$A260,'Plant BD'!$AM:$AM)),"")</f>
        <v/>
      </c>
      <c r="P260" s="176"/>
      <c r="Q260" s="177"/>
      <c r="R260" s="179" t="str">
        <f>IFERROR(1-SUMIF('Grid BD'!$B:$B,$A260,'Grid BD'!$AE:$AE)/($AA260+SUMIF('Grid BD'!$B:$B,$A260,'Grid BD'!$AE:$AE)),"")</f>
        <v/>
      </c>
      <c r="S260" s="17"/>
      <c r="T260" s="177" t="str">
        <f>IFERROR(1-SUMIF(Tracker_BD!H:H,$A260,Tracker_BD!AI:AI)/$F260,"")</f>
        <v/>
      </c>
      <c r="U260" s="178" t="str">
        <f t="shared" si="22"/>
        <v/>
      </c>
      <c r="V260" s="17"/>
      <c r="W260" s="164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38" t="str">
        <f>IFERROR(_xlfn.XLOOKUP($A260,'Raw Data'!$G:$G,'Raw Data'!AD:AD),"")</f>
        <v/>
      </c>
      <c r="AA260" s="38" t="str">
        <f>IFERROR(_xlfn.XLOOKUP($A260,'Raw Data'!$G:$G,'Raw Data'!AE:AE)*(1+(_xlfn.XLOOKUP(Table13[[#This Row],[Month Year]],JMR!$A:$A,JMR!$J:$J))),"")</f>
        <v/>
      </c>
      <c r="AB260" s="17">
        <f>_xlfn.XLOOKUP($D260,'Modelling New'!D:D,'Modelling New'!N:N)</f>
        <v>10.507</v>
      </c>
      <c r="AC260" s="24">
        <f>IFERROR(_xlfn.XLOOKUP($D260,'Modelling New'!$D:$D,'Modelling New'!P:P),"")</f>
        <v>5.671045235483871</v>
      </c>
      <c r="AD260" s="38">
        <f>IFERROR(_xlfn.XLOOKUP($D260,'Modelling New'!$D:$D,'Modelling New'!T:T)*1000,"")</f>
        <v>43169.874244195649</v>
      </c>
      <c r="AE260" s="164">
        <f t="shared" si="24"/>
        <v>0.72450091751334023</v>
      </c>
      <c r="AF260" s="164">
        <f>IFERROR(_xlfn.XLOOKUP($D260,'Modelling New'!$D:$D,'Modelling New'!W:W),"")</f>
        <v>0.17119489484865505</v>
      </c>
      <c r="AG260" s="164">
        <f>IFERROR(_xlfn.XLOOKUP($D260,'Modelling New'!$D:$D,'Modelling New'!AD:AD),"")</f>
        <v>0.995</v>
      </c>
      <c r="AH260" s="164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64"/>
      <c r="AO260" s="164"/>
      <c r="AP260" s="164"/>
      <c r="AQ260" s="164"/>
      <c r="AR260" s="38">
        <f>IFERROR(_xlfn.XLOOKUP($D260,'Modelling New'!$D:$D,'Modelling New'!$N:$N),"")</f>
        <v>10.507</v>
      </c>
      <c r="AS260" s="38"/>
      <c r="AT260" s="38" t="str">
        <f>IFERROR(_xlfn.XLOOKUP(Table13[[#This Row],[Date]],'Raw Data'!$G:$G,'Raw Data'!$AJ:$AJ),"")</f>
        <v/>
      </c>
      <c r="AU260" s="38">
        <f>IFERROR(_xlfn.XLOOKUP(Table13[[#This Row],[Month Year]],'Modelling New'!$D:$D,'Modelling New'!$AN:$AN),"")</f>
        <v>10</v>
      </c>
      <c r="AV260" s="38">
        <f>SUMIF('Curtailment records'!$C:$C,Table13[[#This Row],[Date]],'Curtailment records'!$R:$R)/1000</f>
        <v>0</v>
      </c>
    </row>
    <row r="261" spans="1:48">
      <c r="A261" s="66">
        <f t="shared" si="20"/>
        <v>46004</v>
      </c>
      <c r="B261" s="38">
        <f>YEAR(Table13[[#This Row],[Date]])+IF(MONTH(Table13[[#This Row],[Date]])&gt;=4,1,0)</f>
        <v>2026</v>
      </c>
      <c r="C261" s="17">
        <f>YEAR(Table13[[#This Row],[Date]])</f>
        <v>2025</v>
      </c>
      <c r="D261" s="37">
        <f>Table13[[#This Row],[Date]]-DAY(Table13[[#This Row],[Date]])+1</f>
        <v>45992</v>
      </c>
      <c r="E261" s="17">
        <f t="shared" si="21"/>
        <v>31</v>
      </c>
      <c r="F261" s="135" t="str" cm="1">
        <f t="array" ref="F261">IFERROR(_xlfn.XLOOKUP(Table13[[#This Row],[Date]],Raw_Data[[#All],[Date]],Raw_Data[[#All],[Operating Hours]]),"")</f>
        <v/>
      </c>
      <c r="G261" s="136" t="str">
        <f>IFERROR(_xlfn.XLOOKUP($A261,'Raw Data'!$G:$G,'Raw Data'!S:S)/1000,"")</f>
        <v/>
      </c>
      <c r="H261" s="136"/>
      <c r="I261" s="136" t="str">
        <f>IFERROR(_xlfn.XLOOKUP($A261,'Raw Data'!$G:$G,'Raw Data'!AF:AF)/1000,"")</f>
        <v/>
      </c>
      <c r="J261" s="136"/>
      <c r="K261" s="137" t="str">
        <f>IFERROR(_xlfn.XLOOKUP($A261,'Raw Data'!$G:$G,'Raw Data'!W:W),"")</f>
        <v/>
      </c>
      <c r="L261" s="136" t="str">
        <f>IFERROR(_xlfn.XLOOKUP($A261,'Raw Data'!$G:$G,'Raw Data'!X:X),"")</f>
        <v/>
      </c>
      <c r="M261" s="136" t="str">
        <f>IFERROR(_xlfn.XLOOKUP($A261,'Raw Data'!$G:$G,'Raw Data'!Y:Y),"")</f>
        <v/>
      </c>
      <c r="N261" s="136" t="str">
        <f>IFERROR(_xlfn.XLOOKUP($A261,'Raw Data'!$G:$G,'Raw Data'!Z:Z),"")</f>
        <v/>
      </c>
      <c r="O261" s="176" t="str">
        <f>IFERROR(1-SUMIF('Plant BD'!$B:$B,$A261,'Plant BD'!$AM:$AM)/($AA261+SUMIF('Plant BD'!$B:$B,$A261,'Plant BD'!$AM:$AM)),"")</f>
        <v/>
      </c>
      <c r="P261" s="176"/>
      <c r="Q261" s="177"/>
      <c r="R261" s="176" t="str">
        <f>IFERROR(1-SUMIF('Grid BD'!$B:$B,$A261,'Grid BD'!$AE:$AE)/($AA261+SUMIF('Grid BD'!$B:$B,$A261,'Grid BD'!$AE:$AE)),"")</f>
        <v/>
      </c>
      <c r="S261" s="17"/>
      <c r="T261" s="177" t="str">
        <f>IFERROR(1-SUMIF(Tracker_BD!H:H,$A261,Tracker_BD!AI:AI)/$F261,"")</f>
        <v/>
      </c>
      <c r="U261" s="178" t="str">
        <f t="shared" si="22"/>
        <v/>
      </c>
      <c r="V261" s="17"/>
      <c r="W261" s="164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38" t="str">
        <f>IFERROR(_xlfn.XLOOKUP($A261,'Raw Data'!$G:$G,'Raw Data'!AD:AD),"")</f>
        <v/>
      </c>
      <c r="AA261" s="38" t="str">
        <f>IFERROR(_xlfn.XLOOKUP($A261,'Raw Data'!$G:$G,'Raw Data'!AE:AE)*(1+(_xlfn.XLOOKUP(Table13[[#This Row],[Month Year]],JMR!$A:$A,JMR!$J:$J))),"")</f>
        <v/>
      </c>
      <c r="AB261" s="17">
        <f>_xlfn.XLOOKUP($D261,'Modelling New'!D:D,'Modelling New'!N:N)</f>
        <v>10.507</v>
      </c>
      <c r="AC261" s="24">
        <f>IFERROR(_xlfn.XLOOKUP($D261,'Modelling New'!$D:$D,'Modelling New'!P:P),"")</f>
        <v>5.671045235483871</v>
      </c>
      <c r="AD261" s="38">
        <f>IFERROR(_xlfn.XLOOKUP($D261,'Modelling New'!$D:$D,'Modelling New'!T:T)*1000,"")</f>
        <v>43169.874244195649</v>
      </c>
      <c r="AE261" s="164">
        <f t="shared" si="24"/>
        <v>0.72450091751334023</v>
      </c>
      <c r="AF261" s="164">
        <f>IFERROR(_xlfn.XLOOKUP($D261,'Modelling New'!$D:$D,'Modelling New'!W:W),"")</f>
        <v>0.17119489484865505</v>
      </c>
      <c r="AG261" s="164">
        <f>IFERROR(_xlfn.XLOOKUP($D261,'Modelling New'!$D:$D,'Modelling New'!AD:AD),"")</f>
        <v>0.995</v>
      </c>
      <c r="AH261" s="164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64"/>
      <c r="AO261" s="164"/>
      <c r="AP261" s="164"/>
      <c r="AQ261" s="164"/>
      <c r="AR261" s="38">
        <f>IFERROR(_xlfn.XLOOKUP($D261,'Modelling New'!$D:$D,'Modelling New'!$N:$N),"")</f>
        <v>10.507</v>
      </c>
      <c r="AS261" s="38"/>
      <c r="AT261" s="38" t="str">
        <f>IFERROR(_xlfn.XLOOKUP(Table13[[#This Row],[Date]],'Raw Data'!$G:$G,'Raw Data'!$AJ:$AJ),"")</f>
        <v/>
      </c>
      <c r="AU261" s="38">
        <f>IFERROR(_xlfn.XLOOKUP(Table13[[#This Row],[Month Year]],'Modelling New'!$D:$D,'Modelling New'!$AN:$AN),"")</f>
        <v>10</v>
      </c>
      <c r="AV261" s="38">
        <f>SUMIF('Curtailment records'!$C:$C,Table13[[#This Row],[Date]],'Curtailment records'!$R:$R)/1000</f>
        <v>0</v>
      </c>
    </row>
    <row r="262" spans="1:48">
      <c r="A262" s="66">
        <f t="shared" ref="A262:A279" si="25">A261+1</f>
        <v>46005</v>
      </c>
      <c r="B262" s="38">
        <f>YEAR(Table13[[#This Row],[Date]])+IF(MONTH(Table13[[#This Row],[Date]])&gt;=4,1,0)</f>
        <v>2026</v>
      </c>
      <c r="C262" s="17">
        <f>YEAR(Table13[[#This Row],[Date]])</f>
        <v>2025</v>
      </c>
      <c r="D262" s="37">
        <f>Table13[[#This Row],[Date]]-DAY(Table13[[#This Row],[Date]])+1</f>
        <v>45992</v>
      </c>
      <c r="E262" s="17">
        <f t="shared" ref="E262:E279" si="26">DAY(EOMONTH(A262,0))</f>
        <v>31</v>
      </c>
      <c r="F262" s="135" t="str" cm="1">
        <f t="array" ref="F262">IFERROR(_xlfn.XLOOKUP(Table13[[#This Row],[Date]],Raw_Data[[#All],[Date]],Raw_Data[[#All],[Operating Hours]]),"")</f>
        <v/>
      </c>
      <c r="G262" s="24" t="str">
        <f>IFERROR(_xlfn.XLOOKUP($A262,'Raw Data'!$G:$G,'Raw Data'!S:S)/1000,"")</f>
        <v/>
      </c>
      <c r="H262" s="24"/>
      <c r="I262" s="24" t="str">
        <f>IFERROR(_xlfn.XLOOKUP($A262,'Raw Data'!$G:$G,'Raw Data'!AF:AF)/1000,"")</f>
        <v/>
      </c>
      <c r="J262" s="24"/>
      <c r="K262" s="137" t="str">
        <f>IFERROR(_xlfn.XLOOKUP($A262,'Raw Data'!$G:$G,'Raw Data'!W:W),"")</f>
        <v/>
      </c>
      <c r="L262" s="136" t="str">
        <f>IFERROR(_xlfn.XLOOKUP($A262,'Raw Data'!$G:$G,'Raw Data'!X:X),"")</f>
        <v/>
      </c>
      <c r="M262" s="136" t="str">
        <f>IFERROR(_xlfn.XLOOKUP($A262,'Raw Data'!$G:$G,'Raw Data'!Y:Y),"")</f>
        <v/>
      </c>
      <c r="N262" s="136" t="str">
        <f>IFERROR(_xlfn.XLOOKUP($A262,'Raw Data'!$G:$G,'Raw Data'!Z:Z),"")</f>
        <v/>
      </c>
      <c r="O262" s="176" t="str">
        <f>IFERROR(1-SUMIF('Plant BD'!$B:$B,$A262,'Plant BD'!$AM:$AM)/($AA262+SUMIF('Plant BD'!$B:$B,$A262,'Plant BD'!$AM:$AM)),"")</f>
        <v/>
      </c>
      <c r="P262" s="176"/>
      <c r="Q262" s="177"/>
      <c r="R262" s="179" t="str">
        <f>IFERROR(1-SUMIF('Grid BD'!$B:$B,$A262,'Grid BD'!$AE:$AE)/($AA262+SUMIF('Grid BD'!$B:$B,$A262,'Grid BD'!$AE:$AE)),"")</f>
        <v/>
      </c>
      <c r="S262" s="17"/>
      <c r="T262" s="177" t="str">
        <f>IFERROR(1-SUMIF(Tracker_BD!H:H,$A262,Tracker_BD!AI:AI)/$F262,"")</f>
        <v/>
      </c>
      <c r="U262" s="178" t="str">
        <f t="shared" si="22"/>
        <v/>
      </c>
      <c r="V262" s="17"/>
      <c r="W262" s="164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38" t="str">
        <f>IFERROR(_xlfn.XLOOKUP($A262,'Raw Data'!$G:$G,'Raw Data'!AD:AD),"")</f>
        <v/>
      </c>
      <c r="AA262" s="38" t="str">
        <f>IFERROR(_xlfn.XLOOKUP($A262,'Raw Data'!$G:$G,'Raw Data'!AE:AE)*(1+(_xlfn.XLOOKUP(Table13[[#This Row],[Month Year]],JMR!$A:$A,JMR!$J:$J))),"")</f>
        <v/>
      </c>
      <c r="AB262" s="17">
        <f>_xlfn.XLOOKUP($D262,'Modelling New'!D:D,'Modelling New'!N:N)</f>
        <v>10.507</v>
      </c>
      <c r="AC262" s="24">
        <f>IFERROR(_xlfn.XLOOKUP($D262,'Modelling New'!$D:$D,'Modelling New'!P:P),"")</f>
        <v>5.671045235483871</v>
      </c>
      <c r="AD262" s="38">
        <f>IFERROR(_xlfn.XLOOKUP($D262,'Modelling New'!$D:$D,'Modelling New'!T:T)*1000,"")</f>
        <v>43169.874244195649</v>
      </c>
      <c r="AE262" s="164">
        <f t="shared" si="24"/>
        <v>0.72450091751334023</v>
      </c>
      <c r="AF262" s="164">
        <f>IFERROR(_xlfn.XLOOKUP($D262,'Modelling New'!$D:$D,'Modelling New'!W:W),"")</f>
        <v>0.17119489484865505</v>
      </c>
      <c r="AG262" s="164">
        <f>IFERROR(_xlfn.XLOOKUP($D262,'Modelling New'!$D:$D,'Modelling New'!AD:AD),"")</f>
        <v>0.995</v>
      </c>
      <c r="AH262" s="164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64"/>
      <c r="AO262" s="164"/>
      <c r="AP262" s="164"/>
      <c r="AQ262" s="164"/>
      <c r="AR262" s="38">
        <f>IFERROR(_xlfn.XLOOKUP($D262,'Modelling New'!$D:$D,'Modelling New'!$N:$N),"")</f>
        <v>10.507</v>
      </c>
      <c r="AS262" s="38"/>
      <c r="AT262" s="38" t="str">
        <f>IFERROR(_xlfn.XLOOKUP(Table13[[#This Row],[Date]],'Raw Data'!$G:$G,'Raw Data'!$AJ:$AJ),"")</f>
        <v/>
      </c>
      <c r="AU262" s="38">
        <f>IFERROR(_xlfn.XLOOKUP(Table13[[#This Row],[Month Year]],'Modelling New'!$D:$D,'Modelling New'!$AN:$AN),"")</f>
        <v>10</v>
      </c>
      <c r="AV262" s="38">
        <f>SUMIF('Curtailment records'!$C:$C,Table13[[#This Row],[Date]],'Curtailment records'!$R:$R)/1000</f>
        <v>0</v>
      </c>
    </row>
    <row r="263" spans="1:48">
      <c r="A263" s="66">
        <f t="shared" si="25"/>
        <v>46006</v>
      </c>
      <c r="B263" s="38">
        <f>YEAR(Table13[[#This Row],[Date]])+IF(MONTH(Table13[[#This Row],[Date]])&gt;=4,1,0)</f>
        <v>2026</v>
      </c>
      <c r="C263" s="17">
        <f>YEAR(Table13[[#This Row],[Date]])</f>
        <v>2025</v>
      </c>
      <c r="D263" s="37">
        <f>Table13[[#This Row],[Date]]-DAY(Table13[[#This Row],[Date]])+1</f>
        <v>45992</v>
      </c>
      <c r="E263" s="17">
        <f t="shared" si="26"/>
        <v>31</v>
      </c>
      <c r="F263" s="135" t="str" cm="1">
        <f t="array" ref="F263">IFERROR(_xlfn.XLOOKUP(Table13[[#This Row],[Date]],Raw_Data[[#All],[Date]],Raw_Data[[#All],[Operating Hours]]),"")</f>
        <v/>
      </c>
      <c r="G263" s="136" t="str">
        <f>IFERROR(_xlfn.XLOOKUP($A263,'Raw Data'!$G:$G,'Raw Data'!S:S)/1000,"")</f>
        <v/>
      </c>
      <c r="H263" s="136"/>
      <c r="I263" s="136" t="str">
        <f>IFERROR(_xlfn.XLOOKUP($A263,'Raw Data'!$G:$G,'Raw Data'!AF:AF)/1000,"")</f>
        <v/>
      </c>
      <c r="J263" s="136"/>
      <c r="K263" s="137" t="str">
        <f>IFERROR(_xlfn.XLOOKUP($A263,'Raw Data'!$G:$G,'Raw Data'!W:W),"")</f>
        <v/>
      </c>
      <c r="L263" s="136" t="str">
        <f>IFERROR(_xlfn.XLOOKUP($A263,'Raw Data'!$G:$G,'Raw Data'!X:X),"")</f>
        <v/>
      </c>
      <c r="M263" s="136" t="str">
        <f>IFERROR(_xlfn.XLOOKUP($A263,'Raw Data'!$G:$G,'Raw Data'!Y:Y),"")</f>
        <v/>
      </c>
      <c r="N263" s="136" t="str">
        <f>IFERROR(_xlfn.XLOOKUP($A263,'Raw Data'!$G:$G,'Raw Data'!Z:Z),"")</f>
        <v/>
      </c>
      <c r="O263" s="176" t="str">
        <f>IFERROR(1-SUMIF('Plant BD'!$B:$B,$A263,'Plant BD'!$AM:$AM)/($AA263+SUMIF('Plant BD'!$B:$B,$A263,'Plant BD'!$AM:$AM)),"")</f>
        <v/>
      </c>
      <c r="P263" s="176"/>
      <c r="Q263" s="177"/>
      <c r="R263" s="176" t="str">
        <f>IFERROR(1-SUMIF('Grid BD'!$B:$B,$A263,'Grid BD'!$AE:$AE)/($AA263+SUMIF('Grid BD'!$B:$B,$A263,'Grid BD'!$AE:$AE)),"")</f>
        <v/>
      </c>
      <c r="S263" s="17"/>
      <c r="T263" s="177" t="str">
        <f>IFERROR(1-SUMIF(Tracker_BD!H:H,$A263,Tracker_BD!AI:AI)/$F263,"")</f>
        <v/>
      </c>
      <c r="U263" s="178" t="str">
        <f t="shared" si="22"/>
        <v/>
      </c>
      <c r="V263" s="17"/>
      <c r="W263" s="164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38" t="str">
        <f>IFERROR(_xlfn.XLOOKUP($A263,'Raw Data'!$G:$G,'Raw Data'!AD:AD),"")</f>
        <v/>
      </c>
      <c r="AA263" s="38" t="str">
        <f>IFERROR(_xlfn.XLOOKUP($A263,'Raw Data'!$G:$G,'Raw Data'!AE:AE)*(1+(_xlfn.XLOOKUP(Table13[[#This Row],[Month Year]],JMR!$A:$A,JMR!$J:$J))),"")</f>
        <v/>
      </c>
      <c r="AB263" s="17">
        <f>_xlfn.XLOOKUP($D263,'Modelling New'!D:D,'Modelling New'!N:N)</f>
        <v>10.507</v>
      </c>
      <c r="AC263" s="24">
        <f>IFERROR(_xlfn.XLOOKUP($D263,'Modelling New'!$D:$D,'Modelling New'!P:P),"")</f>
        <v>5.671045235483871</v>
      </c>
      <c r="AD263" s="38">
        <f>IFERROR(_xlfn.XLOOKUP($D263,'Modelling New'!$D:$D,'Modelling New'!T:T)*1000,"")</f>
        <v>43169.874244195649</v>
      </c>
      <c r="AE263" s="164">
        <f t="shared" si="24"/>
        <v>0.72450091751334023</v>
      </c>
      <c r="AF263" s="164">
        <f>IFERROR(_xlfn.XLOOKUP($D263,'Modelling New'!$D:$D,'Modelling New'!W:W),"")</f>
        <v>0.17119489484865505</v>
      </c>
      <c r="AG263" s="164">
        <f>IFERROR(_xlfn.XLOOKUP($D263,'Modelling New'!$D:$D,'Modelling New'!AD:AD),"")</f>
        <v>0.995</v>
      </c>
      <c r="AH263" s="164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64"/>
      <c r="AO263" s="164"/>
      <c r="AP263" s="164"/>
      <c r="AQ263" s="164"/>
      <c r="AR263" s="38">
        <f>IFERROR(_xlfn.XLOOKUP($D263,'Modelling New'!$D:$D,'Modelling New'!$N:$N),"")</f>
        <v>10.507</v>
      </c>
      <c r="AS263" s="38"/>
      <c r="AT263" s="38" t="str">
        <f>IFERROR(_xlfn.XLOOKUP(Table13[[#This Row],[Date]],'Raw Data'!$G:$G,'Raw Data'!$AJ:$AJ),"")</f>
        <v/>
      </c>
      <c r="AU263" s="38">
        <f>IFERROR(_xlfn.XLOOKUP(Table13[[#This Row],[Month Year]],'Modelling New'!$D:$D,'Modelling New'!$AN:$AN),"")</f>
        <v>10</v>
      </c>
      <c r="AV263" s="38">
        <f>SUMIF('Curtailment records'!$C:$C,Table13[[#This Row],[Date]],'Curtailment records'!$R:$R)/1000</f>
        <v>0</v>
      </c>
    </row>
    <row r="264" spans="1:48">
      <c r="A264" s="66">
        <f t="shared" si="25"/>
        <v>46007</v>
      </c>
      <c r="B264" s="38">
        <f>YEAR(Table13[[#This Row],[Date]])+IF(MONTH(Table13[[#This Row],[Date]])&gt;=4,1,0)</f>
        <v>2026</v>
      </c>
      <c r="C264" s="17">
        <f>YEAR(Table13[[#This Row],[Date]])</f>
        <v>2025</v>
      </c>
      <c r="D264" s="37">
        <f>Table13[[#This Row],[Date]]-DAY(Table13[[#This Row],[Date]])+1</f>
        <v>45992</v>
      </c>
      <c r="E264" s="17">
        <f t="shared" si="26"/>
        <v>31</v>
      </c>
      <c r="F264" s="135" t="str" cm="1">
        <f t="array" ref="F264">IFERROR(_xlfn.XLOOKUP(Table13[[#This Row],[Date]],Raw_Data[[#All],[Date]],Raw_Data[[#All],[Operating Hours]]),"")</f>
        <v/>
      </c>
      <c r="G264" s="24" t="str">
        <f>IFERROR(_xlfn.XLOOKUP($A264,'Raw Data'!$G:$G,'Raw Data'!S:S)/1000,"")</f>
        <v/>
      </c>
      <c r="H264" s="24"/>
      <c r="I264" s="24" t="str">
        <f>IFERROR(_xlfn.XLOOKUP($A264,'Raw Data'!$G:$G,'Raw Data'!AF:AF)/1000,"")</f>
        <v/>
      </c>
      <c r="J264" s="24"/>
      <c r="K264" s="137" t="str">
        <f>IFERROR(_xlfn.XLOOKUP($A264,'Raw Data'!$G:$G,'Raw Data'!W:W),"")</f>
        <v/>
      </c>
      <c r="L264" s="136" t="str">
        <f>IFERROR(_xlfn.XLOOKUP($A264,'Raw Data'!$G:$G,'Raw Data'!X:X),"")</f>
        <v/>
      </c>
      <c r="M264" s="136" t="str">
        <f>IFERROR(_xlfn.XLOOKUP($A264,'Raw Data'!$G:$G,'Raw Data'!Y:Y),"")</f>
        <v/>
      </c>
      <c r="N264" s="136" t="str">
        <f>IFERROR(_xlfn.XLOOKUP($A264,'Raw Data'!$G:$G,'Raw Data'!Z:Z),"")</f>
        <v/>
      </c>
      <c r="O264" s="176" t="str">
        <f>IFERROR(1-SUMIF('Plant BD'!$B:$B,$A264,'Plant BD'!$AM:$AM)/($AA264+SUMIF('Plant BD'!$B:$B,$A264,'Plant BD'!$AM:$AM)),"")</f>
        <v/>
      </c>
      <c r="P264" s="176"/>
      <c r="Q264" s="177"/>
      <c r="R264" s="179" t="str">
        <f>IFERROR(1-SUMIF('Grid BD'!$B:$B,$A264,'Grid BD'!$AE:$AE)/($AA264+SUMIF('Grid BD'!$B:$B,$A264,'Grid BD'!$AE:$AE)),"")</f>
        <v/>
      </c>
      <c r="S264" s="17"/>
      <c r="T264" s="177" t="str">
        <f>IFERROR(1-SUMIF(Tracker_BD!H:H,$A264,Tracker_BD!AI:AI)/$F264,"")</f>
        <v/>
      </c>
      <c r="U264" s="178" t="str">
        <f t="shared" si="22"/>
        <v/>
      </c>
      <c r="V264" s="17"/>
      <c r="W264" s="164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38" t="str">
        <f>IFERROR(_xlfn.XLOOKUP($A264,'Raw Data'!$G:$G,'Raw Data'!AD:AD),"")</f>
        <v/>
      </c>
      <c r="AA264" s="38" t="str">
        <f>IFERROR(_xlfn.XLOOKUP($A264,'Raw Data'!$G:$G,'Raw Data'!AE:AE)*(1+(_xlfn.XLOOKUP(Table13[[#This Row],[Month Year]],JMR!$A:$A,JMR!$J:$J))),"")</f>
        <v/>
      </c>
      <c r="AB264" s="17">
        <f>_xlfn.XLOOKUP($D264,'Modelling New'!D:D,'Modelling New'!N:N)</f>
        <v>10.507</v>
      </c>
      <c r="AC264" s="24">
        <f>IFERROR(_xlfn.XLOOKUP($D264,'Modelling New'!$D:$D,'Modelling New'!P:P),"")</f>
        <v>5.671045235483871</v>
      </c>
      <c r="AD264" s="38">
        <f>IFERROR(_xlfn.XLOOKUP($D264,'Modelling New'!$D:$D,'Modelling New'!T:T)*1000,"")</f>
        <v>43169.874244195649</v>
      </c>
      <c r="AE264" s="164">
        <f t="shared" si="24"/>
        <v>0.72450091751334023</v>
      </c>
      <c r="AF264" s="164">
        <f>IFERROR(_xlfn.XLOOKUP($D264,'Modelling New'!$D:$D,'Modelling New'!W:W),"")</f>
        <v>0.17119489484865505</v>
      </c>
      <c r="AG264" s="164">
        <f>IFERROR(_xlfn.XLOOKUP($D264,'Modelling New'!$D:$D,'Modelling New'!AD:AD),"")</f>
        <v>0.995</v>
      </c>
      <c r="AH264" s="164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64"/>
      <c r="AO264" s="164"/>
      <c r="AP264" s="164"/>
      <c r="AQ264" s="164"/>
      <c r="AR264" s="38">
        <f>IFERROR(_xlfn.XLOOKUP($D264,'Modelling New'!$D:$D,'Modelling New'!$N:$N),"")</f>
        <v>10.507</v>
      </c>
      <c r="AS264" s="38"/>
      <c r="AT264" s="38" t="str">
        <f>IFERROR(_xlfn.XLOOKUP(Table13[[#This Row],[Date]],'Raw Data'!$G:$G,'Raw Data'!$AJ:$AJ),"")</f>
        <v/>
      </c>
      <c r="AU264" s="38">
        <f>IFERROR(_xlfn.XLOOKUP(Table13[[#This Row],[Month Year]],'Modelling New'!$D:$D,'Modelling New'!$AN:$AN),"")</f>
        <v>10</v>
      </c>
      <c r="AV264" s="38">
        <f>SUMIF('Curtailment records'!$C:$C,Table13[[#This Row],[Date]],'Curtailment records'!$R:$R)/1000</f>
        <v>0</v>
      </c>
    </row>
    <row r="265" spans="1:48">
      <c r="A265" s="66">
        <f t="shared" si="25"/>
        <v>46008</v>
      </c>
      <c r="B265" s="38">
        <f>YEAR(Table13[[#This Row],[Date]])+IF(MONTH(Table13[[#This Row],[Date]])&gt;=4,1,0)</f>
        <v>2026</v>
      </c>
      <c r="C265" s="17">
        <f>YEAR(Table13[[#This Row],[Date]])</f>
        <v>2025</v>
      </c>
      <c r="D265" s="37">
        <f>Table13[[#This Row],[Date]]-DAY(Table13[[#This Row],[Date]])+1</f>
        <v>45992</v>
      </c>
      <c r="E265" s="17">
        <f t="shared" si="26"/>
        <v>31</v>
      </c>
      <c r="F265" s="135" t="str" cm="1">
        <f t="array" ref="F265">IFERROR(_xlfn.XLOOKUP(Table13[[#This Row],[Date]],Raw_Data[[#All],[Date]],Raw_Data[[#All],[Operating Hours]]),"")</f>
        <v/>
      </c>
      <c r="G265" s="136" t="str">
        <f>IFERROR(_xlfn.XLOOKUP($A265,'Raw Data'!$G:$G,'Raw Data'!S:S)/1000,"")</f>
        <v/>
      </c>
      <c r="H265" s="136"/>
      <c r="I265" s="136" t="str">
        <f>IFERROR(_xlfn.XLOOKUP($A265,'Raw Data'!$G:$G,'Raw Data'!AF:AF)/1000,"")</f>
        <v/>
      </c>
      <c r="J265" s="136"/>
      <c r="K265" s="137" t="str">
        <f>IFERROR(_xlfn.XLOOKUP($A265,'Raw Data'!$G:$G,'Raw Data'!W:W),"")</f>
        <v/>
      </c>
      <c r="L265" s="136" t="str">
        <f>IFERROR(_xlfn.XLOOKUP($A265,'Raw Data'!$G:$G,'Raw Data'!X:X),"")</f>
        <v/>
      </c>
      <c r="M265" s="136" t="str">
        <f>IFERROR(_xlfn.XLOOKUP($A265,'Raw Data'!$G:$G,'Raw Data'!Y:Y),"")</f>
        <v/>
      </c>
      <c r="N265" s="136" t="str">
        <f>IFERROR(_xlfn.XLOOKUP($A265,'Raw Data'!$G:$G,'Raw Data'!Z:Z),"")</f>
        <v/>
      </c>
      <c r="O265" s="176" t="str">
        <f>IFERROR(1-SUMIF('Plant BD'!$B:$B,$A265,'Plant BD'!$AM:$AM)/($AA265+SUMIF('Plant BD'!$B:$B,$A265,'Plant BD'!$AM:$AM)),"")</f>
        <v/>
      </c>
      <c r="P265" s="176"/>
      <c r="Q265" s="177"/>
      <c r="R265" s="176" t="str">
        <f>IFERROR(1-SUMIF('Grid BD'!$B:$B,$A265,'Grid BD'!$AE:$AE)/($AA265+SUMIF('Grid BD'!$B:$B,$A265,'Grid BD'!$AE:$AE)),"")</f>
        <v/>
      </c>
      <c r="S265" s="17"/>
      <c r="T265" s="177" t="str">
        <f>IFERROR(1-SUMIF(Tracker_BD!H:H,$A265,Tracker_BD!AI:AI)/$F265,"")</f>
        <v/>
      </c>
      <c r="U265" s="178" t="str">
        <f t="shared" si="22"/>
        <v/>
      </c>
      <c r="V265" s="17"/>
      <c r="W265" s="164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38" t="str">
        <f>IFERROR(_xlfn.XLOOKUP($A265,'Raw Data'!$G:$G,'Raw Data'!AD:AD),"")</f>
        <v/>
      </c>
      <c r="AA265" s="38" t="str">
        <f>IFERROR(_xlfn.XLOOKUP($A265,'Raw Data'!$G:$G,'Raw Data'!AE:AE)*(1+(_xlfn.XLOOKUP(Table13[[#This Row],[Month Year]],JMR!$A:$A,JMR!$J:$J))),"")</f>
        <v/>
      </c>
      <c r="AB265" s="17">
        <f>_xlfn.XLOOKUP($D265,'Modelling New'!D:D,'Modelling New'!N:N)</f>
        <v>10.507</v>
      </c>
      <c r="AC265" s="24">
        <f>IFERROR(_xlfn.XLOOKUP($D265,'Modelling New'!$D:$D,'Modelling New'!P:P),"")</f>
        <v>5.671045235483871</v>
      </c>
      <c r="AD265" s="38">
        <f>IFERROR(_xlfn.XLOOKUP($D265,'Modelling New'!$D:$D,'Modelling New'!T:T)*1000,"")</f>
        <v>43169.874244195649</v>
      </c>
      <c r="AE265" s="164">
        <f t="shared" si="24"/>
        <v>0.72450091751334023</v>
      </c>
      <c r="AF265" s="164">
        <f>IFERROR(_xlfn.XLOOKUP($D265,'Modelling New'!$D:$D,'Modelling New'!W:W),"")</f>
        <v>0.17119489484865505</v>
      </c>
      <c r="AG265" s="164">
        <f>IFERROR(_xlfn.XLOOKUP($D265,'Modelling New'!$D:$D,'Modelling New'!AD:AD),"")</f>
        <v>0.995</v>
      </c>
      <c r="AH265" s="164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64"/>
      <c r="AO265" s="164"/>
      <c r="AP265" s="164"/>
      <c r="AQ265" s="164"/>
      <c r="AR265" s="38">
        <f>IFERROR(_xlfn.XLOOKUP($D265,'Modelling New'!$D:$D,'Modelling New'!$N:$N),"")</f>
        <v>10.507</v>
      </c>
      <c r="AS265" s="38"/>
      <c r="AT265" s="38" t="str">
        <f>IFERROR(_xlfn.XLOOKUP(Table13[[#This Row],[Date]],'Raw Data'!$G:$G,'Raw Data'!$AJ:$AJ),"")</f>
        <v/>
      </c>
      <c r="AU265" s="38">
        <f>IFERROR(_xlfn.XLOOKUP(Table13[[#This Row],[Month Year]],'Modelling New'!$D:$D,'Modelling New'!$AN:$AN),"")</f>
        <v>10</v>
      </c>
      <c r="AV265" s="38">
        <f>SUMIF('Curtailment records'!$C:$C,Table13[[#This Row],[Date]],'Curtailment records'!$R:$R)/1000</f>
        <v>0</v>
      </c>
    </row>
    <row r="266" spans="1:48">
      <c r="A266" s="66">
        <f t="shared" si="25"/>
        <v>46009</v>
      </c>
      <c r="B266" s="38">
        <f>YEAR(Table13[[#This Row],[Date]])+IF(MONTH(Table13[[#This Row],[Date]])&gt;=4,1,0)</f>
        <v>2026</v>
      </c>
      <c r="C266" s="17">
        <f>YEAR(Table13[[#This Row],[Date]])</f>
        <v>2025</v>
      </c>
      <c r="D266" s="37">
        <f>Table13[[#This Row],[Date]]-DAY(Table13[[#This Row],[Date]])+1</f>
        <v>45992</v>
      </c>
      <c r="E266" s="17">
        <f t="shared" si="26"/>
        <v>31</v>
      </c>
      <c r="F266" s="135" t="str" cm="1">
        <f t="array" ref="F266">IFERROR(_xlfn.XLOOKUP(Table13[[#This Row],[Date]],Raw_Data[[#All],[Date]],Raw_Data[[#All],[Operating Hours]]),"")</f>
        <v/>
      </c>
      <c r="G266" s="24" t="str">
        <f>IFERROR(_xlfn.XLOOKUP($A266,'Raw Data'!$G:$G,'Raw Data'!S:S)/1000,"")</f>
        <v/>
      </c>
      <c r="H266" s="24"/>
      <c r="I266" s="24" t="str">
        <f>IFERROR(_xlfn.XLOOKUP($A266,'Raw Data'!$G:$G,'Raw Data'!AF:AF)/1000,"")</f>
        <v/>
      </c>
      <c r="J266" s="24"/>
      <c r="K266" s="137" t="str">
        <f>IFERROR(_xlfn.XLOOKUP($A266,'Raw Data'!$G:$G,'Raw Data'!W:W),"")</f>
        <v/>
      </c>
      <c r="L266" s="136" t="str">
        <f>IFERROR(_xlfn.XLOOKUP($A266,'Raw Data'!$G:$G,'Raw Data'!X:X),"")</f>
        <v/>
      </c>
      <c r="M266" s="136" t="str">
        <f>IFERROR(_xlfn.XLOOKUP($A266,'Raw Data'!$G:$G,'Raw Data'!Y:Y),"")</f>
        <v/>
      </c>
      <c r="N266" s="136" t="str">
        <f>IFERROR(_xlfn.XLOOKUP($A266,'Raw Data'!$G:$G,'Raw Data'!Z:Z),"")</f>
        <v/>
      </c>
      <c r="O266" s="176" t="str">
        <f>IFERROR(1-SUMIF('Plant BD'!$B:$B,$A266,'Plant BD'!$AM:$AM)/($AA266+SUMIF('Plant BD'!$B:$B,$A266,'Plant BD'!$AM:$AM)),"")</f>
        <v/>
      </c>
      <c r="P266" s="176"/>
      <c r="Q266" s="177"/>
      <c r="R266" s="179" t="str">
        <f>IFERROR(1-SUMIF('Grid BD'!$B:$B,$A266,'Grid BD'!$AE:$AE)/($AA266+SUMIF('Grid BD'!$B:$B,$A266,'Grid BD'!$AE:$AE)),"")</f>
        <v/>
      </c>
      <c r="S266" s="17"/>
      <c r="T266" s="177" t="str">
        <f>IFERROR(1-SUMIF(Tracker_BD!H:H,$A266,Tracker_BD!AI:AI)/$F266,"")</f>
        <v/>
      </c>
      <c r="U266" s="178" t="str">
        <f t="shared" si="22"/>
        <v/>
      </c>
      <c r="V266" s="17"/>
      <c r="W266" s="164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38" t="str">
        <f>IFERROR(_xlfn.XLOOKUP($A266,'Raw Data'!$G:$G,'Raw Data'!AD:AD),"")</f>
        <v/>
      </c>
      <c r="AA266" s="38" t="str">
        <f>IFERROR(_xlfn.XLOOKUP($A266,'Raw Data'!$G:$G,'Raw Data'!AE:AE)*(1+(_xlfn.XLOOKUP(Table13[[#This Row],[Month Year]],JMR!$A:$A,JMR!$J:$J))),"")</f>
        <v/>
      </c>
      <c r="AB266" s="17">
        <f>_xlfn.XLOOKUP($D266,'Modelling New'!D:D,'Modelling New'!N:N)</f>
        <v>10.507</v>
      </c>
      <c r="AC266" s="24">
        <f>IFERROR(_xlfn.XLOOKUP($D266,'Modelling New'!$D:$D,'Modelling New'!P:P),"")</f>
        <v>5.671045235483871</v>
      </c>
      <c r="AD266" s="38">
        <f>IFERROR(_xlfn.XLOOKUP($D266,'Modelling New'!$D:$D,'Modelling New'!T:T)*1000,"")</f>
        <v>43169.874244195649</v>
      </c>
      <c r="AE266" s="164">
        <f t="shared" si="24"/>
        <v>0.72450091751334023</v>
      </c>
      <c r="AF266" s="164">
        <f>IFERROR(_xlfn.XLOOKUP($D266,'Modelling New'!$D:$D,'Modelling New'!W:W),"")</f>
        <v>0.17119489484865505</v>
      </c>
      <c r="AG266" s="164">
        <f>IFERROR(_xlfn.XLOOKUP($D266,'Modelling New'!$D:$D,'Modelling New'!AD:AD),"")</f>
        <v>0.995</v>
      </c>
      <c r="AH266" s="164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64"/>
      <c r="AO266" s="164"/>
      <c r="AP266" s="164"/>
      <c r="AQ266" s="164"/>
      <c r="AR266" s="38">
        <f>IFERROR(_xlfn.XLOOKUP($D266,'Modelling New'!$D:$D,'Modelling New'!$N:$N),"")</f>
        <v>10.507</v>
      </c>
      <c r="AS266" s="38"/>
      <c r="AT266" s="38" t="str">
        <f>IFERROR(_xlfn.XLOOKUP(Table13[[#This Row],[Date]],'Raw Data'!$G:$G,'Raw Data'!$AJ:$AJ),"")</f>
        <v/>
      </c>
      <c r="AU266" s="38">
        <f>IFERROR(_xlfn.XLOOKUP(Table13[[#This Row],[Month Year]],'Modelling New'!$D:$D,'Modelling New'!$AN:$AN),"")</f>
        <v>10</v>
      </c>
      <c r="AV266" s="38">
        <f>SUMIF('Curtailment records'!$C:$C,Table13[[#This Row],[Date]],'Curtailment records'!$R:$R)/1000</f>
        <v>0</v>
      </c>
    </row>
    <row r="267" spans="1:48">
      <c r="A267" s="66">
        <f t="shared" si="25"/>
        <v>46010</v>
      </c>
      <c r="B267" s="38">
        <f>YEAR(Table13[[#This Row],[Date]])+IF(MONTH(Table13[[#This Row],[Date]])&gt;=4,1,0)</f>
        <v>2026</v>
      </c>
      <c r="C267" s="17">
        <f>YEAR(Table13[[#This Row],[Date]])</f>
        <v>2025</v>
      </c>
      <c r="D267" s="37">
        <f>Table13[[#This Row],[Date]]-DAY(Table13[[#This Row],[Date]])+1</f>
        <v>45992</v>
      </c>
      <c r="E267" s="17">
        <f t="shared" si="26"/>
        <v>31</v>
      </c>
      <c r="F267" s="135" t="str" cm="1">
        <f t="array" ref="F267">IFERROR(_xlfn.XLOOKUP(Table13[[#This Row],[Date]],Raw_Data[[#All],[Date]],Raw_Data[[#All],[Operating Hours]]),"")</f>
        <v/>
      </c>
      <c r="G267" s="136" t="str">
        <f>IFERROR(_xlfn.XLOOKUP($A267,'Raw Data'!$G:$G,'Raw Data'!S:S)/1000,"")</f>
        <v/>
      </c>
      <c r="H267" s="136"/>
      <c r="I267" s="136" t="str">
        <f>IFERROR(_xlfn.XLOOKUP($A267,'Raw Data'!$G:$G,'Raw Data'!AF:AF)/1000,"")</f>
        <v/>
      </c>
      <c r="J267" s="136"/>
      <c r="K267" s="137" t="str">
        <f>IFERROR(_xlfn.XLOOKUP($A267,'Raw Data'!$G:$G,'Raw Data'!W:W),"")</f>
        <v/>
      </c>
      <c r="L267" s="136" t="str">
        <f>IFERROR(_xlfn.XLOOKUP($A267,'Raw Data'!$G:$G,'Raw Data'!X:X),"")</f>
        <v/>
      </c>
      <c r="M267" s="136" t="str">
        <f>IFERROR(_xlfn.XLOOKUP($A267,'Raw Data'!$G:$G,'Raw Data'!Y:Y),"")</f>
        <v/>
      </c>
      <c r="N267" s="136" t="str">
        <f>IFERROR(_xlfn.XLOOKUP($A267,'Raw Data'!$G:$G,'Raw Data'!Z:Z),"")</f>
        <v/>
      </c>
      <c r="O267" s="176" t="str">
        <f>IFERROR(1-SUMIF('Plant BD'!$B:$B,$A267,'Plant BD'!$AM:$AM)/($AA267+SUMIF('Plant BD'!$B:$B,$A267,'Plant BD'!$AM:$AM)),"")</f>
        <v/>
      </c>
      <c r="P267" s="176"/>
      <c r="Q267" s="177"/>
      <c r="R267" s="176" t="str">
        <f>IFERROR(1-SUMIF('Grid BD'!$B:$B,$A267,'Grid BD'!$AE:$AE)/($AA267+SUMIF('Grid BD'!$B:$B,$A267,'Grid BD'!$AE:$AE)),"")</f>
        <v/>
      </c>
      <c r="S267" s="17"/>
      <c r="T267" s="177" t="str">
        <f>IFERROR(1-SUMIF(Tracker_BD!H:H,$A267,Tracker_BD!AI:AI)/$F267,"")</f>
        <v/>
      </c>
      <c r="U267" s="178" t="str">
        <f t="shared" si="22"/>
        <v/>
      </c>
      <c r="V267" s="17"/>
      <c r="W267" s="164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38" t="str">
        <f>IFERROR(_xlfn.XLOOKUP($A267,'Raw Data'!$G:$G,'Raw Data'!AD:AD),"")</f>
        <v/>
      </c>
      <c r="AA267" s="38" t="str">
        <f>IFERROR(_xlfn.XLOOKUP($A267,'Raw Data'!$G:$G,'Raw Data'!AE:AE)*(1+(_xlfn.XLOOKUP(Table13[[#This Row],[Month Year]],JMR!$A:$A,JMR!$J:$J))),"")</f>
        <v/>
      </c>
      <c r="AB267" s="17">
        <f>_xlfn.XLOOKUP($D267,'Modelling New'!D:D,'Modelling New'!N:N)</f>
        <v>10.507</v>
      </c>
      <c r="AC267" s="24">
        <f>IFERROR(_xlfn.XLOOKUP($D267,'Modelling New'!$D:$D,'Modelling New'!P:P),"")</f>
        <v>5.671045235483871</v>
      </c>
      <c r="AD267" s="38">
        <f>IFERROR(_xlfn.XLOOKUP($D267,'Modelling New'!$D:$D,'Modelling New'!T:T)*1000,"")</f>
        <v>43169.874244195649</v>
      </c>
      <c r="AE267" s="164">
        <f t="shared" si="24"/>
        <v>0.72450091751334023</v>
      </c>
      <c r="AF267" s="164">
        <f>IFERROR(_xlfn.XLOOKUP($D267,'Modelling New'!$D:$D,'Modelling New'!W:W),"")</f>
        <v>0.17119489484865505</v>
      </c>
      <c r="AG267" s="164">
        <f>IFERROR(_xlfn.XLOOKUP($D267,'Modelling New'!$D:$D,'Modelling New'!AD:AD),"")</f>
        <v>0.995</v>
      </c>
      <c r="AH267" s="164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64"/>
      <c r="AO267" s="164"/>
      <c r="AP267" s="164"/>
      <c r="AQ267" s="164"/>
      <c r="AR267" s="38">
        <f>IFERROR(_xlfn.XLOOKUP($D267,'Modelling New'!$D:$D,'Modelling New'!$N:$N),"")</f>
        <v>10.507</v>
      </c>
      <c r="AS267" s="38"/>
      <c r="AT267" s="38" t="str">
        <f>IFERROR(_xlfn.XLOOKUP(Table13[[#This Row],[Date]],'Raw Data'!$G:$G,'Raw Data'!$AJ:$AJ),"")</f>
        <v/>
      </c>
      <c r="AU267" s="38">
        <f>IFERROR(_xlfn.XLOOKUP(Table13[[#This Row],[Month Year]],'Modelling New'!$D:$D,'Modelling New'!$AN:$AN),"")</f>
        <v>10</v>
      </c>
      <c r="AV267" s="38">
        <f>SUMIF('Curtailment records'!$C:$C,Table13[[#This Row],[Date]],'Curtailment records'!$R:$R)/1000</f>
        <v>0</v>
      </c>
    </row>
    <row r="268" spans="1:48">
      <c r="A268" s="66">
        <f t="shared" si="25"/>
        <v>46011</v>
      </c>
      <c r="B268" s="38">
        <f>YEAR(Table13[[#This Row],[Date]])+IF(MONTH(Table13[[#This Row],[Date]])&gt;=4,1,0)</f>
        <v>2026</v>
      </c>
      <c r="C268" s="17">
        <f>YEAR(Table13[[#This Row],[Date]])</f>
        <v>2025</v>
      </c>
      <c r="D268" s="37">
        <f>Table13[[#This Row],[Date]]-DAY(Table13[[#This Row],[Date]])+1</f>
        <v>45992</v>
      </c>
      <c r="E268" s="17">
        <f t="shared" si="26"/>
        <v>31</v>
      </c>
      <c r="F268" s="135" t="str" cm="1">
        <f t="array" ref="F268">IFERROR(_xlfn.XLOOKUP(Table13[[#This Row],[Date]],Raw_Data[[#All],[Date]],Raw_Data[[#All],[Operating Hours]]),"")</f>
        <v/>
      </c>
      <c r="G268" s="24" t="str">
        <f>IFERROR(_xlfn.XLOOKUP($A268,'Raw Data'!$G:$G,'Raw Data'!S:S)/1000,"")</f>
        <v/>
      </c>
      <c r="H268" s="24"/>
      <c r="I268" s="24" t="str">
        <f>IFERROR(_xlfn.XLOOKUP($A268,'Raw Data'!$G:$G,'Raw Data'!AF:AF)/1000,"")</f>
        <v/>
      </c>
      <c r="J268" s="24"/>
      <c r="K268" s="137" t="str">
        <f>IFERROR(_xlfn.XLOOKUP($A268,'Raw Data'!$G:$G,'Raw Data'!W:W),"")</f>
        <v/>
      </c>
      <c r="L268" s="136" t="str">
        <f>IFERROR(_xlfn.XLOOKUP($A268,'Raw Data'!$G:$G,'Raw Data'!X:X),"")</f>
        <v/>
      </c>
      <c r="M268" s="136" t="str">
        <f>IFERROR(_xlfn.XLOOKUP($A268,'Raw Data'!$G:$G,'Raw Data'!Y:Y),"")</f>
        <v/>
      </c>
      <c r="N268" s="136" t="str">
        <f>IFERROR(_xlfn.XLOOKUP($A268,'Raw Data'!$G:$G,'Raw Data'!Z:Z),"")</f>
        <v/>
      </c>
      <c r="O268" s="176" t="str">
        <f>IFERROR(1-SUMIF('Plant BD'!$B:$B,$A268,'Plant BD'!$AM:$AM)/($AA268+SUMIF('Plant BD'!$B:$B,$A268,'Plant BD'!$AM:$AM)),"")</f>
        <v/>
      </c>
      <c r="P268" s="176"/>
      <c r="Q268" s="177"/>
      <c r="R268" s="179" t="str">
        <f>IFERROR(1-SUMIF('Grid BD'!$B:$B,$A268,'Grid BD'!$AE:$AE)/($AA268+SUMIF('Grid BD'!$B:$B,$A268,'Grid BD'!$AE:$AE)),"")</f>
        <v/>
      </c>
      <c r="S268" s="17"/>
      <c r="T268" s="177" t="str">
        <f>IFERROR(1-SUMIF(Tracker_BD!H:H,$A268,Tracker_BD!AI:AI)/$F268,"")</f>
        <v/>
      </c>
      <c r="U268" s="178" t="str">
        <f t="shared" si="22"/>
        <v/>
      </c>
      <c r="V268" s="17"/>
      <c r="W268" s="164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38" t="str">
        <f>IFERROR(_xlfn.XLOOKUP($A268,'Raw Data'!$G:$G,'Raw Data'!AD:AD),"")</f>
        <v/>
      </c>
      <c r="AA268" s="38" t="str">
        <f>IFERROR(_xlfn.XLOOKUP($A268,'Raw Data'!$G:$G,'Raw Data'!AE:AE)*(1+(_xlfn.XLOOKUP(Table13[[#This Row],[Month Year]],JMR!$A:$A,JMR!$J:$J))),"")</f>
        <v/>
      </c>
      <c r="AB268" s="17">
        <f>_xlfn.XLOOKUP($D268,'Modelling New'!D:D,'Modelling New'!N:N)</f>
        <v>10.507</v>
      </c>
      <c r="AC268" s="24">
        <f>IFERROR(_xlfn.XLOOKUP($D268,'Modelling New'!$D:$D,'Modelling New'!P:P),"")</f>
        <v>5.671045235483871</v>
      </c>
      <c r="AD268" s="38">
        <f>IFERROR(_xlfn.XLOOKUP($D268,'Modelling New'!$D:$D,'Modelling New'!T:T)*1000,"")</f>
        <v>43169.874244195649</v>
      </c>
      <c r="AE268" s="164">
        <f t="shared" si="24"/>
        <v>0.72450091751334023</v>
      </c>
      <c r="AF268" s="164">
        <f>IFERROR(_xlfn.XLOOKUP($D268,'Modelling New'!$D:$D,'Modelling New'!W:W),"")</f>
        <v>0.17119489484865505</v>
      </c>
      <c r="AG268" s="164">
        <f>IFERROR(_xlfn.XLOOKUP($D268,'Modelling New'!$D:$D,'Modelling New'!AD:AD),"")</f>
        <v>0.995</v>
      </c>
      <c r="AH268" s="164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64"/>
      <c r="AO268" s="164"/>
      <c r="AP268" s="164"/>
      <c r="AQ268" s="164"/>
      <c r="AR268" s="38">
        <f>IFERROR(_xlfn.XLOOKUP($D268,'Modelling New'!$D:$D,'Modelling New'!$N:$N),"")</f>
        <v>10.507</v>
      </c>
      <c r="AS268" s="38"/>
      <c r="AT268" s="38" t="str">
        <f>IFERROR(_xlfn.XLOOKUP(Table13[[#This Row],[Date]],'Raw Data'!$G:$G,'Raw Data'!$AJ:$AJ),"")</f>
        <v/>
      </c>
      <c r="AU268" s="38">
        <f>IFERROR(_xlfn.XLOOKUP(Table13[[#This Row],[Month Year]],'Modelling New'!$D:$D,'Modelling New'!$AN:$AN),"")</f>
        <v>10</v>
      </c>
      <c r="AV268" s="38">
        <f>SUMIF('Curtailment records'!$C:$C,Table13[[#This Row],[Date]],'Curtailment records'!$R:$R)/1000</f>
        <v>0</v>
      </c>
    </row>
    <row r="269" spans="1:48">
      <c r="A269" s="66">
        <f t="shared" si="25"/>
        <v>46012</v>
      </c>
      <c r="B269" s="38">
        <f>YEAR(Table13[[#This Row],[Date]])+IF(MONTH(Table13[[#This Row],[Date]])&gt;=4,1,0)</f>
        <v>2026</v>
      </c>
      <c r="C269" s="17">
        <f>YEAR(Table13[[#This Row],[Date]])</f>
        <v>2025</v>
      </c>
      <c r="D269" s="37">
        <f>Table13[[#This Row],[Date]]-DAY(Table13[[#This Row],[Date]])+1</f>
        <v>45992</v>
      </c>
      <c r="E269" s="17">
        <f t="shared" si="26"/>
        <v>31</v>
      </c>
      <c r="F269" s="135" t="str" cm="1">
        <f t="array" ref="F269">IFERROR(_xlfn.XLOOKUP(Table13[[#This Row],[Date]],Raw_Data[[#All],[Date]],Raw_Data[[#All],[Operating Hours]]),"")</f>
        <v/>
      </c>
      <c r="G269" s="136" t="str">
        <f>IFERROR(_xlfn.XLOOKUP($A269,'Raw Data'!$G:$G,'Raw Data'!S:S)/1000,"")</f>
        <v/>
      </c>
      <c r="H269" s="136"/>
      <c r="I269" s="136" t="str">
        <f>IFERROR(_xlfn.XLOOKUP($A269,'Raw Data'!$G:$G,'Raw Data'!AF:AF)/1000,"")</f>
        <v/>
      </c>
      <c r="J269" s="136"/>
      <c r="K269" s="137" t="str">
        <f>IFERROR(_xlfn.XLOOKUP($A269,'Raw Data'!$G:$G,'Raw Data'!W:W),"")</f>
        <v/>
      </c>
      <c r="L269" s="136" t="str">
        <f>IFERROR(_xlfn.XLOOKUP($A269,'Raw Data'!$G:$G,'Raw Data'!X:X),"")</f>
        <v/>
      </c>
      <c r="M269" s="136" t="str">
        <f>IFERROR(_xlfn.XLOOKUP($A269,'Raw Data'!$G:$G,'Raw Data'!Y:Y),"")</f>
        <v/>
      </c>
      <c r="N269" s="136" t="str">
        <f>IFERROR(_xlfn.XLOOKUP($A269,'Raw Data'!$G:$G,'Raw Data'!Z:Z),"")</f>
        <v/>
      </c>
      <c r="O269" s="176" t="str">
        <f>IFERROR(1-SUMIF('Plant BD'!$B:$B,$A269,'Plant BD'!$AM:$AM)/($AA269+SUMIF('Plant BD'!$B:$B,$A269,'Plant BD'!$AM:$AM)),"")</f>
        <v/>
      </c>
      <c r="P269" s="176"/>
      <c r="Q269" s="177"/>
      <c r="R269" s="176" t="str">
        <f>IFERROR(1-SUMIF('Grid BD'!$B:$B,$A269,'Grid BD'!$AE:$AE)/($AA269+SUMIF('Grid BD'!$B:$B,$A269,'Grid BD'!$AE:$AE)),"")</f>
        <v/>
      </c>
      <c r="S269" s="17"/>
      <c r="T269" s="177" t="str">
        <f>IFERROR(1-SUMIF(Tracker_BD!H:H,$A269,Tracker_BD!AI:AI)/$F269,"")</f>
        <v/>
      </c>
      <c r="U269" s="178" t="str">
        <f t="shared" si="22"/>
        <v/>
      </c>
      <c r="V269" s="17"/>
      <c r="W269" s="164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38" t="str">
        <f>IFERROR(_xlfn.XLOOKUP($A269,'Raw Data'!$G:$G,'Raw Data'!AD:AD),"")</f>
        <v/>
      </c>
      <c r="AA269" s="38" t="str">
        <f>IFERROR(_xlfn.XLOOKUP($A269,'Raw Data'!$G:$G,'Raw Data'!AE:AE)*(1+(_xlfn.XLOOKUP(Table13[[#This Row],[Month Year]],JMR!$A:$A,JMR!$J:$J))),"")</f>
        <v/>
      </c>
      <c r="AB269" s="17">
        <f>_xlfn.XLOOKUP($D269,'Modelling New'!D:D,'Modelling New'!N:N)</f>
        <v>10.507</v>
      </c>
      <c r="AC269" s="24">
        <f>IFERROR(_xlfn.XLOOKUP($D269,'Modelling New'!$D:$D,'Modelling New'!P:P),"")</f>
        <v>5.671045235483871</v>
      </c>
      <c r="AD269" s="38">
        <f>IFERROR(_xlfn.XLOOKUP($D269,'Modelling New'!$D:$D,'Modelling New'!T:T)*1000,"")</f>
        <v>43169.874244195649</v>
      </c>
      <c r="AE269" s="164">
        <f t="shared" si="24"/>
        <v>0.72450091751334023</v>
      </c>
      <c r="AF269" s="164">
        <f>IFERROR(_xlfn.XLOOKUP($D269,'Modelling New'!$D:$D,'Modelling New'!W:W),"")</f>
        <v>0.17119489484865505</v>
      </c>
      <c r="AG269" s="164">
        <f>IFERROR(_xlfn.XLOOKUP($D269,'Modelling New'!$D:$D,'Modelling New'!AD:AD),"")</f>
        <v>0.995</v>
      </c>
      <c r="AH269" s="164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64"/>
      <c r="AO269" s="164"/>
      <c r="AP269" s="164"/>
      <c r="AQ269" s="164"/>
      <c r="AR269" s="38">
        <f>IFERROR(_xlfn.XLOOKUP($D269,'Modelling New'!$D:$D,'Modelling New'!$N:$N),"")</f>
        <v>10.507</v>
      </c>
      <c r="AS269" s="38"/>
      <c r="AT269" s="38" t="str">
        <f>IFERROR(_xlfn.XLOOKUP(Table13[[#This Row],[Date]],'Raw Data'!$G:$G,'Raw Data'!$AJ:$AJ),"")</f>
        <v/>
      </c>
      <c r="AU269" s="38">
        <f>IFERROR(_xlfn.XLOOKUP(Table13[[#This Row],[Month Year]],'Modelling New'!$D:$D,'Modelling New'!$AN:$AN),"")</f>
        <v>10</v>
      </c>
      <c r="AV269" s="38">
        <f>SUMIF('Curtailment records'!$C:$C,Table13[[#This Row],[Date]],'Curtailment records'!$R:$R)/1000</f>
        <v>0</v>
      </c>
    </row>
    <row r="270" spans="1:48">
      <c r="A270" s="66">
        <f t="shared" si="25"/>
        <v>46013</v>
      </c>
      <c r="B270" s="38">
        <f>YEAR(Table13[[#This Row],[Date]])+IF(MONTH(Table13[[#This Row],[Date]])&gt;=4,1,0)</f>
        <v>2026</v>
      </c>
      <c r="C270" s="17">
        <f>YEAR(Table13[[#This Row],[Date]])</f>
        <v>2025</v>
      </c>
      <c r="D270" s="37">
        <f>Table13[[#This Row],[Date]]-DAY(Table13[[#This Row],[Date]])+1</f>
        <v>45992</v>
      </c>
      <c r="E270" s="17">
        <f t="shared" si="26"/>
        <v>31</v>
      </c>
      <c r="F270" s="135" t="str" cm="1">
        <f t="array" ref="F270">IFERROR(_xlfn.XLOOKUP(Table13[[#This Row],[Date]],Raw_Data[[#All],[Date]],Raw_Data[[#All],[Operating Hours]]),"")</f>
        <v/>
      </c>
      <c r="G270" s="24" t="str">
        <f>IFERROR(_xlfn.XLOOKUP($A270,'Raw Data'!$G:$G,'Raw Data'!S:S)/1000,"")</f>
        <v/>
      </c>
      <c r="H270" s="24"/>
      <c r="I270" s="24" t="str">
        <f>IFERROR(_xlfn.XLOOKUP($A270,'Raw Data'!$G:$G,'Raw Data'!AF:AF)/1000,"")</f>
        <v/>
      </c>
      <c r="J270" s="24"/>
      <c r="K270" s="137" t="str">
        <f>IFERROR(_xlfn.XLOOKUP($A270,'Raw Data'!$G:$G,'Raw Data'!W:W),"")</f>
        <v/>
      </c>
      <c r="L270" s="136" t="str">
        <f>IFERROR(_xlfn.XLOOKUP($A270,'Raw Data'!$G:$G,'Raw Data'!X:X),"")</f>
        <v/>
      </c>
      <c r="M270" s="136" t="str">
        <f>IFERROR(_xlfn.XLOOKUP($A270,'Raw Data'!$G:$G,'Raw Data'!Y:Y),"")</f>
        <v/>
      </c>
      <c r="N270" s="136" t="str">
        <f>IFERROR(_xlfn.XLOOKUP($A270,'Raw Data'!$G:$G,'Raw Data'!Z:Z),"")</f>
        <v/>
      </c>
      <c r="O270" s="176" t="str">
        <f>IFERROR(1-SUMIF('Plant BD'!$B:$B,$A270,'Plant BD'!$AM:$AM)/($AA270+SUMIF('Plant BD'!$B:$B,$A270,'Plant BD'!$AM:$AM)),"")</f>
        <v/>
      </c>
      <c r="P270" s="176"/>
      <c r="Q270" s="177"/>
      <c r="R270" s="179" t="str">
        <f>IFERROR(1-SUMIF('Grid BD'!$B:$B,$A270,'Grid BD'!$AE:$AE)/($AA270+SUMIF('Grid BD'!$B:$B,$A270,'Grid BD'!$AE:$AE)),"")</f>
        <v/>
      </c>
      <c r="S270" s="17"/>
      <c r="T270" s="177" t="str">
        <f>IFERROR(1-SUMIF(Tracker_BD!H:H,$A270,Tracker_BD!AI:AI)/$F270,"")</f>
        <v/>
      </c>
      <c r="U270" s="178" t="str">
        <f t="shared" si="22"/>
        <v/>
      </c>
      <c r="V270" s="17"/>
      <c r="W270" s="164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38" t="str">
        <f>IFERROR(_xlfn.XLOOKUP($A270,'Raw Data'!$G:$G,'Raw Data'!AD:AD),"")</f>
        <v/>
      </c>
      <c r="AA270" s="38" t="str">
        <f>IFERROR(_xlfn.XLOOKUP($A270,'Raw Data'!$G:$G,'Raw Data'!AE:AE)*(1+(_xlfn.XLOOKUP(Table13[[#This Row],[Month Year]],JMR!$A:$A,JMR!$J:$J))),"")</f>
        <v/>
      </c>
      <c r="AB270" s="17">
        <f>_xlfn.XLOOKUP($D270,'Modelling New'!D:D,'Modelling New'!N:N)</f>
        <v>10.507</v>
      </c>
      <c r="AC270" s="24">
        <f>IFERROR(_xlfn.XLOOKUP($D270,'Modelling New'!$D:$D,'Modelling New'!P:P),"")</f>
        <v>5.671045235483871</v>
      </c>
      <c r="AD270" s="38">
        <f>IFERROR(_xlfn.XLOOKUP($D270,'Modelling New'!$D:$D,'Modelling New'!T:T)*1000,"")</f>
        <v>43169.874244195649</v>
      </c>
      <c r="AE270" s="164">
        <f t="shared" si="24"/>
        <v>0.72450091751334023</v>
      </c>
      <c r="AF270" s="164">
        <f>IFERROR(_xlfn.XLOOKUP($D270,'Modelling New'!$D:$D,'Modelling New'!W:W),"")</f>
        <v>0.17119489484865505</v>
      </c>
      <c r="AG270" s="164">
        <f>IFERROR(_xlfn.XLOOKUP($D270,'Modelling New'!$D:$D,'Modelling New'!AD:AD),"")</f>
        <v>0.995</v>
      </c>
      <c r="AH270" s="164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64"/>
      <c r="AO270" s="164"/>
      <c r="AP270" s="164"/>
      <c r="AQ270" s="164"/>
      <c r="AR270" s="38">
        <f>IFERROR(_xlfn.XLOOKUP($D270,'Modelling New'!$D:$D,'Modelling New'!$N:$N),"")</f>
        <v>10.507</v>
      </c>
      <c r="AS270" s="38"/>
      <c r="AT270" s="38" t="str">
        <f>IFERROR(_xlfn.XLOOKUP(Table13[[#This Row],[Date]],'Raw Data'!$G:$G,'Raw Data'!$AJ:$AJ),"")</f>
        <v/>
      </c>
      <c r="AU270" s="38">
        <f>IFERROR(_xlfn.XLOOKUP(Table13[[#This Row],[Month Year]],'Modelling New'!$D:$D,'Modelling New'!$AN:$AN),"")</f>
        <v>10</v>
      </c>
      <c r="AV270" s="38">
        <f>SUMIF('Curtailment records'!$C:$C,Table13[[#This Row],[Date]],'Curtailment records'!$R:$R)/1000</f>
        <v>0</v>
      </c>
    </row>
    <row r="271" spans="1:48">
      <c r="A271" s="66">
        <f t="shared" si="25"/>
        <v>46014</v>
      </c>
      <c r="B271" s="38">
        <f>YEAR(Table13[[#This Row],[Date]])+IF(MONTH(Table13[[#This Row],[Date]])&gt;=4,1,0)</f>
        <v>2026</v>
      </c>
      <c r="C271" s="17">
        <f>YEAR(Table13[[#This Row],[Date]])</f>
        <v>2025</v>
      </c>
      <c r="D271" s="37">
        <f>Table13[[#This Row],[Date]]-DAY(Table13[[#This Row],[Date]])+1</f>
        <v>45992</v>
      </c>
      <c r="E271" s="17">
        <f t="shared" si="26"/>
        <v>31</v>
      </c>
      <c r="F271" s="135" t="str" cm="1">
        <f t="array" ref="F271">IFERROR(_xlfn.XLOOKUP(Table13[[#This Row],[Date]],Raw_Data[[#All],[Date]],Raw_Data[[#All],[Operating Hours]]),"")</f>
        <v/>
      </c>
      <c r="G271" s="136" t="str">
        <f>IFERROR(_xlfn.XLOOKUP($A271,'Raw Data'!$G:$G,'Raw Data'!S:S)/1000,"")</f>
        <v/>
      </c>
      <c r="H271" s="136"/>
      <c r="I271" s="136" t="str">
        <f>IFERROR(_xlfn.XLOOKUP($A271,'Raw Data'!$G:$G,'Raw Data'!AF:AF)/1000,"")</f>
        <v/>
      </c>
      <c r="J271" s="136"/>
      <c r="K271" s="137" t="str">
        <f>IFERROR(_xlfn.XLOOKUP($A271,'Raw Data'!$G:$G,'Raw Data'!W:W),"")</f>
        <v/>
      </c>
      <c r="L271" s="136" t="str">
        <f>IFERROR(_xlfn.XLOOKUP($A271,'Raw Data'!$G:$G,'Raw Data'!X:X),"")</f>
        <v/>
      </c>
      <c r="M271" s="136" t="str">
        <f>IFERROR(_xlfn.XLOOKUP($A271,'Raw Data'!$G:$G,'Raw Data'!Y:Y),"")</f>
        <v/>
      </c>
      <c r="N271" s="136" t="str">
        <f>IFERROR(_xlfn.XLOOKUP($A271,'Raw Data'!$G:$G,'Raw Data'!Z:Z),"")</f>
        <v/>
      </c>
      <c r="O271" s="176" t="str">
        <f>IFERROR(1-SUMIF('Plant BD'!$B:$B,$A271,'Plant BD'!$AM:$AM)/($AA271+SUMIF('Plant BD'!$B:$B,$A271,'Plant BD'!$AM:$AM)),"")</f>
        <v/>
      </c>
      <c r="P271" s="176"/>
      <c r="Q271" s="177"/>
      <c r="R271" s="176" t="str">
        <f>IFERROR(1-SUMIF('Grid BD'!$B:$B,$A271,'Grid BD'!$AE:$AE)/($AA271+SUMIF('Grid BD'!$B:$B,$A271,'Grid BD'!$AE:$AE)),"")</f>
        <v/>
      </c>
      <c r="S271" s="17"/>
      <c r="T271" s="177" t="str">
        <f>IFERROR(1-SUMIF(Tracker_BD!H:H,$A271,Tracker_BD!AI:AI)/$F271,"")</f>
        <v/>
      </c>
      <c r="U271" s="178" t="str">
        <f t="shared" si="22"/>
        <v/>
      </c>
      <c r="V271" s="17"/>
      <c r="W271" s="164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38" t="str">
        <f>IFERROR(_xlfn.XLOOKUP($A271,'Raw Data'!$G:$G,'Raw Data'!AD:AD),"")</f>
        <v/>
      </c>
      <c r="AA271" s="38" t="str">
        <f>IFERROR(_xlfn.XLOOKUP($A271,'Raw Data'!$G:$G,'Raw Data'!AE:AE)*(1+(_xlfn.XLOOKUP(Table13[[#This Row],[Month Year]],JMR!$A:$A,JMR!$J:$J))),"")</f>
        <v/>
      </c>
      <c r="AB271" s="17">
        <f>_xlfn.XLOOKUP($D271,'Modelling New'!D:D,'Modelling New'!N:N)</f>
        <v>10.507</v>
      </c>
      <c r="AC271" s="24">
        <f>IFERROR(_xlfn.XLOOKUP($D271,'Modelling New'!$D:$D,'Modelling New'!P:P),"")</f>
        <v>5.671045235483871</v>
      </c>
      <c r="AD271" s="38">
        <f>IFERROR(_xlfn.XLOOKUP($D271,'Modelling New'!$D:$D,'Modelling New'!T:T)*1000,"")</f>
        <v>43169.874244195649</v>
      </c>
      <c r="AE271" s="164">
        <f t="shared" si="24"/>
        <v>0.72450091751334023</v>
      </c>
      <c r="AF271" s="164">
        <f>IFERROR(_xlfn.XLOOKUP($D271,'Modelling New'!$D:$D,'Modelling New'!W:W),"")</f>
        <v>0.17119489484865505</v>
      </c>
      <c r="AG271" s="164">
        <f>IFERROR(_xlfn.XLOOKUP($D271,'Modelling New'!$D:$D,'Modelling New'!AD:AD),"")</f>
        <v>0.995</v>
      </c>
      <c r="AH271" s="164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64"/>
      <c r="AO271" s="164"/>
      <c r="AP271" s="164"/>
      <c r="AQ271" s="164"/>
      <c r="AR271" s="38">
        <f>IFERROR(_xlfn.XLOOKUP($D271,'Modelling New'!$D:$D,'Modelling New'!$N:$N),"")</f>
        <v>10.507</v>
      </c>
      <c r="AS271" s="38"/>
      <c r="AT271" s="38" t="str">
        <f>IFERROR(_xlfn.XLOOKUP(Table13[[#This Row],[Date]],'Raw Data'!$G:$G,'Raw Data'!$AJ:$AJ),"")</f>
        <v/>
      </c>
      <c r="AU271" s="38">
        <f>IFERROR(_xlfn.XLOOKUP(Table13[[#This Row],[Month Year]],'Modelling New'!$D:$D,'Modelling New'!$AN:$AN),"")</f>
        <v>10</v>
      </c>
      <c r="AV271" s="38">
        <f>SUMIF('Curtailment records'!$C:$C,Table13[[#This Row],[Date]],'Curtailment records'!$R:$R)/1000</f>
        <v>0</v>
      </c>
    </row>
    <row r="272" spans="1:48">
      <c r="A272" s="66">
        <f t="shared" si="25"/>
        <v>46015</v>
      </c>
      <c r="B272" s="38">
        <f>YEAR(Table13[[#This Row],[Date]])+IF(MONTH(Table13[[#This Row],[Date]])&gt;=4,1,0)</f>
        <v>2026</v>
      </c>
      <c r="C272" s="17">
        <f>YEAR(Table13[[#This Row],[Date]])</f>
        <v>2025</v>
      </c>
      <c r="D272" s="37">
        <f>Table13[[#This Row],[Date]]-DAY(Table13[[#This Row],[Date]])+1</f>
        <v>45992</v>
      </c>
      <c r="E272" s="17">
        <f t="shared" si="26"/>
        <v>31</v>
      </c>
      <c r="F272" s="135" t="str" cm="1">
        <f t="array" ref="F272">IFERROR(_xlfn.XLOOKUP(Table13[[#This Row],[Date]],Raw_Data[[#All],[Date]],Raw_Data[[#All],[Operating Hours]]),"")</f>
        <v/>
      </c>
      <c r="G272" s="24" t="str">
        <f>IFERROR(_xlfn.XLOOKUP($A272,'Raw Data'!$G:$G,'Raw Data'!S:S)/1000,"")</f>
        <v/>
      </c>
      <c r="H272" s="24"/>
      <c r="I272" s="24" t="str">
        <f>IFERROR(_xlfn.XLOOKUP($A272,'Raw Data'!$G:$G,'Raw Data'!AF:AF)/1000,"")</f>
        <v/>
      </c>
      <c r="J272" s="24"/>
      <c r="K272" s="137" t="str">
        <f>IFERROR(_xlfn.XLOOKUP($A272,'Raw Data'!$G:$G,'Raw Data'!W:W),"")</f>
        <v/>
      </c>
      <c r="L272" s="136" t="str">
        <f>IFERROR(_xlfn.XLOOKUP($A272,'Raw Data'!$G:$G,'Raw Data'!X:X),"")</f>
        <v/>
      </c>
      <c r="M272" s="136" t="str">
        <f>IFERROR(_xlfn.XLOOKUP($A272,'Raw Data'!$G:$G,'Raw Data'!Y:Y),"")</f>
        <v/>
      </c>
      <c r="N272" s="136" t="str">
        <f>IFERROR(_xlfn.XLOOKUP($A272,'Raw Data'!$G:$G,'Raw Data'!Z:Z),"")</f>
        <v/>
      </c>
      <c r="O272" s="176" t="str">
        <f>IFERROR(1-SUMIF('Plant BD'!$B:$B,$A272,'Plant BD'!$AM:$AM)/($AA272+SUMIF('Plant BD'!$B:$B,$A272,'Plant BD'!$AM:$AM)),"")</f>
        <v/>
      </c>
      <c r="P272" s="176"/>
      <c r="Q272" s="177"/>
      <c r="R272" s="179" t="str">
        <f>IFERROR(1-SUMIF('Grid BD'!$B:$B,$A272,'Grid BD'!$AE:$AE)/($AA272+SUMIF('Grid BD'!$B:$B,$A272,'Grid BD'!$AE:$AE)),"")</f>
        <v/>
      </c>
      <c r="S272" s="17"/>
      <c r="T272" s="177" t="str">
        <f>IFERROR(1-SUMIF(Tracker_BD!H:H,$A272,Tracker_BD!AI:AI)/$F272,"")</f>
        <v/>
      </c>
      <c r="U272" s="178" t="str">
        <f t="shared" si="22"/>
        <v/>
      </c>
      <c r="V272" s="17"/>
      <c r="W272" s="164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38" t="str">
        <f>IFERROR(_xlfn.XLOOKUP($A272,'Raw Data'!$G:$G,'Raw Data'!AD:AD),"")</f>
        <v/>
      </c>
      <c r="AA272" s="38" t="str">
        <f>IFERROR(_xlfn.XLOOKUP($A272,'Raw Data'!$G:$G,'Raw Data'!AE:AE)*(1+(_xlfn.XLOOKUP(Table13[[#This Row],[Month Year]],JMR!$A:$A,JMR!$J:$J))),"")</f>
        <v/>
      </c>
      <c r="AB272" s="17">
        <f>_xlfn.XLOOKUP($D272,'Modelling New'!D:D,'Modelling New'!N:N)</f>
        <v>10.507</v>
      </c>
      <c r="AC272" s="24">
        <f>IFERROR(_xlfn.XLOOKUP($D272,'Modelling New'!$D:$D,'Modelling New'!P:P),"")</f>
        <v>5.671045235483871</v>
      </c>
      <c r="AD272" s="38">
        <f>IFERROR(_xlfn.XLOOKUP($D272,'Modelling New'!$D:$D,'Modelling New'!T:T)*1000,"")</f>
        <v>43169.874244195649</v>
      </c>
      <c r="AE272" s="164">
        <f t="shared" si="24"/>
        <v>0.72450091751334023</v>
      </c>
      <c r="AF272" s="164">
        <f>IFERROR(_xlfn.XLOOKUP($D272,'Modelling New'!$D:$D,'Modelling New'!W:W),"")</f>
        <v>0.17119489484865505</v>
      </c>
      <c r="AG272" s="164">
        <f>IFERROR(_xlfn.XLOOKUP($D272,'Modelling New'!$D:$D,'Modelling New'!AD:AD),"")</f>
        <v>0.995</v>
      </c>
      <c r="AH272" s="164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64"/>
      <c r="AO272" s="164"/>
      <c r="AP272" s="164"/>
      <c r="AQ272" s="164"/>
      <c r="AR272" s="38">
        <f>IFERROR(_xlfn.XLOOKUP($D272,'Modelling New'!$D:$D,'Modelling New'!$N:$N),"")</f>
        <v>10.507</v>
      </c>
      <c r="AS272" s="38"/>
      <c r="AT272" s="38" t="str">
        <f>IFERROR(_xlfn.XLOOKUP(Table13[[#This Row],[Date]],'Raw Data'!$G:$G,'Raw Data'!$AJ:$AJ),"")</f>
        <v/>
      </c>
      <c r="AU272" s="38">
        <f>IFERROR(_xlfn.XLOOKUP(Table13[[#This Row],[Month Year]],'Modelling New'!$D:$D,'Modelling New'!$AN:$AN),"")</f>
        <v>10</v>
      </c>
      <c r="AV272" s="38">
        <f>SUMIF('Curtailment records'!$C:$C,Table13[[#This Row],[Date]],'Curtailment records'!$R:$R)/1000</f>
        <v>0</v>
      </c>
    </row>
    <row r="273" spans="1:48">
      <c r="A273" s="66">
        <f t="shared" si="25"/>
        <v>46016</v>
      </c>
      <c r="B273" s="38">
        <f>YEAR(Table13[[#This Row],[Date]])+IF(MONTH(Table13[[#This Row],[Date]])&gt;=4,1,0)</f>
        <v>2026</v>
      </c>
      <c r="C273" s="17">
        <f>YEAR(Table13[[#This Row],[Date]])</f>
        <v>2025</v>
      </c>
      <c r="D273" s="37">
        <f>Table13[[#This Row],[Date]]-DAY(Table13[[#This Row],[Date]])+1</f>
        <v>45992</v>
      </c>
      <c r="E273" s="17">
        <f t="shared" si="26"/>
        <v>31</v>
      </c>
      <c r="F273" s="135" t="str" cm="1">
        <f t="array" ref="F273">IFERROR(_xlfn.XLOOKUP(Table13[[#This Row],[Date]],Raw_Data[[#All],[Date]],Raw_Data[[#All],[Operating Hours]]),"")</f>
        <v/>
      </c>
      <c r="G273" s="136" t="str">
        <f>IFERROR(_xlfn.XLOOKUP($A273,'Raw Data'!$G:$G,'Raw Data'!S:S)/1000,"")</f>
        <v/>
      </c>
      <c r="H273" s="136"/>
      <c r="I273" s="136" t="str">
        <f>IFERROR(_xlfn.XLOOKUP($A273,'Raw Data'!$G:$G,'Raw Data'!AF:AF)/1000,"")</f>
        <v/>
      </c>
      <c r="J273" s="136"/>
      <c r="K273" s="137" t="str">
        <f>IFERROR(_xlfn.XLOOKUP($A273,'Raw Data'!$G:$G,'Raw Data'!W:W),"")</f>
        <v/>
      </c>
      <c r="L273" s="136" t="str">
        <f>IFERROR(_xlfn.XLOOKUP($A273,'Raw Data'!$G:$G,'Raw Data'!X:X),"")</f>
        <v/>
      </c>
      <c r="M273" s="136" t="str">
        <f>IFERROR(_xlfn.XLOOKUP($A273,'Raw Data'!$G:$G,'Raw Data'!Y:Y),"")</f>
        <v/>
      </c>
      <c r="N273" s="136" t="str">
        <f>IFERROR(_xlfn.XLOOKUP($A273,'Raw Data'!$G:$G,'Raw Data'!Z:Z),"")</f>
        <v/>
      </c>
      <c r="O273" s="176" t="str">
        <f>IFERROR(1-SUMIF('Plant BD'!$B:$B,$A273,'Plant BD'!$AM:$AM)/($AA273+SUMIF('Plant BD'!$B:$B,$A273,'Plant BD'!$AM:$AM)),"")</f>
        <v/>
      </c>
      <c r="P273" s="176"/>
      <c r="Q273" s="177"/>
      <c r="R273" s="176" t="str">
        <f>IFERROR(1-SUMIF('Grid BD'!$B:$B,$A273,'Grid BD'!$AE:$AE)/($AA273+SUMIF('Grid BD'!$B:$B,$A273,'Grid BD'!$AE:$AE)),"")</f>
        <v/>
      </c>
      <c r="S273" s="17"/>
      <c r="T273" s="177" t="str">
        <f>IFERROR(1-SUMIF(Tracker_BD!H:H,$A273,Tracker_BD!AI:AI)/$F273,"")</f>
        <v/>
      </c>
      <c r="U273" s="178" t="str">
        <f t="shared" si="22"/>
        <v/>
      </c>
      <c r="V273" s="17"/>
      <c r="W273" s="164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38" t="str">
        <f>IFERROR(_xlfn.XLOOKUP($A273,'Raw Data'!$G:$G,'Raw Data'!AD:AD),"")</f>
        <v/>
      </c>
      <c r="AA273" s="38" t="str">
        <f>IFERROR(_xlfn.XLOOKUP($A273,'Raw Data'!$G:$G,'Raw Data'!AE:AE)*(1+(_xlfn.XLOOKUP(Table13[[#This Row],[Month Year]],JMR!$A:$A,JMR!$J:$J))),"")</f>
        <v/>
      </c>
      <c r="AB273" s="17">
        <f>_xlfn.XLOOKUP($D273,'Modelling New'!D:D,'Modelling New'!N:N)</f>
        <v>10.507</v>
      </c>
      <c r="AC273" s="24">
        <f>IFERROR(_xlfn.XLOOKUP($D273,'Modelling New'!$D:$D,'Modelling New'!P:P),"")</f>
        <v>5.671045235483871</v>
      </c>
      <c r="AD273" s="38">
        <f>IFERROR(_xlfn.XLOOKUP($D273,'Modelling New'!$D:$D,'Modelling New'!T:T)*1000,"")</f>
        <v>43169.874244195649</v>
      </c>
      <c r="AE273" s="164">
        <f t="shared" si="24"/>
        <v>0.72450091751334023</v>
      </c>
      <c r="AF273" s="164">
        <f>IFERROR(_xlfn.XLOOKUP($D273,'Modelling New'!$D:$D,'Modelling New'!W:W),"")</f>
        <v>0.17119489484865505</v>
      </c>
      <c r="AG273" s="164">
        <f>IFERROR(_xlfn.XLOOKUP($D273,'Modelling New'!$D:$D,'Modelling New'!AD:AD),"")</f>
        <v>0.995</v>
      </c>
      <c r="AH273" s="164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64"/>
      <c r="AO273" s="164"/>
      <c r="AP273" s="164"/>
      <c r="AQ273" s="164"/>
      <c r="AR273" s="38">
        <f>IFERROR(_xlfn.XLOOKUP($D273,'Modelling New'!$D:$D,'Modelling New'!$N:$N),"")</f>
        <v>10.507</v>
      </c>
      <c r="AS273" s="38"/>
      <c r="AT273" s="38" t="str">
        <f>IFERROR(_xlfn.XLOOKUP(Table13[[#This Row],[Date]],'Raw Data'!$G:$G,'Raw Data'!$AJ:$AJ),"")</f>
        <v/>
      </c>
      <c r="AU273" s="38">
        <f>IFERROR(_xlfn.XLOOKUP(Table13[[#This Row],[Month Year]],'Modelling New'!$D:$D,'Modelling New'!$AN:$AN),"")</f>
        <v>10</v>
      </c>
      <c r="AV273" s="38">
        <f>SUMIF('Curtailment records'!$C:$C,Table13[[#This Row],[Date]],'Curtailment records'!$R:$R)/1000</f>
        <v>0</v>
      </c>
    </row>
    <row r="274" spans="1:48">
      <c r="A274" s="66">
        <f t="shared" si="25"/>
        <v>46017</v>
      </c>
      <c r="B274" s="38">
        <f>YEAR(Table13[[#This Row],[Date]])+IF(MONTH(Table13[[#This Row],[Date]])&gt;=4,1,0)</f>
        <v>2026</v>
      </c>
      <c r="C274" s="17">
        <f>YEAR(Table13[[#This Row],[Date]])</f>
        <v>2025</v>
      </c>
      <c r="D274" s="37">
        <f>Table13[[#This Row],[Date]]-DAY(Table13[[#This Row],[Date]])+1</f>
        <v>45992</v>
      </c>
      <c r="E274" s="17">
        <f t="shared" si="26"/>
        <v>31</v>
      </c>
      <c r="F274" s="135" t="str" cm="1">
        <f t="array" ref="F274">IFERROR(_xlfn.XLOOKUP(Table13[[#This Row],[Date]],Raw_Data[[#All],[Date]],Raw_Data[[#All],[Operating Hours]]),"")</f>
        <v/>
      </c>
      <c r="G274" s="24" t="str">
        <f>IFERROR(_xlfn.XLOOKUP($A274,'Raw Data'!$G:$G,'Raw Data'!S:S)/1000,"")</f>
        <v/>
      </c>
      <c r="H274" s="24"/>
      <c r="I274" s="24" t="str">
        <f>IFERROR(_xlfn.XLOOKUP($A274,'Raw Data'!$G:$G,'Raw Data'!AF:AF)/1000,"")</f>
        <v/>
      </c>
      <c r="J274" s="24"/>
      <c r="K274" s="137" t="str">
        <f>IFERROR(_xlfn.XLOOKUP($A274,'Raw Data'!$G:$G,'Raw Data'!W:W),"")</f>
        <v/>
      </c>
      <c r="L274" s="136" t="str">
        <f>IFERROR(_xlfn.XLOOKUP($A274,'Raw Data'!$G:$G,'Raw Data'!X:X),"")</f>
        <v/>
      </c>
      <c r="M274" s="136" t="str">
        <f>IFERROR(_xlfn.XLOOKUP($A274,'Raw Data'!$G:$G,'Raw Data'!Y:Y),"")</f>
        <v/>
      </c>
      <c r="N274" s="136" t="str">
        <f>IFERROR(_xlfn.XLOOKUP($A274,'Raw Data'!$G:$G,'Raw Data'!Z:Z),"")</f>
        <v/>
      </c>
      <c r="O274" s="176" t="str">
        <f>IFERROR(1-SUMIF('Plant BD'!$B:$B,$A274,'Plant BD'!$AM:$AM)/($AA274+SUMIF('Plant BD'!$B:$B,$A274,'Plant BD'!$AM:$AM)),"")</f>
        <v/>
      </c>
      <c r="P274" s="176"/>
      <c r="Q274" s="177"/>
      <c r="R274" s="179" t="str">
        <f>IFERROR(1-SUMIF('Grid BD'!$B:$B,$A274,'Grid BD'!$AE:$AE)/($AA274+SUMIF('Grid BD'!$B:$B,$A274,'Grid BD'!$AE:$AE)),"")</f>
        <v/>
      </c>
      <c r="S274" s="17"/>
      <c r="T274" s="177" t="str">
        <f>IFERROR(1-SUMIF(Tracker_BD!H:H,$A274,Tracker_BD!AI:AI)/$F274,"")</f>
        <v/>
      </c>
      <c r="U274" s="178" t="str">
        <f t="shared" si="22"/>
        <v/>
      </c>
      <c r="V274" s="17"/>
      <c r="W274" s="164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38" t="str">
        <f>IFERROR(_xlfn.XLOOKUP($A274,'Raw Data'!$G:$G,'Raw Data'!AD:AD),"")</f>
        <v/>
      </c>
      <c r="AA274" s="38" t="str">
        <f>IFERROR(_xlfn.XLOOKUP($A274,'Raw Data'!$G:$G,'Raw Data'!AE:AE)*(1+(_xlfn.XLOOKUP(Table13[[#This Row],[Month Year]],JMR!$A:$A,JMR!$J:$J))),"")</f>
        <v/>
      </c>
      <c r="AB274" s="17">
        <f>_xlfn.XLOOKUP($D274,'Modelling New'!D:D,'Modelling New'!N:N)</f>
        <v>10.507</v>
      </c>
      <c r="AC274" s="24">
        <f>IFERROR(_xlfn.XLOOKUP($D274,'Modelling New'!$D:$D,'Modelling New'!P:P),"")</f>
        <v>5.671045235483871</v>
      </c>
      <c r="AD274" s="38">
        <f>IFERROR(_xlfn.XLOOKUP($D274,'Modelling New'!$D:$D,'Modelling New'!T:T)*1000,"")</f>
        <v>43169.874244195649</v>
      </c>
      <c r="AE274" s="164">
        <f t="shared" si="24"/>
        <v>0.72450091751334023</v>
      </c>
      <c r="AF274" s="164">
        <f>IFERROR(_xlfn.XLOOKUP($D274,'Modelling New'!$D:$D,'Modelling New'!W:W),"")</f>
        <v>0.17119489484865505</v>
      </c>
      <c r="AG274" s="164">
        <f>IFERROR(_xlfn.XLOOKUP($D274,'Modelling New'!$D:$D,'Modelling New'!AD:AD),"")</f>
        <v>0.995</v>
      </c>
      <c r="AH274" s="164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64"/>
      <c r="AO274" s="164"/>
      <c r="AP274" s="164"/>
      <c r="AQ274" s="164"/>
      <c r="AR274" s="38">
        <f>IFERROR(_xlfn.XLOOKUP($D274,'Modelling New'!$D:$D,'Modelling New'!$N:$N),"")</f>
        <v>10.507</v>
      </c>
      <c r="AS274" s="38"/>
      <c r="AT274" s="38" t="str">
        <f>IFERROR(_xlfn.XLOOKUP(Table13[[#This Row],[Date]],'Raw Data'!$G:$G,'Raw Data'!$AJ:$AJ),"")</f>
        <v/>
      </c>
      <c r="AU274" s="38">
        <f>IFERROR(_xlfn.XLOOKUP(Table13[[#This Row],[Month Year]],'Modelling New'!$D:$D,'Modelling New'!$AN:$AN),"")</f>
        <v>10</v>
      </c>
      <c r="AV274" s="38">
        <f>SUMIF('Curtailment records'!$C:$C,Table13[[#This Row],[Date]],'Curtailment records'!$R:$R)/1000</f>
        <v>0</v>
      </c>
    </row>
    <row r="275" spans="1:48">
      <c r="A275" s="66">
        <f t="shared" si="25"/>
        <v>46018</v>
      </c>
      <c r="B275" s="38">
        <f>YEAR(Table13[[#This Row],[Date]])+IF(MONTH(Table13[[#This Row],[Date]])&gt;=4,1,0)</f>
        <v>2026</v>
      </c>
      <c r="C275" s="17">
        <f>YEAR(Table13[[#This Row],[Date]])</f>
        <v>2025</v>
      </c>
      <c r="D275" s="37">
        <f>Table13[[#This Row],[Date]]-DAY(Table13[[#This Row],[Date]])+1</f>
        <v>45992</v>
      </c>
      <c r="E275" s="17">
        <f t="shared" si="26"/>
        <v>31</v>
      </c>
      <c r="F275" s="135" t="str" cm="1">
        <f t="array" ref="F275">IFERROR(_xlfn.XLOOKUP(Table13[[#This Row],[Date]],Raw_Data[[#All],[Date]],Raw_Data[[#All],[Operating Hours]]),"")</f>
        <v/>
      </c>
      <c r="G275" s="136" t="str">
        <f>IFERROR(_xlfn.XLOOKUP($A275,'Raw Data'!$G:$G,'Raw Data'!S:S)/1000,"")</f>
        <v/>
      </c>
      <c r="H275" s="136"/>
      <c r="I275" s="136" t="str">
        <f>IFERROR(_xlfn.XLOOKUP($A275,'Raw Data'!$G:$G,'Raw Data'!AF:AF)/1000,"")</f>
        <v/>
      </c>
      <c r="J275" s="136"/>
      <c r="K275" s="137" t="str">
        <f>IFERROR(_xlfn.XLOOKUP($A275,'Raw Data'!$G:$G,'Raw Data'!W:W),"")</f>
        <v/>
      </c>
      <c r="L275" s="136" t="str">
        <f>IFERROR(_xlfn.XLOOKUP($A275,'Raw Data'!$G:$G,'Raw Data'!X:X),"")</f>
        <v/>
      </c>
      <c r="M275" s="136" t="str">
        <f>IFERROR(_xlfn.XLOOKUP($A275,'Raw Data'!$G:$G,'Raw Data'!Y:Y),"")</f>
        <v/>
      </c>
      <c r="N275" s="136" t="str">
        <f>IFERROR(_xlfn.XLOOKUP($A275,'Raw Data'!$G:$G,'Raw Data'!Z:Z),"")</f>
        <v/>
      </c>
      <c r="O275" s="176" t="str">
        <f>IFERROR(1-SUMIF('Plant BD'!$B:$B,$A275,'Plant BD'!$AM:$AM)/($AA275+SUMIF('Plant BD'!$B:$B,$A275,'Plant BD'!$AM:$AM)),"")</f>
        <v/>
      </c>
      <c r="P275" s="176"/>
      <c r="Q275" s="177"/>
      <c r="R275" s="176" t="str">
        <f>IFERROR(1-SUMIF('Grid BD'!$B:$B,$A275,'Grid BD'!$AE:$AE)/($AA275+SUMIF('Grid BD'!$B:$B,$A275,'Grid BD'!$AE:$AE)),"")</f>
        <v/>
      </c>
      <c r="S275" s="17"/>
      <c r="T275" s="177" t="str">
        <f>IFERROR(1-SUMIF(Tracker_BD!H:H,$A275,Tracker_BD!AI:AI)/$F275,"")</f>
        <v/>
      </c>
      <c r="U275" s="178" t="str">
        <f t="shared" si="22"/>
        <v/>
      </c>
      <c r="V275" s="17"/>
      <c r="W275" s="164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38" t="str">
        <f>IFERROR(_xlfn.XLOOKUP($A275,'Raw Data'!$G:$G,'Raw Data'!AD:AD),"")</f>
        <v/>
      </c>
      <c r="AA275" s="38" t="str">
        <f>IFERROR(_xlfn.XLOOKUP($A275,'Raw Data'!$G:$G,'Raw Data'!AE:AE)*(1+(_xlfn.XLOOKUP(Table13[[#This Row],[Month Year]],JMR!$A:$A,JMR!$J:$J))),"")</f>
        <v/>
      </c>
      <c r="AB275" s="17">
        <f>_xlfn.XLOOKUP($D275,'Modelling New'!D:D,'Modelling New'!N:N)</f>
        <v>10.507</v>
      </c>
      <c r="AC275" s="24">
        <f>IFERROR(_xlfn.XLOOKUP($D275,'Modelling New'!$D:$D,'Modelling New'!P:P),"")</f>
        <v>5.671045235483871</v>
      </c>
      <c r="AD275" s="38">
        <f>IFERROR(_xlfn.XLOOKUP($D275,'Modelling New'!$D:$D,'Modelling New'!T:T)*1000,"")</f>
        <v>43169.874244195649</v>
      </c>
      <c r="AE275" s="164">
        <f t="shared" si="24"/>
        <v>0.72450091751334023</v>
      </c>
      <c r="AF275" s="164">
        <f>IFERROR(_xlfn.XLOOKUP($D275,'Modelling New'!$D:$D,'Modelling New'!W:W),"")</f>
        <v>0.17119489484865505</v>
      </c>
      <c r="AG275" s="164">
        <f>IFERROR(_xlfn.XLOOKUP($D275,'Modelling New'!$D:$D,'Modelling New'!AD:AD),"")</f>
        <v>0.995</v>
      </c>
      <c r="AH275" s="164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64"/>
      <c r="AO275" s="164"/>
      <c r="AP275" s="164"/>
      <c r="AQ275" s="164"/>
      <c r="AR275" s="38">
        <f>IFERROR(_xlfn.XLOOKUP($D275,'Modelling New'!$D:$D,'Modelling New'!$N:$N),"")</f>
        <v>10.507</v>
      </c>
      <c r="AS275" s="38"/>
      <c r="AT275" s="38" t="str">
        <f>IFERROR(_xlfn.XLOOKUP(Table13[[#This Row],[Date]],'Raw Data'!$G:$G,'Raw Data'!$AJ:$AJ),"")</f>
        <v/>
      </c>
      <c r="AU275" s="38">
        <f>IFERROR(_xlfn.XLOOKUP(Table13[[#This Row],[Month Year]],'Modelling New'!$D:$D,'Modelling New'!$AN:$AN),"")</f>
        <v>10</v>
      </c>
      <c r="AV275" s="38">
        <f>SUMIF('Curtailment records'!$C:$C,Table13[[#This Row],[Date]],'Curtailment records'!$R:$R)/1000</f>
        <v>0</v>
      </c>
    </row>
    <row r="276" spans="1:48">
      <c r="A276" s="66">
        <f t="shared" si="25"/>
        <v>46019</v>
      </c>
      <c r="B276" s="38">
        <f>YEAR(Table13[[#This Row],[Date]])+IF(MONTH(Table13[[#This Row],[Date]])&gt;=4,1,0)</f>
        <v>2026</v>
      </c>
      <c r="C276" s="17">
        <f>YEAR(Table13[[#This Row],[Date]])</f>
        <v>2025</v>
      </c>
      <c r="D276" s="37">
        <f>Table13[[#This Row],[Date]]-DAY(Table13[[#This Row],[Date]])+1</f>
        <v>45992</v>
      </c>
      <c r="E276" s="17">
        <f t="shared" si="26"/>
        <v>31</v>
      </c>
      <c r="F276" s="135" t="str" cm="1">
        <f t="array" ref="F276">IFERROR(_xlfn.XLOOKUP(Table13[[#This Row],[Date]],Raw_Data[[#All],[Date]],Raw_Data[[#All],[Operating Hours]]),"")</f>
        <v/>
      </c>
      <c r="G276" s="24" t="str">
        <f>IFERROR(_xlfn.XLOOKUP($A276,'Raw Data'!$G:$G,'Raw Data'!S:S)/1000,"")</f>
        <v/>
      </c>
      <c r="H276" s="24"/>
      <c r="I276" s="24" t="str">
        <f>IFERROR(_xlfn.XLOOKUP($A276,'Raw Data'!$G:$G,'Raw Data'!AF:AF)/1000,"")</f>
        <v/>
      </c>
      <c r="J276" s="24"/>
      <c r="K276" s="137" t="str">
        <f>IFERROR(_xlfn.XLOOKUP($A276,'Raw Data'!$G:$G,'Raw Data'!W:W),"")</f>
        <v/>
      </c>
      <c r="L276" s="136" t="str">
        <f>IFERROR(_xlfn.XLOOKUP($A276,'Raw Data'!$G:$G,'Raw Data'!X:X),"")</f>
        <v/>
      </c>
      <c r="M276" s="136" t="str">
        <f>IFERROR(_xlfn.XLOOKUP($A276,'Raw Data'!$G:$G,'Raw Data'!Y:Y),"")</f>
        <v/>
      </c>
      <c r="N276" s="136" t="str">
        <f>IFERROR(_xlfn.XLOOKUP($A276,'Raw Data'!$G:$G,'Raw Data'!Z:Z),"")</f>
        <v/>
      </c>
      <c r="O276" s="176" t="str">
        <f>IFERROR(1-SUMIF('Plant BD'!$B:$B,$A276,'Plant BD'!$AM:$AM)/($AA276+SUMIF('Plant BD'!$B:$B,$A276,'Plant BD'!$AM:$AM)),"")</f>
        <v/>
      </c>
      <c r="P276" s="176"/>
      <c r="Q276" s="177"/>
      <c r="R276" s="179" t="str">
        <f>IFERROR(1-SUMIF('Grid BD'!$B:$B,$A276,'Grid BD'!$AE:$AE)/($AA276+SUMIF('Grid BD'!$B:$B,$A276,'Grid BD'!$AE:$AE)),"")</f>
        <v/>
      </c>
      <c r="S276" s="17"/>
      <c r="T276" s="177" t="str">
        <f>IFERROR(1-SUMIF(Tracker_BD!H:H,$A276,Tracker_BD!AI:AI)/$F276,"")</f>
        <v/>
      </c>
      <c r="U276" s="178" t="str">
        <f t="shared" si="22"/>
        <v/>
      </c>
      <c r="V276" s="17"/>
      <c r="W276" s="164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38" t="str">
        <f>IFERROR(_xlfn.XLOOKUP($A276,'Raw Data'!$G:$G,'Raw Data'!AD:AD),"")</f>
        <v/>
      </c>
      <c r="AA276" s="38" t="str">
        <f>IFERROR(_xlfn.XLOOKUP($A276,'Raw Data'!$G:$G,'Raw Data'!AE:AE)*(1+(_xlfn.XLOOKUP(Table13[[#This Row],[Month Year]],JMR!$A:$A,JMR!$J:$J))),"")</f>
        <v/>
      </c>
      <c r="AB276" s="17">
        <f>_xlfn.XLOOKUP($D276,'Modelling New'!D:D,'Modelling New'!N:N)</f>
        <v>10.507</v>
      </c>
      <c r="AC276" s="24">
        <f>IFERROR(_xlfn.XLOOKUP($D276,'Modelling New'!$D:$D,'Modelling New'!P:P),"")</f>
        <v>5.671045235483871</v>
      </c>
      <c r="AD276" s="38">
        <f>IFERROR(_xlfn.XLOOKUP($D276,'Modelling New'!$D:$D,'Modelling New'!T:T)*1000,"")</f>
        <v>43169.874244195649</v>
      </c>
      <c r="AE276" s="164">
        <f t="shared" si="24"/>
        <v>0.72450091751334023</v>
      </c>
      <c r="AF276" s="164">
        <f>IFERROR(_xlfn.XLOOKUP($D276,'Modelling New'!$D:$D,'Modelling New'!W:W),"")</f>
        <v>0.17119489484865505</v>
      </c>
      <c r="AG276" s="164">
        <f>IFERROR(_xlfn.XLOOKUP($D276,'Modelling New'!$D:$D,'Modelling New'!AD:AD),"")</f>
        <v>0.995</v>
      </c>
      <c r="AH276" s="164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64"/>
      <c r="AO276" s="164"/>
      <c r="AP276" s="164"/>
      <c r="AQ276" s="164"/>
      <c r="AR276" s="38">
        <f>IFERROR(_xlfn.XLOOKUP($D276,'Modelling New'!$D:$D,'Modelling New'!$N:$N),"")</f>
        <v>10.507</v>
      </c>
      <c r="AS276" s="38"/>
      <c r="AT276" s="38" t="str">
        <f>IFERROR(_xlfn.XLOOKUP(Table13[[#This Row],[Date]],'Raw Data'!$G:$G,'Raw Data'!$AJ:$AJ),"")</f>
        <v/>
      </c>
      <c r="AU276" s="38">
        <f>IFERROR(_xlfn.XLOOKUP(Table13[[#This Row],[Month Year]],'Modelling New'!$D:$D,'Modelling New'!$AN:$AN),"")</f>
        <v>10</v>
      </c>
      <c r="AV276" s="38">
        <f>SUMIF('Curtailment records'!$C:$C,Table13[[#This Row],[Date]],'Curtailment records'!$R:$R)/1000</f>
        <v>0</v>
      </c>
    </row>
    <row r="277" spans="1:48">
      <c r="A277" s="66">
        <f t="shared" si="25"/>
        <v>46020</v>
      </c>
      <c r="B277" s="38">
        <f>YEAR(Table13[[#This Row],[Date]])+IF(MONTH(Table13[[#This Row],[Date]])&gt;=4,1,0)</f>
        <v>2026</v>
      </c>
      <c r="C277" s="17">
        <f>YEAR(Table13[[#This Row],[Date]])</f>
        <v>2025</v>
      </c>
      <c r="D277" s="37">
        <f>Table13[[#This Row],[Date]]-DAY(Table13[[#This Row],[Date]])+1</f>
        <v>45992</v>
      </c>
      <c r="E277" s="17">
        <f t="shared" si="26"/>
        <v>31</v>
      </c>
      <c r="F277" s="135" t="str" cm="1">
        <f t="array" ref="F277">IFERROR(_xlfn.XLOOKUP(Table13[[#This Row],[Date]],Raw_Data[[#All],[Date]],Raw_Data[[#All],[Operating Hours]]),"")</f>
        <v/>
      </c>
      <c r="G277" s="136" t="str">
        <f>IFERROR(_xlfn.XLOOKUP($A277,'Raw Data'!$G:$G,'Raw Data'!S:S)/1000,"")</f>
        <v/>
      </c>
      <c r="H277" s="136"/>
      <c r="I277" s="136" t="str">
        <f>IFERROR(_xlfn.XLOOKUP($A277,'Raw Data'!$G:$G,'Raw Data'!AF:AF)/1000,"")</f>
        <v/>
      </c>
      <c r="J277" s="136"/>
      <c r="K277" s="137" t="str">
        <f>IFERROR(_xlfn.XLOOKUP($A277,'Raw Data'!$G:$G,'Raw Data'!W:W),"")</f>
        <v/>
      </c>
      <c r="L277" s="136" t="str">
        <f>IFERROR(_xlfn.XLOOKUP($A277,'Raw Data'!$G:$G,'Raw Data'!X:X),"")</f>
        <v/>
      </c>
      <c r="M277" s="136" t="str">
        <f>IFERROR(_xlfn.XLOOKUP($A277,'Raw Data'!$G:$G,'Raw Data'!Y:Y),"")</f>
        <v/>
      </c>
      <c r="N277" s="136" t="str">
        <f>IFERROR(_xlfn.XLOOKUP($A277,'Raw Data'!$G:$G,'Raw Data'!Z:Z),"")</f>
        <v/>
      </c>
      <c r="O277" s="176" t="str">
        <f>IFERROR(1-SUMIF('Plant BD'!$B:$B,$A277,'Plant BD'!$AM:$AM)/($AA277+SUMIF('Plant BD'!$B:$B,$A277,'Plant BD'!$AM:$AM)),"")</f>
        <v/>
      </c>
      <c r="P277" s="176"/>
      <c r="Q277" s="177"/>
      <c r="R277" s="176" t="str">
        <f>IFERROR(1-SUMIF('Grid BD'!$B:$B,$A277,'Grid BD'!$AE:$AE)/($AA277+SUMIF('Grid BD'!$B:$B,$A277,'Grid BD'!$AE:$AE)),"")</f>
        <v/>
      </c>
      <c r="S277" s="17"/>
      <c r="T277" s="177" t="str">
        <f>IFERROR(1-SUMIF(Tracker_BD!H:H,$A277,Tracker_BD!AI:AI)/$F277,"")</f>
        <v/>
      </c>
      <c r="U277" s="178" t="str">
        <f t="shared" si="22"/>
        <v/>
      </c>
      <c r="V277" s="17"/>
      <c r="W277" s="164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38" t="str">
        <f>IFERROR(_xlfn.XLOOKUP($A277,'Raw Data'!$G:$G,'Raw Data'!AD:AD),"")</f>
        <v/>
      </c>
      <c r="AA277" s="38" t="str">
        <f>IFERROR(_xlfn.XLOOKUP($A277,'Raw Data'!$G:$G,'Raw Data'!AE:AE)*(1+(_xlfn.XLOOKUP(Table13[[#This Row],[Month Year]],JMR!$A:$A,JMR!$J:$J))),"")</f>
        <v/>
      </c>
      <c r="AB277" s="17">
        <f>_xlfn.XLOOKUP($D277,'Modelling New'!D:D,'Modelling New'!N:N)</f>
        <v>10.507</v>
      </c>
      <c r="AC277" s="24">
        <f>IFERROR(_xlfn.XLOOKUP($D277,'Modelling New'!$D:$D,'Modelling New'!P:P),"")</f>
        <v>5.671045235483871</v>
      </c>
      <c r="AD277" s="38">
        <f>IFERROR(_xlfn.XLOOKUP($D277,'Modelling New'!$D:$D,'Modelling New'!T:T)*1000,"")</f>
        <v>43169.874244195649</v>
      </c>
      <c r="AE277" s="164">
        <f t="shared" si="24"/>
        <v>0.72450091751334023</v>
      </c>
      <c r="AF277" s="164">
        <f>IFERROR(_xlfn.XLOOKUP($D277,'Modelling New'!$D:$D,'Modelling New'!W:W),"")</f>
        <v>0.17119489484865505</v>
      </c>
      <c r="AG277" s="164">
        <f>IFERROR(_xlfn.XLOOKUP($D277,'Modelling New'!$D:$D,'Modelling New'!AD:AD),"")</f>
        <v>0.995</v>
      </c>
      <c r="AH277" s="164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64"/>
      <c r="AO277" s="164"/>
      <c r="AP277" s="164"/>
      <c r="AQ277" s="164"/>
      <c r="AR277" s="38">
        <f>IFERROR(_xlfn.XLOOKUP($D277,'Modelling New'!$D:$D,'Modelling New'!$N:$N),"")</f>
        <v>10.507</v>
      </c>
      <c r="AS277" s="38"/>
      <c r="AT277" s="38" t="str">
        <f>IFERROR(_xlfn.XLOOKUP(Table13[[#This Row],[Date]],'Raw Data'!$G:$G,'Raw Data'!$AJ:$AJ),"")</f>
        <v/>
      </c>
      <c r="AU277" s="38">
        <f>IFERROR(_xlfn.XLOOKUP(Table13[[#This Row],[Month Year]],'Modelling New'!$D:$D,'Modelling New'!$AN:$AN),"")</f>
        <v>10</v>
      </c>
      <c r="AV277" s="38">
        <f>SUMIF('Curtailment records'!$C:$C,Table13[[#This Row],[Date]],'Curtailment records'!$R:$R)/1000</f>
        <v>0</v>
      </c>
    </row>
    <row r="278" spans="1:48">
      <c r="A278" s="66">
        <f t="shared" si="25"/>
        <v>46021</v>
      </c>
      <c r="B278" s="38">
        <f>YEAR(Table13[[#This Row],[Date]])+IF(MONTH(Table13[[#This Row],[Date]])&gt;=4,1,0)</f>
        <v>2026</v>
      </c>
      <c r="C278" s="17">
        <f>YEAR(Table13[[#This Row],[Date]])</f>
        <v>2025</v>
      </c>
      <c r="D278" s="37">
        <f>Table13[[#This Row],[Date]]-DAY(Table13[[#This Row],[Date]])+1</f>
        <v>45992</v>
      </c>
      <c r="E278" s="17">
        <f t="shared" si="26"/>
        <v>31</v>
      </c>
      <c r="F278" s="135" t="str" cm="1">
        <f t="array" ref="F278">IFERROR(_xlfn.XLOOKUP(Table13[[#This Row],[Date]],Raw_Data[[#All],[Date]],Raw_Data[[#All],[Operating Hours]]),"")</f>
        <v/>
      </c>
      <c r="G278" s="24" t="str">
        <f>IFERROR(_xlfn.XLOOKUP($A278,'Raw Data'!$G:$G,'Raw Data'!S:S)/1000,"")</f>
        <v/>
      </c>
      <c r="H278" s="24"/>
      <c r="I278" s="24" t="str">
        <f>IFERROR(_xlfn.XLOOKUP($A278,'Raw Data'!$G:$G,'Raw Data'!AF:AF)/1000,"")</f>
        <v/>
      </c>
      <c r="J278" s="24"/>
      <c r="K278" s="137" t="str">
        <f>IFERROR(_xlfn.XLOOKUP($A278,'Raw Data'!$G:$G,'Raw Data'!W:W),"")</f>
        <v/>
      </c>
      <c r="L278" s="136" t="str">
        <f>IFERROR(_xlfn.XLOOKUP($A278,'Raw Data'!$G:$G,'Raw Data'!X:X),"")</f>
        <v/>
      </c>
      <c r="M278" s="136" t="str">
        <f>IFERROR(_xlfn.XLOOKUP($A278,'Raw Data'!$G:$G,'Raw Data'!Y:Y),"")</f>
        <v/>
      </c>
      <c r="N278" s="136" t="str">
        <f>IFERROR(_xlfn.XLOOKUP($A278,'Raw Data'!$G:$G,'Raw Data'!Z:Z),"")</f>
        <v/>
      </c>
      <c r="O278" s="176" t="str">
        <f>IFERROR(1-SUMIF('Plant BD'!$B:$B,$A278,'Plant BD'!$AM:$AM)/($AA278+SUMIF('Plant BD'!$B:$B,$A278,'Plant BD'!$AM:$AM)),"")</f>
        <v/>
      </c>
      <c r="P278" s="176"/>
      <c r="Q278" s="177"/>
      <c r="R278" s="179" t="str">
        <f>IFERROR(1-SUMIF('Grid BD'!$B:$B,$A278,'Grid BD'!$AE:$AE)/($AA278+SUMIF('Grid BD'!$B:$B,$A278,'Grid BD'!$AE:$AE)),"")</f>
        <v/>
      </c>
      <c r="S278" s="17"/>
      <c r="T278" s="177" t="str">
        <f>IFERROR(1-SUMIF(Tracker_BD!H:H,$A278,Tracker_BD!AI:AI)/$F278,"")</f>
        <v/>
      </c>
      <c r="U278" s="178" t="str">
        <f t="shared" si="22"/>
        <v/>
      </c>
      <c r="V278" s="17"/>
      <c r="W278" s="164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38" t="str">
        <f>IFERROR(_xlfn.XLOOKUP($A278,'Raw Data'!$G:$G,'Raw Data'!AD:AD),"")</f>
        <v/>
      </c>
      <c r="AA278" s="38" t="str">
        <f>IFERROR(_xlfn.XLOOKUP($A278,'Raw Data'!$G:$G,'Raw Data'!AE:AE)*(1+(_xlfn.XLOOKUP(Table13[[#This Row],[Month Year]],JMR!$A:$A,JMR!$J:$J))),"")</f>
        <v/>
      </c>
      <c r="AB278" s="17">
        <f>_xlfn.XLOOKUP($D278,'Modelling New'!D:D,'Modelling New'!N:N)</f>
        <v>10.507</v>
      </c>
      <c r="AC278" s="24">
        <f>IFERROR(_xlfn.XLOOKUP($D278,'Modelling New'!$D:$D,'Modelling New'!P:P),"")</f>
        <v>5.671045235483871</v>
      </c>
      <c r="AD278" s="38">
        <f>IFERROR(_xlfn.XLOOKUP($D278,'Modelling New'!$D:$D,'Modelling New'!T:T)*1000,"")</f>
        <v>43169.874244195649</v>
      </c>
      <c r="AE278" s="164">
        <f t="shared" si="24"/>
        <v>0.72450091751334023</v>
      </c>
      <c r="AF278" s="164">
        <f>IFERROR(_xlfn.XLOOKUP($D278,'Modelling New'!$D:$D,'Modelling New'!W:W),"")</f>
        <v>0.17119489484865505</v>
      </c>
      <c r="AG278" s="164">
        <f>IFERROR(_xlfn.XLOOKUP($D278,'Modelling New'!$D:$D,'Modelling New'!AD:AD),"")</f>
        <v>0.995</v>
      </c>
      <c r="AH278" s="164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64"/>
      <c r="AO278" s="164"/>
      <c r="AP278" s="164"/>
      <c r="AQ278" s="164"/>
      <c r="AR278" s="38">
        <f>IFERROR(_xlfn.XLOOKUP($D278,'Modelling New'!$D:$D,'Modelling New'!$N:$N),"")</f>
        <v>10.507</v>
      </c>
      <c r="AS278" s="38"/>
      <c r="AT278" s="38" t="str">
        <f>IFERROR(_xlfn.XLOOKUP(Table13[[#This Row],[Date]],'Raw Data'!$G:$G,'Raw Data'!$AJ:$AJ),"")</f>
        <v/>
      </c>
      <c r="AU278" s="38">
        <f>IFERROR(_xlfn.XLOOKUP(Table13[[#This Row],[Month Year]],'Modelling New'!$D:$D,'Modelling New'!$AN:$AN),"")</f>
        <v>10</v>
      </c>
      <c r="AV278" s="38">
        <f>SUMIF('Curtailment records'!$C:$C,Table13[[#This Row],[Date]],'Curtailment records'!$R:$R)/1000</f>
        <v>0</v>
      </c>
    </row>
    <row r="279" spans="1:48">
      <c r="A279" s="66">
        <f t="shared" si="25"/>
        <v>46022</v>
      </c>
      <c r="B279" s="38">
        <f>YEAR(Table13[[#This Row],[Date]])+IF(MONTH(Table13[[#This Row],[Date]])&gt;=4,1,0)</f>
        <v>2026</v>
      </c>
      <c r="C279" s="17">
        <f>YEAR(Table13[[#This Row],[Date]])</f>
        <v>2025</v>
      </c>
      <c r="D279" s="37">
        <f>Table13[[#This Row],[Date]]-DAY(Table13[[#This Row],[Date]])+1</f>
        <v>45992</v>
      </c>
      <c r="E279" s="17">
        <f t="shared" si="26"/>
        <v>31</v>
      </c>
      <c r="F279" s="135" t="str" cm="1">
        <f t="array" ref="F279">IFERROR(_xlfn.XLOOKUP(Table13[[#This Row],[Date]],Raw_Data[[#All],[Date]],Raw_Data[[#All],[Operating Hours]]),"")</f>
        <v/>
      </c>
      <c r="G279" s="136" t="str">
        <f>IFERROR(_xlfn.XLOOKUP($A279,'Raw Data'!$G:$G,'Raw Data'!S:S)/1000,"")</f>
        <v/>
      </c>
      <c r="H279" s="136"/>
      <c r="I279" s="136" t="str">
        <f>IFERROR(_xlfn.XLOOKUP($A279,'Raw Data'!$G:$G,'Raw Data'!AF:AF)/1000,"")</f>
        <v/>
      </c>
      <c r="J279" s="136"/>
      <c r="K279" s="137" t="str">
        <f>IFERROR(_xlfn.XLOOKUP($A279,'Raw Data'!$G:$G,'Raw Data'!W:W),"")</f>
        <v/>
      </c>
      <c r="L279" s="136" t="str">
        <f>IFERROR(_xlfn.XLOOKUP($A279,'Raw Data'!$G:$G,'Raw Data'!X:X),"")</f>
        <v/>
      </c>
      <c r="M279" s="136" t="str">
        <f>IFERROR(_xlfn.XLOOKUP($A279,'Raw Data'!$G:$G,'Raw Data'!Y:Y),"")</f>
        <v/>
      </c>
      <c r="N279" s="136" t="str">
        <f>IFERROR(_xlfn.XLOOKUP($A279,'Raw Data'!$G:$G,'Raw Data'!Z:Z),"")</f>
        <v/>
      </c>
      <c r="O279" s="176" t="str">
        <f>IFERROR(1-SUMIF('Plant BD'!$B:$B,$A279,'Plant BD'!$AM:$AM)/($AA279+SUMIF('Plant BD'!$B:$B,$A279,'Plant BD'!$AM:$AM)),"")</f>
        <v/>
      </c>
      <c r="P279" s="176"/>
      <c r="Q279" s="177"/>
      <c r="R279" s="176" t="str">
        <f>IFERROR(1-SUMIF('Grid BD'!$B:$B,$A279,'Grid BD'!$AE:$AE)/($AA279+SUMIF('Grid BD'!$B:$B,$A279,'Grid BD'!$AE:$AE)),"")</f>
        <v/>
      </c>
      <c r="S279" s="17"/>
      <c r="T279" s="177" t="str">
        <f>IFERROR(1-SUMIF(Tracker_BD!H:H,$A279,Tracker_BD!AI:AI)/$F279,"")</f>
        <v/>
      </c>
      <c r="U279" s="178" t="str">
        <f t="shared" si="22"/>
        <v/>
      </c>
      <c r="V279" s="17"/>
      <c r="W279" s="164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38" t="str">
        <f>IFERROR(_xlfn.XLOOKUP($A279,'Raw Data'!$G:$G,'Raw Data'!AD:AD),"")</f>
        <v/>
      </c>
      <c r="AA279" s="38" t="str">
        <f>IFERROR(_xlfn.XLOOKUP($A279,'Raw Data'!$G:$G,'Raw Data'!AE:AE)*(1+(_xlfn.XLOOKUP(Table13[[#This Row],[Month Year]],JMR!$A:$A,JMR!$J:$J))),"")</f>
        <v/>
      </c>
      <c r="AB279" s="17">
        <f>_xlfn.XLOOKUP($D279,'Modelling New'!D:D,'Modelling New'!N:N)</f>
        <v>10.507</v>
      </c>
      <c r="AC279" s="24">
        <f>IFERROR(_xlfn.XLOOKUP($D279,'Modelling New'!$D:$D,'Modelling New'!P:P),"")</f>
        <v>5.671045235483871</v>
      </c>
      <c r="AD279" s="38">
        <f>IFERROR(_xlfn.XLOOKUP($D279,'Modelling New'!$D:$D,'Modelling New'!T:T)*1000,"")</f>
        <v>43169.874244195649</v>
      </c>
      <c r="AE279" s="164">
        <f t="shared" si="24"/>
        <v>0.72450091751334023</v>
      </c>
      <c r="AF279" s="164">
        <f>IFERROR(_xlfn.XLOOKUP($D279,'Modelling New'!$D:$D,'Modelling New'!W:W),"")</f>
        <v>0.17119489484865505</v>
      </c>
      <c r="AG279" s="164">
        <f>IFERROR(_xlfn.XLOOKUP($D279,'Modelling New'!$D:$D,'Modelling New'!AD:AD),"")</f>
        <v>0.995</v>
      </c>
      <c r="AH279" s="164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64"/>
      <c r="AO279" s="164"/>
      <c r="AP279" s="164"/>
      <c r="AQ279" s="164"/>
      <c r="AR279" s="38">
        <f>IFERROR(_xlfn.XLOOKUP($D279,'Modelling New'!$D:$D,'Modelling New'!$N:$N),"")</f>
        <v>10.507</v>
      </c>
      <c r="AS279" s="38"/>
      <c r="AT279" s="38" t="str">
        <f>IFERROR(_xlfn.XLOOKUP(Table13[[#This Row],[Date]],'Raw Data'!$G:$G,'Raw Data'!$AJ:$AJ),"")</f>
        <v/>
      </c>
      <c r="AU279" s="38">
        <f>IFERROR(_xlfn.XLOOKUP(Table13[[#This Row],[Month Year]],'Modelling New'!$D:$D,'Modelling New'!$AN:$AN),"")</f>
        <v>10</v>
      </c>
      <c r="AV279" s="38">
        <f>SUMIF('Curtailment records'!$C:$C,Table13[[#This Row],[Date]],'Curtailment records'!$R:$R)/1000</f>
        <v>0</v>
      </c>
    </row>
  </sheetData>
  <sheetProtection algorithmName="SHA-512" hashValue="4jk+c8ri1RIV8JhTJq+Nm/W+sISgKnxSX9+X5FnhCMnmhnSDQxdAuLd89dVCsVX7uQUP+cys7ipMh0uYOfnaQQ==" saltValue="z9V1Whqzs++flgF+Yd2Js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J132"/>
  <sheetViews>
    <sheetView topLeftCell="A2" zoomScale="95" zoomScaleNormal="95" workbookViewId="0">
      <pane xSplit="7" ySplit="2" topLeftCell="K122" activePane="bottomRight" state="frozen"/>
      <selection activeCell="I9" sqref="I9"/>
      <selection pane="topRight" activeCell="I9" sqref="I9"/>
      <selection pane="bottomLeft" activeCell="I9" sqref="I9"/>
      <selection pane="bottomRight" activeCell="U132" sqref="U132"/>
    </sheetView>
  </sheetViews>
  <sheetFormatPr defaultColWidth="9" defaultRowHeight="15"/>
  <cols>
    <col min="1" max="1" width="11.140625" style="17" customWidth="1"/>
    <col min="2" max="2" width="12.42578125" style="17" customWidth="1"/>
    <col min="3" max="4" width="12.140625" style="17" customWidth="1"/>
    <col min="5" max="6" width="9" style="17" customWidth="1"/>
    <col min="7" max="8" width="12.42578125" style="17" customWidth="1"/>
    <col min="9" max="9" width="9.5703125" style="17" customWidth="1"/>
    <col min="10" max="10" width="10.85546875" style="17" customWidth="1"/>
    <col min="11" max="16" width="9.85546875" style="17" customWidth="1"/>
    <col min="17" max="17" width="10.140625" style="17" customWidth="1"/>
    <col min="18" max="21" width="9.85546875" style="17" customWidth="1"/>
    <col min="22" max="22" width="10.140625" style="17" customWidth="1"/>
    <col min="23" max="24" width="10.42578125" style="17" customWidth="1"/>
    <col min="25" max="25" width="9.42578125" style="17" customWidth="1"/>
    <col min="26" max="26" width="9.85546875" style="17" customWidth="1"/>
    <col min="27" max="27" width="10" style="17" customWidth="1"/>
    <col min="28" max="30" width="9.85546875" style="17" customWidth="1"/>
    <col min="31" max="31" width="12.42578125" style="17" customWidth="1"/>
    <col min="32" max="33" width="9.85546875" style="17" customWidth="1"/>
    <col min="34" max="34" width="13.42578125" style="17" bestFit="1" customWidth="1"/>
    <col min="35" max="16384" width="9" style="17"/>
  </cols>
  <sheetData>
    <row r="1" spans="1:36" ht="15.75" hidden="1">
      <c r="Q1" s="17">
        <v>68346.585999999996</v>
      </c>
      <c r="R1" s="17">
        <v>9.5172760000000007</v>
      </c>
      <c r="AH1" s="133">
        <v>68213.040999999997</v>
      </c>
    </row>
    <row r="2" spans="1:36">
      <c r="H2" s="17">
        <v>2</v>
      </c>
      <c r="I2" s="17">
        <f t="shared" ref="I2:AJ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  <c r="AJ2" s="17">
        <f t="shared" si="0"/>
        <v>30</v>
      </c>
    </row>
    <row r="3" spans="1:36" ht="60">
      <c r="A3" s="63" t="s">
        <v>178</v>
      </c>
      <c r="B3" s="63" t="s">
        <v>138</v>
      </c>
      <c r="C3" s="63" t="s">
        <v>179</v>
      </c>
      <c r="D3" s="63" t="s">
        <v>180</v>
      </c>
      <c r="E3" s="63" t="s">
        <v>139</v>
      </c>
      <c r="F3" s="63" t="s">
        <v>65</v>
      </c>
      <c r="G3" s="64" t="s">
        <v>36</v>
      </c>
      <c r="H3" s="64" t="s">
        <v>181</v>
      </c>
      <c r="I3" s="33" t="s">
        <v>182</v>
      </c>
      <c r="J3" s="33" t="s">
        <v>183</v>
      </c>
      <c r="K3" s="33" t="s">
        <v>184</v>
      </c>
      <c r="L3" s="33" t="s">
        <v>185</v>
      </c>
      <c r="M3" s="33" t="s">
        <v>186</v>
      </c>
      <c r="N3" s="33" t="s">
        <v>187</v>
      </c>
      <c r="O3" s="33" t="s">
        <v>188</v>
      </c>
      <c r="P3" s="33" t="s">
        <v>189</v>
      </c>
      <c r="Q3" s="65" t="s">
        <v>190</v>
      </c>
      <c r="R3" s="65" t="s">
        <v>191</v>
      </c>
      <c r="S3" s="65" t="s">
        <v>192</v>
      </c>
      <c r="T3" s="65" t="s">
        <v>193</v>
      </c>
      <c r="U3" s="65" t="s">
        <v>194</v>
      </c>
      <c r="V3" s="65" t="s">
        <v>195</v>
      </c>
      <c r="W3" s="65" t="s">
        <v>196</v>
      </c>
      <c r="X3" s="65" t="s">
        <v>197</v>
      </c>
      <c r="Y3" s="65" t="s">
        <v>198</v>
      </c>
      <c r="Z3" s="65" t="s">
        <v>199</v>
      </c>
      <c r="AA3" s="65" t="s">
        <v>200</v>
      </c>
      <c r="AB3" s="65" t="s">
        <v>201</v>
      </c>
      <c r="AC3" s="65" t="s">
        <v>202</v>
      </c>
      <c r="AD3" s="65" t="s">
        <v>203</v>
      </c>
      <c r="AE3" s="65" t="s">
        <v>204</v>
      </c>
      <c r="AF3" s="65" t="s">
        <v>205</v>
      </c>
      <c r="AG3" s="65" t="s">
        <v>206</v>
      </c>
      <c r="AH3" s="65" t="s">
        <v>207</v>
      </c>
      <c r="AI3" s="65" t="s">
        <v>140</v>
      </c>
      <c r="AJ3" s="65" t="s">
        <v>1707</v>
      </c>
    </row>
    <row r="4" spans="1:36">
      <c r="A4" s="17" t="s">
        <v>212</v>
      </c>
      <c r="B4" s="17">
        <v>2025</v>
      </c>
      <c r="C4" s="134" t="s">
        <v>211</v>
      </c>
      <c r="D4" s="134" t="s">
        <v>211</v>
      </c>
      <c r="E4" s="37">
        <v>45717</v>
      </c>
      <c r="F4" s="17">
        <f>DAY(EOMONTH(Raw_Data[[#This Row],[Month Year]],0))</f>
        <v>31</v>
      </c>
      <c r="G4" s="66">
        <v>45745</v>
      </c>
      <c r="H4" s="25">
        <f>_xlfn.XLOOKUP(Raw_Data[[#This Row],[Month Year]],'Modelling New'!D:D,'Modelling New'!N:N)</f>
        <v>10.507</v>
      </c>
      <c r="I4" s="26">
        <v>0.27013888888888887</v>
      </c>
      <c r="J4" s="26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5282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38">
        <v>30.493778334179805</v>
      </c>
      <c r="X4" s="25">
        <v>46.458635738124144</v>
      </c>
      <c r="Y4" s="25">
        <v>0.67533815142260123</v>
      </c>
      <c r="Z4" s="25">
        <v>0.69938041766484582</v>
      </c>
      <c r="AA4" s="17">
        <v>0</v>
      </c>
      <c r="AB4" s="17">
        <f>SUM(Raw_Data[[#This Row],[IC1_Inv1]:[IC2_Inv2]])</f>
        <v>51086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28">
        <f t="shared" ref="AI4:AI54" si="1">(J4-I4)*24</f>
        <v>12</v>
      </c>
    </row>
    <row r="5" spans="1:36">
      <c r="A5" s="17" t="s">
        <v>212</v>
      </c>
      <c r="B5" s="17">
        <v>2025</v>
      </c>
      <c r="C5" s="134" t="s">
        <v>211</v>
      </c>
      <c r="D5" s="134" t="s">
        <v>211</v>
      </c>
      <c r="E5" s="37">
        <v>45717</v>
      </c>
      <c r="F5" s="17">
        <f>DAY(EOMONTH(Raw_Data[[#This Row],[Month Year]],0))</f>
        <v>31</v>
      </c>
      <c r="G5" s="66">
        <v>45746</v>
      </c>
      <c r="H5" s="25">
        <f>_xlfn.XLOOKUP(Raw_Data[[#This Row],[Month Year]],'Modelling New'!D:D,'Modelling New'!N:N)</f>
        <v>10.507</v>
      </c>
      <c r="I5" s="26">
        <v>0.26944444444444443</v>
      </c>
      <c r="J5" s="26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5282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38">
        <v>30.195025294022972</v>
      </c>
      <c r="X5" s="25">
        <v>46.433191315288987</v>
      </c>
      <c r="Y5" s="25">
        <v>0.77068708417240572</v>
      </c>
      <c r="Z5" s="25">
        <v>3.0955795844395957</v>
      </c>
      <c r="AA5" s="17">
        <v>0</v>
      </c>
      <c r="AB5" s="17">
        <f>SUM(Raw_Data[[#This Row],[IC1_Inv1]:[IC2_Inv2]])</f>
        <v>50755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28">
        <f t="shared" si="1"/>
        <v>12.016666666666669</v>
      </c>
    </row>
    <row r="6" spans="1:36">
      <c r="A6" s="17" t="s">
        <v>212</v>
      </c>
      <c r="B6" s="17">
        <v>2025</v>
      </c>
      <c r="C6" s="134" t="s">
        <v>211</v>
      </c>
      <c r="D6" s="134" t="s">
        <v>211</v>
      </c>
      <c r="E6" s="37">
        <v>45717</v>
      </c>
      <c r="F6" s="17">
        <f>DAY(EOMONTH(Raw_Data[[#This Row],[Month Year]],0))</f>
        <v>31</v>
      </c>
      <c r="G6" s="66">
        <v>45747</v>
      </c>
      <c r="H6" s="25">
        <f>_xlfn.XLOOKUP(Raw_Data[[#This Row],[Month Year]],'Modelling New'!D:D,'Modelling New'!N:N)</f>
        <v>10.507</v>
      </c>
      <c r="I6" s="26">
        <v>0.26805555555555555</v>
      </c>
      <c r="J6" s="26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5282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38">
        <v>30.040434633803095</v>
      </c>
      <c r="X6" s="25">
        <v>44.926700342638739</v>
      </c>
      <c r="Y6" s="25">
        <v>0.68876265272189863</v>
      </c>
      <c r="Z6" s="25">
        <v>3.2757179439067841</v>
      </c>
      <c r="AA6" s="17">
        <v>0</v>
      </c>
      <c r="AB6" s="17">
        <f>SUM(Raw_Data[[#This Row],[IC1_Inv1]:[IC2_Inv2]])</f>
        <v>46606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28">
        <f t="shared" si="1"/>
        <v>12.066666666666666</v>
      </c>
    </row>
    <row r="7" spans="1:36">
      <c r="A7" s="17" t="s">
        <v>4</v>
      </c>
      <c r="B7" s="17">
        <v>2025</v>
      </c>
      <c r="C7" s="134" t="s">
        <v>211</v>
      </c>
      <c r="D7" s="134" t="s">
        <v>213</v>
      </c>
      <c r="E7" s="37">
        <v>45748</v>
      </c>
      <c r="F7" s="17">
        <f>DAY(EOMONTH(Raw_Data[[#This Row],[Month Year]],0))</f>
        <v>30</v>
      </c>
      <c r="G7" s="66">
        <v>45748</v>
      </c>
      <c r="H7" s="25">
        <f>_xlfn.XLOOKUP(Raw_Data[[#This Row],[Month Year]],'Modelling New'!D:D,'Modelling New'!N:N)</f>
        <v>10.507</v>
      </c>
      <c r="I7" s="26">
        <v>0.27013888888888887</v>
      </c>
      <c r="J7" s="26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5282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38">
        <v>28.438176432059823</v>
      </c>
      <c r="X7" s="25">
        <v>41.541824930939207</v>
      </c>
      <c r="Y7" s="25">
        <v>0.68870555603290118</v>
      </c>
      <c r="Z7" s="25">
        <v>0.78930177291234338</v>
      </c>
      <c r="AA7" s="17">
        <v>0</v>
      </c>
      <c r="AB7" s="17">
        <f>SUM(Raw_Data[[#This Row],[IC1_Inv1]:[IC2_Inv2]])</f>
        <v>39403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28">
        <f t="shared" si="1"/>
        <v>12.033333333333333</v>
      </c>
    </row>
    <row r="8" spans="1:36">
      <c r="A8" s="17" t="s">
        <v>4</v>
      </c>
      <c r="B8" s="17">
        <v>2025</v>
      </c>
      <c r="C8" s="134" t="s">
        <v>211</v>
      </c>
      <c r="D8" s="134" t="s">
        <v>213</v>
      </c>
      <c r="E8" s="37">
        <v>45748</v>
      </c>
      <c r="F8" s="17">
        <f>DAY(EOMONTH(Raw_Data[[#This Row],[Month Year]],0))</f>
        <v>30</v>
      </c>
      <c r="G8" s="66">
        <v>45749</v>
      </c>
      <c r="H8" s="25">
        <f>_xlfn.XLOOKUP(Raw_Data[[#This Row],[Month Year]],'Modelling New'!D:D,'Modelling New'!N:N)</f>
        <v>10.507</v>
      </c>
      <c r="I8" s="26">
        <v>0.26597222222222222</v>
      </c>
      <c r="J8" s="26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5282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38">
        <v>28.478929105502772</v>
      </c>
      <c r="X8" s="25">
        <v>44.05662915701064</v>
      </c>
      <c r="Y8" s="25">
        <v>0.68469360036346205</v>
      </c>
      <c r="Z8" s="25">
        <v>1.9063102801640828</v>
      </c>
      <c r="AA8" s="17">
        <v>0</v>
      </c>
      <c r="AB8" s="17">
        <f>SUM(Raw_Data[[#This Row],[IC1_Inv1]:[IC2_Inv2]])</f>
        <v>44735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28">
        <f t="shared" si="1"/>
        <v>11.85</v>
      </c>
    </row>
    <row r="9" spans="1:36">
      <c r="A9" s="17" t="s">
        <v>4</v>
      </c>
      <c r="B9" s="17">
        <v>2025</v>
      </c>
      <c r="C9" s="134" t="s">
        <v>211</v>
      </c>
      <c r="D9" s="134" t="s">
        <v>213</v>
      </c>
      <c r="E9" s="37">
        <v>45748</v>
      </c>
      <c r="F9" s="17">
        <f>DAY(EOMONTH(Raw_Data[[#This Row],[Month Year]],0))</f>
        <v>30</v>
      </c>
      <c r="G9" s="66">
        <v>45750</v>
      </c>
      <c r="H9" s="25">
        <f>_xlfn.XLOOKUP(Raw_Data[[#This Row],[Month Year]],'Modelling New'!D:D,'Modelling New'!N:N)</f>
        <v>10.507</v>
      </c>
      <c r="I9" s="26">
        <v>0.26319444444444445</v>
      </c>
      <c r="J9" s="26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5282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38">
        <v>25.545950410959318</v>
      </c>
      <c r="X9" s="25">
        <v>35.85720358835141</v>
      </c>
      <c r="Y9" s="25">
        <v>0.82389399524445828</v>
      </c>
      <c r="Z9" s="25">
        <v>5.407755533854167</v>
      </c>
      <c r="AA9" s="17">
        <v>3.81</v>
      </c>
      <c r="AB9" s="17">
        <f>SUM(Raw_Data[[#This Row],[IC1_Inv1]:[IC2_Inv2]])</f>
        <v>31063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28">
        <f t="shared" si="1"/>
        <v>11.816666666666666</v>
      </c>
    </row>
    <row r="10" spans="1:36">
      <c r="A10" s="17" t="s">
        <v>4</v>
      </c>
      <c r="B10" s="17">
        <v>2025</v>
      </c>
      <c r="C10" s="134" t="s">
        <v>211</v>
      </c>
      <c r="D10" s="134" t="s">
        <v>213</v>
      </c>
      <c r="E10" s="37">
        <v>45748</v>
      </c>
      <c r="F10" s="17">
        <f>DAY(EOMONTH(Raw_Data[[#This Row],[Month Year]],0))</f>
        <v>30</v>
      </c>
      <c r="G10" s="66">
        <v>45751</v>
      </c>
      <c r="H10" s="25">
        <f>_xlfn.XLOOKUP(Raw_Data[[#This Row],[Month Year]],'Modelling New'!D:D,'Modelling New'!N:N)</f>
        <v>10.507</v>
      </c>
      <c r="I10" s="26">
        <v>0.27152777777777776</v>
      </c>
      <c r="J10" s="26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5282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38">
        <v>29.781801782991668</v>
      </c>
      <c r="X10" s="25">
        <v>46.948979625035498</v>
      </c>
      <c r="Y10" s="25">
        <v>0.66325762648138886</v>
      </c>
      <c r="Z10" s="25">
        <v>3.4187512397766113</v>
      </c>
      <c r="AA10" s="17">
        <v>0</v>
      </c>
      <c r="AB10" s="17">
        <f>SUM(Raw_Data[[#This Row],[IC1_Inv1]:[IC2_Inv2]])</f>
        <v>48037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28">
        <f t="shared" si="1"/>
        <v>11.716666666666667</v>
      </c>
    </row>
    <row r="11" spans="1:36">
      <c r="A11" s="17" t="s">
        <v>4</v>
      </c>
      <c r="B11" s="17">
        <v>2025</v>
      </c>
      <c r="C11" s="134" t="s">
        <v>211</v>
      </c>
      <c r="D11" s="134" t="s">
        <v>213</v>
      </c>
      <c r="E11" s="37">
        <v>45748</v>
      </c>
      <c r="F11" s="17">
        <f>DAY(EOMONTH(Raw_Data[[#This Row],[Month Year]],0))</f>
        <v>30</v>
      </c>
      <c r="G11" s="66">
        <v>45752</v>
      </c>
      <c r="H11" s="25">
        <f>_xlfn.XLOOKUP(Raw_Data[[#This Row],[Month Year]],'Modelling New'!D:D,'Modelling New'!N:N)</f>
        <v>10.507</v>
      </c>
      <c r="I11" s="26">
        <v>0.26458333333333334</v>
      </c>
      <c r="J11" s="26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5282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38">
        <v>28.418743936451644</v>
      </c>
      <c r="X11" s="25">
        <v>45.769404163773885</v>
      </c>
      <c r="Y11" s="25">
        <v>0.68469360036346205</v>
      </c>
      <c r="Z11" s="25">
        <v>1.9063102801640828</v>
      </c>
      <c r="AA11" s="17">
        <v>0</v>
      </c>
      <c r="AB11" s="17">
        <f>SUM(Raw_Data[[#This Row],[IC1_Inv1]:[IC2_Inv2]])</f>
        <v>40547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28">
        <f t="shared" si="1"/>
        <v>12.033333333333333</v>
      </c>
    </row>
    <row r="12" spans="1:36">
      <c r="A12" s="17" t="s">
        <v>4</v>
      </c>
      <c r="B12" s="17">
        <v>2025</v>
      </c>
      <c r="C12" s="134" t="s">
        <v>211</v>
      </c>
      <c r="D12" s="134" t="s">
        <v>213</v>
      </c>
      <c r="E12" s="37">
        <v>45748</v>
      </c>
      <c r="F12" s="17">
        <f>DAY(EOMONTH(Raw_Data[[#This Row],[Month Year]],0))</f>
        <v>30</v>
      </c>
      <c r="G12" s="66">
        <v>45753</v>
      </c>
      <c r="H12" s="25">
        <f>_xlfn.XLOOKUP(Raw_Data[[#This Row],[Month Year]],'Modelling New'!D:D,'Modelling New'!N:N)</f>
        <v>10.507</v>
      </c>
      <c r="I12" s="26">
        <v>0.27083333333333331</v>
      </c>
      <c r="J12" s="26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5282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38">
        <v>28.769764650372348</v>
      </c>
      <c r="X12" s="25">
        <v>47.362187524686433</v>
      </c>
      <c r="Y12" s="25">
        <v>0.80936406749256928</v>
      </c>
      <c r="Z12" s="25">
        <v>5.3675416310628252</v>
      </c>
      <c r="AA12" s="17">
        <v>4.1100000000000003</v>
      </c>
      <c r="AB12" s="17">
        <f>SUM(Raw_Data[[#This Row],[IC1_Inv1]:[IC2_Inv2]])</f>
        <v>46811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28">
        <f t="shared" si="1"/>
        <v>11.933333333333335</v>
      </c>
    </row>
    <row r="13" spans="1:36">
      <c r="A13" s="17" t="s">
        <v>4</v>
      </c>
      <c r="B13" s="17">
        <v>2025</v>
      </c>
      <c r="C13" s="134" t="s">
        <v>211</v>
      </c>
      <c r="D13" s="134" t="s">
        <v>213</v>
      </c>
      <c r="E13" s="37">
        <v>45748</v>
      </c>
      <c r="F13" s="17">
        <f>DAY(EOMONTH(Raw_Data[[#This Row],[Month Year]],0))</f>
        <v>30</v>
      </c>
      <c r="G13" s="66">
        <v>45754</v>
      </c>
      <c r="H13" s="25">
        <f>_xlfn.XLOOKUP(Raw_Data[[#This Row],[Month Year]],'Modelling New'!D:D,'Modelling New'!N:N)</f>
        <v>10.507</v>
      </c>
      <c r="I13" s="26">
        <v>0.26458333333333334</v>
      </c>
      <c r="J13" s="26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5282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38">
        <v>30.242939734874899</v>
      </c>
      <c r="X13" s="25">
        <v>47.944768733645539</v>
      </c>
      <c r="Y13" s="25">
        <v>0.93582213106672063</v>
      </c>
      <c r="Z13" s="25">
        <v>4.3852015336354571</v>
      </c>
      <c r="AA13" s="17">
        <v>0</v>
      </c>
      <c r="AB13" s="17">
        <f>SUM(Raw_Data[[#This Row],[IC1_Inv1]:[IC2_Inv2]])</f>
        <v>49735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28">
        <f t="shared" si="1"/>
        <v>12.083333333333336</v>
      </c>
    </row>
    <row r="14" spans="1:36">
      <c r="A14" s="17" t="s">
        <v>4</v>
      </c>
      <c r="B14" s="17">
        <v>2025</v>
      </c>
      <c r="C14" s="134" t="s">
        <v>211</v>
      </c>
      <c r="D14" s="134" t="s">
        <v>213</v>
      </c>
      <c r="E14" s="37">
        <v>45748</v>
      </c>
      <c r="F14" s="17">
        <f>DAY(EOMONTH(Raw_Data[[#This Row],[Month Year]],0))</f>
        <v>30</v>
      </c>
      <c r="G14" s="66">
        <v>45755</v>
      </c>
      <c r="H14" s="25">
        <f>_xlfn.XLOOKUP(Raw_Data[[#This Row],[Month Year]],'Modelling New'!D:D,'Modelling New'!N:N)</f>
        <v>10.507</v>
      </c>
      <c r="I14" s="26">
        <v>0.26319444444444445</v>
      </c>
      <c r="J14" s="26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5282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38">
        <v>29.899258099466838</v>
      </c>
      <c r="X14" s="25">
        <v>45.501593429666315</v>
      </c>
      <c r="Y14" s="25">
        <v>0.8828547569296068</v>
      </c>
      <c r="Z14" s="25">
        <v>3.6838333606719971</v>
      </c>
      <c r="AA14" s="17">
        <v>0</v>
      </c>
      <c r="AB14" s="17">
        <f>SUM(Raw_Data[[#This Row],[IC1_Inv1]:[IC2_Inv2]])</f>
        <v>47199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28">
        <f t="shared" si="1"/>
        <v>11.75</v>
      </c>
    </row>
    <row r="15" spans="1:36">
      <c r="A15" s="17" t="s">
        <v>4</v>
      </c>
      <c r="B15" s="17">
        <v>2025</v>
      </c>
      <c r="C15" s="134" t="s">
        <v>211</v>
      </c>
      <c r="D15" s="134" t="s">
        <v>213</v>
      </c>
      <c r="E15" s="37">
        <v>45748</v>
      </c>
      <c r="F15" s="17">
        <f>DAY(EOMONTH(Raw_Data[[#This Row],[Month Year]],0))</f>
        <v>30</v>
      </c>
      <c r="G15" s="66">
        <v>45756</v>
      </c>
      <c r="H15" s="25">
        <f>_xlfn.XLOOKUP(Raw_Data[[#This Row],[Month Year]],'Modelling New'!D:D,'Modelling New'!N:N)</f>
        <v>10.507</v>
      </c>
      <c r="I15" s="26">
        <v>0.26250000000000001</v>
      </c>
      <c r="J15" s="26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5282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38">
        <v>29.618573787425692</v>
      </c>
      <c r="X15" s="25">
        <v>46.94411950321404</v>
      </c>
      <c r="Y15" s="25">
        <v>0.86043045264485218</v>
      </c>
      <c r="Z15" s="25">
        <v>2.7864521940549216</v>
      </c>
      <c r="AA15" s="17">
        <v>0</v>
      </c>
      <c r="AB15" s="17">
        <f>SUM(Raw_Data[[#This Row],[IC1_Inv1]:[IC2_Inv2]])</f>
        <v>49847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28">
        <f t="shared" si="1"/>
        <v>11.95</v>
      </c>
    </row>
    <row r="16" spans="1:36">
      <c r="A16" s="17" t="s">
        <v>4</v>
      </c>
      <c r="B16" s="17">
        <v>2025</v>
      </c>
      <c r="C16" s="134" t="s">
        <v>211</v>
      </c>
      <c r="D16" s="134" t="s">
        <v>213</v>
      </c>
      <c r="E16" s="37">
        <v>45748</v>
      </c>
      <c r="F16" s="17">
        <f>DAY(EOMONTH(Raw_Data[[#This Row],[Month Year]],0))</f>
        <v>30</v>
      </c>
      <c r="G16" s="66">
        <v>45757</v>
      </c>
      <c r="H16" s="25">
        <f>_xlfn.XLOOKUP(Raw_Data[[#This Row],[Month Year]],'Modelling New'!D:D,'Modelling New'!N:N)</f>
        <v>10.507</v>
      </c>
      <c r="I16" s="26">
        <v>0.26319444444444445</v>
      </c>
      <c r="J16" s="26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5282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38">
        <v>28.709098007763448</v>
      </c>
      <c r="X16" s="25">
        <v>41.839647416089669</v>
      </c>
      <c r="Y16" s="25">
        <v>1.2755807886358617</v>
      </c>
      <c r="Z16" s="25">
        <v>3.957697550455729</v>
      </c>
      <c r="AA16" s="17">
        <v>0</v>
      </c>
      <c r="AB16" s="17">
        <f>SUM(Raw_Data[[#This Row],[IC1_Inv1]:[IC2_Inv2]])</f>
        <v>46529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28">
        <f t="shared" si="1"/>
        <v>12.233333333333333</v>
      </c>
    </row>
    <row r="17" spans="1:35">
      <c r="A17" s="17" t="s">
        <v>4</v>
      </c>
      <c r="B17" s="17">
        <v>2025</v>
      </c>
      <c r="C17" s="134" t="s">
        <v>211</v>
      </c>
      <c r="D17" s="134" t="s">
        <v>213</v>
      </c>
      <c r="E17" s="37">
        <v>45748</v>
      </c>
      <c r="F17" s="17">
        <f>DAY(EOMONTH(Raw_Data[[#This Row],[Month Year]],0))</f>
        <v>30</v>
      </c>
      <c r="G17" s="66">
        <v>45758</v>
      </c>
      <c r="H17" s="25">
        <f>_xlfn.XLOOKUP(Raw_Data[[#This Row],[Month Year]],'Modelling New'!D:D,'Modelling New'!N:N)</f>
        <v>10.507</v>
      </c>
      <c r="I17" s="26">
        <v>0.2638888888888889</v>
      </c>
      <c r="J17" s="26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5282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38">
        <v>30.195025294022972</v>
      </c>
      <c r="X17" s="25">
        <v>46.433191315288987</v>
      </c>
      <c r="Y17" s="25">
        <v>0.77068708417240572</v>
      </c>
      <c r="Z17" s="25">
        <v>3.0955795844395957</v>
      </c>
      <c r="AA17" s="17">
        <v>0</v>
      </c>
      <c r="AB17" s="17">
        <f>SUM(Raw_Data[[#This Row],[IC1_Inv1]:[IC2_Inv2]])</f>
        <v>50929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28">
        <f t="shared" si="1"/>
        <v>11.883333333333333</v>
      </c>
    </row>
    <row r="18" spans="1:35">
      <c r="A18" s="17" t="s">
        <v>4</v>
      </c>
      <c r="B18" s="17">
        <v>2025</v>
      </c>
      <c r="C18" s="134" t="s">
        <v>211</v>
      </c>
      <c r="D18" s="134" t="s">
        <v>213</v>
      </c>
      <c r="E18" s="37">
        <v>45748</v>
      </c>
      <c r="F18" s="17">
        <f>DAY(EOMONTH(Raw_Data[[#This Row],[Month Year]],0))</f>
        <v>30</v>
      </c>
      <c r="G18" s="66">
        <v>45759</v>
      </c>
      <c r="H18" s="25">
        <f>_xlfn.XLOOKUP(Raw_Data[[#This Row],[Month Year]],'Modelling New'!D:D,'Modelling New'!N:N)</f>
        <v>10.507</v>
      </c>
      <c r="I18" s="26">
        <v>0.26458333333333334</v>
      </c>
      <c r="J18" s="26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5282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38">
        <v>29.689049315195515</v>
      </c>
      <c r="X18" s="25">
        <v>46.609074329603381</v>
      </c>
      <c r="Y18" s="25">
        <v>0.67979260494716853</v>
      </c>
      <c r="Z18" s="25">
        <v>4.34</v>
      </c>
      <c r="AA18" s="17">
        <v>0.98</v>
      </c>
      <c r="AB18" s="17">
        <f>SUM(Raw_Data[[#This Row],[IC1_Inv1]:[IC2_Inv2]])</f>
        <v>49348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28">
        <f t="shared" si="1"/>
        <v>11.999999999999998</v>
      </c>
    </row>
    <row r="19" spans="1:35">
      <c r="A19" s="17" t="s">
        <v>4</v>
      </c>
      <c r="B19" s="17">
        <v>2025</v>
      </c>
      <c r="C19" s="134" t="s">
        <v>211</v>
      </c>
      <c r="D19" s="134" t="s">
        <v>213</v>
      </c>
      <c r="E19" s="37">
        <v>45748</v>
      </c>
      <c r="F19" s="17">
        <f>DAY(EOMONTH(Raw_Data[[#This Row],[Month Year]],0))</f>
        <v>30</v>
      </c>
      <c r="G19" s="66">
        <v>45760</v>
      </c>
      <c r="H19" s="25">
        <f>_xlfn.XLOOKUP(Raw_Data[[#This Row],[Month Year]],'Modelling New'!D:D,'Modelling New'!N:N)</f>
        <v>10.507</v>
      </c>
      <c r="I19" s="26">
        <v>0.2638888888888889</v>
      </c>
      <c r="J19" s="26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5282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38">
        <v>30.195025294022972</v>
      </c>
      <c r="X19" s="25">
        <v>46.433191315288987</v>
      </c>
      <c r="Y19" s="25">
        <v>0.77068708417240572</v>
      </c>
      <c r="Z19" s="25">
        <v>3.0955795844395957</v>
      </c>
      <c r="AA19" s="17">
        <v>0</v>
      </c>
      <c r="AB19" s="17">
        <f>SUM(Raw_Data[[#This Row],[IC1_Inv1]:[IC2_Inv2]])</f>
        <v>50992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28">
        <f t="shared" si="1"/>
        <v>12.116666666666669</v>
      </c>
    </row>
    <row r="20" spans="1:35">
      <c r="A20" s="17" t="s">
        <v>4</v>
      </c>
      <c r="B20" s="17">
        <v>2025</v>
      </c>
      <c r="C20" s="134" t="s">
        <v>211</v>
      </c>
      <c r="D20" s="134" t="s">
        <v>213</v>
      </c>
      <c r="E20" s="37">
        <v>45748</v>
      </c>
      <c r="F20" s="17">
        <f>DAY(EOMONTH(Raw_Data[[#This Row],[Month Year]],0))</f>
        <v>30</v>
      </c>
      <c r="G20" s="66">
        <v>45761</v>
      </c>
      <c r="H20" s="25">
        <f>_xlfn.XLOOKUP(Raw_Data[[#This Row],[Month Year]],'Modelling New'!D:D,'Modelling New'!N:N)</f>
        <v>10.507</v>
      </c>
      <c r="I20" s="26">
        <v>0.2638888888888889</v>
      </c>
      <c r="J20" s="26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5282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38">
        <v>28.478929105502772</v>
      </c>
      <c r="X20" s="25">
        <v>44.05662915701064</v>
      </c>
      <c r="Y20" s="25">
        <v>0.68469360036346205</v>
      </c>
      <c r="Z20" s="25">
        <v>1.9063102801640828</v>
      </c>
      <c r="AA20" s="17">
        <v>1.34</v>
      </c>
      <c r="AB20" s="17">
        <f>SUM(Raw_Data[[#This Row],[IC1_Inv1]:[IC2_Inv2]])</f>
        <v>44810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28">
        <f t="shared" si="1"/>
        <v>12.016666666666664</v>
      </c>
    </row>
    <row r="21" spans="1:35">
      <c r="A21" s="17" t="s">
        <v>4</v>
      </c>
      <c r="B21" s="17">
        <v>2025</v>
      </c>
      <c r="C21" s="134" t="s">
        <v>211</v>
      </c>
      <c r="D21" s="134" t="s">
        <v>213</v>
      </c>
      <c r="E21" s="37">
        <v>45748</v>
      </c>
      <c r="F21" s="17">
        <f>DAY(EOMONTH(Raw_Data[[#This Row],[Month Year]],0))</f>
        <v>30</v>
      </c>
      <c r="G21" s="66">
        <v>45762</v>
      </c>
      <c r="H21" s="25">
        <f>_xlfn.XLOOKUP(Raw_Data[[#This Row],[Month Year]],'Modelling New'!D:D,'Modelling New'!N:N)</f>
        <v>10.507</v>
      </c>
      <c r="I21" s="26">
        <v>0.26527777777777778</v>
      </c>
      <c r="J21" s="26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5282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38">
        <v>30.166000119602909</v>
      </c>
      <c r="X21" s="25">
        <v>48.516029009902674</v>
      </c>
      <c r="Y21" s="25">
        <v>0.50302142967642638</v>
      </c>
      <c r="Z21" s="25">
        <v>0.51511903603871667</v>
      </c>
      <c r="AA21" s="17">
        <v>0</v>
      </c>
      <c r="AB21" s="17">
        <f>SUM(Raw_Data[[#This Row],[IC1_Inv1]:[IC2_Inv2]])</f>
        <v>47547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28">
        <f t="shared" si="1"/>
        <v>11.983333333333333</v>
      </c>
    </row>
    <row r="22" spans="1:35">
      <c r="A22" s="17" t="s">
        <v>4</v>
      </c>
      <c r="B22" s="17">
        <v>2025</v>
      </c>
      <c r="C22" s="134" t="s">
        <v>211</v>
      </c>
      <c r="D22" s="134" t="s">
        <v>213</v>
      </c>
      <c r="E22" s="37">
        <v>45748</v>
      </c>
      <c r="F22" s="17">
        <f>DAY(EOMONTH(Raw_Data[[#This Row],[Month Year]],0))</f>
        <v>30</v>
      </c>
      <c r="G22" s="66">
        <v>45763</v>
      </c>
      <c r="H22" s="25">
        <f>_xlfn.XLOOKUP(Raw_Data[[#This Row],[Month Year]],'Modelling New'!D:D,'Modelling New'!N:N)</f>
        <v>10.507</v>
      </c>
      <c r="I22" s="26">
        <v>0.2673611111111111</v>
      </c>
      <c r="J22" s="26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5282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38">
        <v>28.769764650372348</v>
      </c>
      <c r="X22" s="25">
        <v>47.362187524686433</v>
      </c>
      <c r="Y22" s="25">
        <v>0.80936406749256928</v>
      </c>
      <c r="Z22" s="25">
        <v>5.3675416310628252</v>
      </c>
      <c r="AA22" s="17">
        <v>0</v>
      </c>
      <c r="AB22" s="17">
        <f>SUM(Raw_Data[[#This Row],[IC1_Inv1]:[IC2_Inv2]])</f>
        <v>47616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28">
        <f t="shared" si="1"/>
        <v>11.916666666666666</v>
      </c>
    </row>
    <row r="23" spans="1:35">
      <c r="A23" s="17" t="s">
        <v>4</v>
      </c>
      <c r="B23" s="17">
        <v>2025</v>
      </c>
      <c r="C23" s="134" t="s">
        <v>211</v>
      </c>
      <c r="D23" s="134" t="s">
        <v>213</v>
      </c>
      <c r="E23" s="37">
        <v>45748</v>
      </c>
      <c r="F23" s="17">
        <v>30</v>
      </c>
      <c r="G23" s="66">
        <v>45764</v>
      </c>
      <c r="H23" s="25">
        <f>_xlfn.XLOOKUP(Raw_Data[[#This Row],[Month Year]],'Modelling New'!D:D,'Modelling New'!N:N)</f>
        <v>10.507</v>
      </c>
      <c r="I23" s="26">
        <v>0.2638888888888889</v>
      </c>
      <c r="J23" s="26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5282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38">
        <v>28.46296244171684</v>
      </c>
      <c r="X23" s="25">
        <v>43.485844479515499</v>
      </c>
      <c r="Y23" s="25">
        <v>1.615319773285163</v>
      </c>
      <c r="Z23" s="25">
        <v>3.9034866094589233</v>
      </c>
      <c r="AA23" s="17">
        <v>0</v>
      </c>
      <c r="AB23" s="17">
        <f>SUM(Raw_Data[[#This Row],[IC1_Inv1]:[IC2_Inv2]])</f>
        <v>52928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28">
        <f t="shared" si="1"/>
        <v>11.999999999999998</v>
      </c>
    </row>
    <row r="24" spans="1:35">
      <c r="A24" s="17" t="s">
        <v>4</v>
      </c>
      <c r="B24" s="17">
        <v>2025</v>
      </c>
      <c r="C24" s="134" t="s">
        <v>211</v>
      </c>
      <c r="D24" s="134" t="s">
        <v>213</v>
      </c>
      <c r="E24" s="37">
        <v>45748</v>
      </c>
      <c r="F24" s="17">
        <v>30</v>
      </c>
      <c r="G24" s="66">
        <v>45765</v>
      </c>
      <c r="H24" s="25">
        <f>_xlfn.XLOOKUP(Raw_Data[[#This Row],[Month Year]],'Modelling New'!D:D,'Modelling New'!N:N)</f>
        <v>10.507</v>
      </c>
      <c r="I24" s="26">
        <v>0.26458333333333334</v>
      </c>
      <c r="J24" s="26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5282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38">
        <v>28.769764650372348</v>
      </c>
      <c r="X24" s="25">
        <v>47.362187524686433</v>
      </c>
      <c r="Y24" s="25">
        <v>0.80936406749256928</v>
      </c>
      <c r="Z24" s="25">
        <v>5.3675416310628252</v>
      </c>
      <c r="AA24" s="17">
        <v>0</v>
      </c>
      <c r="AB24" s="17">
        <f>SUM(Raw_Data[[#This Row],[IC1_Inv1]:[IC2_Inv2]])</f>
        <v>47538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28">
        <f t="shared" si="1"/>
        <v>12.033333333333333</v>
      </c>
    </row>
    <row r="25" spans="1:35">
      <c r="A25" s="17" t="s">
        <v>4</v>
      </c>
      <c r="B25" s="17">
        <v>2025</v>
      </c>
      <c r="C25" s="134" t="s">
        <v>211</v>
      </c>
      <c r="D25" s="134" t="s">
        <v>213</v>
      </c>
      <c r="E25" s="37">
        <v>45748</v>
      </c>
      <c r="F25" s="17">
        <f>DAY(EOMONTH(Raw_Data[[#This Row],[Month Year]],0))</f>
        <v>30</v>
      </c>
      <c r="G25" s="66">
        <v>45766</v>
      </c>
      <c r="H25" s="25">
        <f>_xlfn.XLOOKUP(Raw_Data[[#This Row],[Month Year]],'Modelling New'!D:D,'Modelling New'!N:N)</f>
        <v>10.507</v>
      </c>
      <c r="I25" s="26">
        <v>0.26597222222222222</v>
      </c>
      <c r="J25" s="26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5282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38">
        <v>30.166000119602909</v>
      </c>
      <c r="X25" s="25">
        <v>48.516029009902674</v>
      </c>
      <c r="Y25" s="25">
        <v>0.50302142967642638</v>
      </c>
      <c r="Z25" s="25">
        <v>0.51511903603871667</v>
      </c>
      <c r="AA25" s="17">
        <v>4.24</v>
      </c>
      <c r="AB25" s="17">
        <f>SUM(Raw_Data[[#This Row],[IC1_Inv1]:[IC2_Inv2]])</f>
        <v>48807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28">
        <f t="shared" si="1"/>
        <v>11.816666666666666</v>
      </c>
    </row>
    <row r="26" spans="1:35">
      <c r="A26" s="17" t="s">
        <v>4</v>
      </c>
      <c r="B26" s="17">
        <v>2025</v>
      </c>
      <c r="C26" s="134" t="s">
        <v>211</v>
      </c>
      <c r="D26" s="134" t="s">
        <v>213</v>
      </c>
      <c r="E26" s="37">
        <v>45748</v>
      </c>
      <c r="F26" s="17">
        <f>DAY(EOMONTH(Raw_Data[[#This Row],[Month Year]],0))</f>
        <v>30</v>
      </c>
      <c r="G26" s="66">
        <v>45767</v>
      </c>
      <c r="H26" s="25">
        <f>_xlfn.XLOOKUP(Raw_Data[[#This Row],[Month Year]],'Modelling New'!D:D,'Modelling New'!N:N)</f>
        <v>10.507</v>
      </c>
      <c r="I26" s="26">
        <v>0.2673611111111111</v>
      </c>
      <c r="J26" s="26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5282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38">
        <v>25.080103093804148</v>
      </c>
      <c r="X26" s="25">
        <v>36.131179885227553</v>
      </c>
      <c r="Y26" s="25">
        <v>1.2496670054450136</v>
      </c>
      <c r="Z26" s="25">
        <v>5.451418399810791</v>
      </c>
      <c r="AA26" s="17">
        <v>0</v>
      </c>
      <c r="AB26" s="17">
        <f>SUM(Raw_Data[[#This Row],[IC1_Inv1]:[IC2_Inv2]])</f>
        <v>36115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28">
        <f t="shared" si="1"/>
        <v>11.666666666666666</v>
      </c>
    </row>
    <row r="27" spans="1:35">
      <c r="A27" s="17" t="s">
        <v>4</v>
      </c>
      <c r="B27" s="17">
        <v>2025</v>
      </c>
      <c r="C27" s="134" t="s">
        <v>211</v>
      </c>
      <c r="D27" s="134" t="s">
        <v>213</v>
      </c>
      <c r="E27" s="37">
        <v>45748</v>
      </c>
      <c r="F27" s="17">
        <f>DAY(EOMONTH(Raw_Data[[#This Row],[Month Year]],0))</f>
        <v>30</v>
      </c>
      <c r="G27" s="66">
        <v>45768</v>
      </c>
      <c r="H27" s="25">
        <f>_xlfn.XLOOKUP(Raw_Data[[#This Row],[Month Year]],'Modelling New'!D:D,'Modelling New'!N:N)</f>
        <v>10.507</v>
      </c>
      <c r="I27" s="26">
        <v>0.26319444444444445</v>
      </c>
      <c r="J27" s="26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5282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38">
        <v>28.478929105502772</v>
      </c>
      <c r="X27" s="25">
        <v>44.05662915701064</v>
      </c>
      <c r="Y27" s="25">
        <v>0.68469360036346205</v>
      </c>
      <c r="Z27" s="25">
        <v>1.9063102801640828</v>
      </c>
      <c r="AA27" s="17">
        <v>0</v>
      </c>
      <c r="AB27" s="17">
        <f>SUM(Raw_Data[[#This Row],[IC1_Inv1]:[IC2_Inv2]])</f>
        <v>43696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28">
        <f t="shared" si="1"/>
        <v>12.083333333333336</v>
      </c>
    </row>
    <row r="28" spans="1:35">
      <c r="A28" s="17" t="s">
        <v>4</v>
      </c>
      <c r="B28" s="17">
        <v>2025</v>
      </c>
      <c r="C28" s="134" t="s">
        <v>211</v>
      </c>
      <c r="D28" s="134" t="s">
        <v>213</v>
      </c>
      <c r="E28" s="37">
        <v>45748</v>
      </c>
      <c r="F28" s="17">
        <f>DAY(EOMONTH(Raw_Data[[#This Row],[Month Year]],0))</f>
        <v>30</v>
      </c>
      <c r="G28" s="66">
        <v>45769</v>
      </c>
      <c r="H28" s="25">
        <f>_xlfn.XLOOKUP(Raw_Data[[#This Row],[Month Year]],'Modelling New'!D:D,'Modelling New'!N:N)</f>
        <v>10.507</v>
      </c>
      <c r="I28" s="26">
        <v>0.26041666666666669</v>
      </c>
      <c r="J28" s="26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5282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38">
        <v>30.195025294022972</v>
      </c>
      <c r="X28" s="25">
        <v>46.433191315288987</v>
      </c>
      <c r="Y28" s="25">
        <v>0.77068708417240572</v>
      </c>
      <c r="Z28" s="25">
        <v>3.0955795844395957</v>
      </c>
      <c r="AA28" s="17">
        <v>0</v>
      </c>
      <c r="AB28" s="17">
        <f>SUM(Raw_Data[[#This Row],[IC1_Inv1]:[IC2_Inv2]])</f>
        <v>50525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28">
        <f t="shared" si="1"/>
        <v>12.166666666666666</v>
      </c>
    </row>
    <row r="29" spans="1:35">
      <c r="A29" s="17" t="s">
        <v>4</v>
      </c>
      <c r="B29" s="17">
        <v>2025</v>
      </c>
      <c r="C29" s="134" t="s">
        <v>211</v>
      </c>
      <c r="D29" s="134" t="s">
        <v>213</v>
      </c>
      <c r="E29" s="37">
        <v>45748</v>
      </c>
      <c r="F29" s="17">
        <f>DAY(EOMONTH(Raw_Data[[#This Row],[Month Year]],0))</f>
        <v>30</v>
      </c>
      <c r="G29" s="66">
        <v>45770</v>
      </c>
      <c r="H29" s="25">
        <f>_xlfn.XLOOKUP(Raw_Data[[#This Row],[Month Year]],'Modelling New'!D:D,'Modelling New'!N:N)</f>
        <v>10.507</v>
      </c>
      <c r="I29" s="26">
        <v>0.25972222222222224</v>
      </c>
      <c r="J29" s="26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5282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38">
        <v>30.227743835971779</v>
      </c>
      <c r="X29" s="25">
        <v>45.45609511283979</v>
      </c>
      <c r="Y29" s="25">
        <v>0.88646142972658759</v>
      </c>
      <c r="Z29" s="25">
        <v>4.0238666534423828</v>
      </c>
      <c r="AA29" s="17">
        <v>0</v>
      </c>
      <c r="AB29" s="17">
        <f>SUM(Raw_Data[[#This Row],[IC1_Inv1]:[IC2_Inv2]])</f>
        <v>45766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28">
        <f t="shared" si="1"/>
        <v>12.150000000000002</v>
      </c>
    </row>
    <row r="30" spans="1:35">
      <c r="A30" s="17" t="s">
        <v>4</v>
      </c>
      <c r="B30" s="17">
        <v>2025</v>
      </c>
      <c r="C30" s="134" t="s">
        <v>211</v>
      </c>
      <c r="D30" s="134" t="s">
        <v>213</v>
      </c>
      <c r="E30" s="37">
        <v>45748</v>
      </c>
      <c r="F30" s="17">
        <f>DAY(EOMONTH(Raw_Data[[#This Row],[Month Year]],0))</f>
        <v>30</v>
      </c>
      <c r="G30" s="66">
        <v>45771</v>
      </c>
      <c r="H30" s="25">
        <f>_xlfn.XLOOKUP(Raw_Data[[#This Row],[Month Year]],'Modelling New'!D:D,'Modelling New'!N:N)</f>
        <v>10.507</v>
      </c>
      <c r="I30" s="26">
        <v>0.26041666666666669</v>
      </c>
      <c r="J30" s="26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5282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38">
        <v>30.716914011706759</v>
      </c>
      <c r="X30" s="25">
        <v>47.324329121213658</v>
      </c>
      <c r="Y30" s="25">
        <v>1.0548261211318501</v>
      </c>
      <c r="Z30" s="25">
        <v>4.0429811477661133</v>
      </c>
      <c r="AA30" s="17">
        <v>0</v>
      </c>
      <c r="AB30" s="17">
        <f>SUM(Raw_Data[[#This Row],[IC1_Inv1]:[IC2_Inv2]])</f>
        <v>50266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28">
        <f t="shared" si="1"/>
        <v>12.216666666666669</v>
      </c>
    </row>
    <row r="31" spans="1:35">
      <c r="A31" s="17" t="s">
        <v>4</v>
      </c>
      <c r="B31" s="17">
        <v>2025</v>
      </c>
      <c r="C31" s="134" t="s">
        <v>211</v>
      </c>
      <c r="D31" s="134" t="s">
        <v>213</v>
      </c>
      <c r="E31" s="37">
        <v>45748</v>
      </c>
      <c r="F31" s="17">
        <f>DAY(EOMONTH(Raw_Data[[#This Row],[Month Year]],0))</f>
        <v>30</v>
      </c>
      <c r="G31" s="66">
        <v>45772</v>
      </c>
      <c r="H31" s="25">
        <f>_xlfn.XLOOKUP(Raw_Data[[#This Row],[Month Year]],'Modelling New'!D:D,'Modelling New'!N:N)</f>
        <v>10.507</v>
      </c>
      <c r="I31" s="26">
        <v>0.26527777777777778</v>
      </c>
      <c r="J31" s="26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5282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38">
        <v>30.478981988888393</v>
      </c>
      <c r="X31" s="25">
        <v>47.159383897794562</v>
      </c>
      <c r="Y31" s="25">
        <v>0.89743580618669716</v>
      </c>
      <c r="Z31" s="25">
        <v>3.3385260105133057</v>
      </c>
      <c r="AA31" s="17">
        <v>0</v>
      </c>
      <c r="AB31" s="17">
        <f>SUM(Raw_Data[[#This Row],[IC1_Inv1]:[IC2_Inv2]])</f>
        <v>46238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28">
        <f t="shared" si="1"/>
        <v>12.033333333333333</v>
      </c>
    </row>
    <row r="32" spans="1:35">
      <c r="A32" s="17" t="s">
        <v>4</v>
      </c>
      <c r="B32" s="17">
        <v>2025</v>
      </c>
      <c r="C32" s="134" t="s">
        <v>211</v>
      </c>
      <c r="D32" s="134" t="s">
        <v>213</v>
      </c>
      <c r="E32" s="37">
        <v>45748</v>
      </c>
      <c r="F32" s="17">
        <f>DAY(EOMONTH(Raw_Data[[#This Row],[Month Year]],0))</f>
        <v>30</v>
      </c>
      <c r="G32" s="66">
        <v>45773</v>
      </c>
      <c r="H32" s="25">
        <f>_xlfn.XLOOKUP(Raw_Data[[#This Row],[Month Year]],'Modelling New'!D:D,'Modelling New'!N:N)</f>
        <v>10.507</v>
      </c>
      <c r="I32" s="26">
        <v>0.25624999999999998</v>
      </c>
      <c r="J32" s="26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5282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38">
        <v>30.130225562531017</v>
      </c>
      <c r="X32" s="25">
        <v>47.661406682885215</v>
      </c>
      <c r="Y32" s="25">
        <v>1.2326965915930013</v>
      </c>
      <c r="Z32" s="25">
        <v>4.8131527900695801</v>
      </c>
      <c r="AA32" s="17">
        <v>0</v>
      </c>
      <c r="AB32" s="17">
        <f>SUM(Raw_Data[[#This Row],[IC1_Inv1]:[IC2_Inv2]])</f>
        <v>51304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28">
        <f t="shared" si="1"/>
        <v>12.250000000000002</v>
      </c>
    </row>
    <row r="33" spans="1:35">
      <c r="A33" s="17" t="s">
        <v>4</v>
      </c>
      <c r="B33" s="17">
        <v>2025</v>
      </c>
      <c r="C33" s="134" t="s">
        <v>211</v>
      </c>
      <c r="D33" s="134" t="s">
        <v>213</v>
      </c>
      <c r="E33" s="37">
        <v>45748</v>
      </c>
      <c r="F33" s="17">
        <f>DAY(EOMONTH(Raw_Data[[#This Row],[Month Year]],0))</f>
        <v>30</v>
      </c>
      <c r="G33" s="66">
        <v>45774</v>
      </c>
      <c r="H33" s="25">
        <f>_xlfn.XLOOKUP(Raw_Data[[#This Row],[Month Year]],'Modelling New'!D:D,'Modelling New'!N:N)</f>
        <v>10.507</v>
      </c>
      <c r="I33" s="26">
        <v>0.25833333333333336</v>
      </c>
      <c r="J33" s="26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5282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38">
        <v>30.227743835971779</v>
      </c>
      <c r="X33" s="25">
        <v>45.45609511283979</v>
      </c>
      <c r="Y33" s="25">
        <v>0.88646142972658759</v>
      </c>
      <c r="Z33" s="25">
        <v>4.0238666534423828</v>
      </c>
      <c r="AA33" s="17">
        <v>0</v>
      </c>
      <c r="AB33" s="17">
        <f>SUM(Raw_Data[[#This Row],[IC1_Inv1]:[IC2_Inv2]])</f>
        <v>45458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28">
        <f t="shared" si="1"/>
        <v>12.133333333333333</v>
      </c>
    </row>
    <row r="34" spans="1:35">
      <c r="A34" s="17" t="s">
        <v>4</v>
      </c>
      <c r="B34" s="17">
        <v>2025</v>
      </c>
      <c r="C34" s="134" t="s">
        <v>211</v>
      </c>
      <c r="D34" s="134" t="s">
        <v>213</v>
      </c>
      <c r="E34" s="37">
        <v>45748</v>
      </c>
      <c r="F34" s="17">
        <f>DAY(EOMONTH(Raw_Data[[#This Row],[Month Year]],0))</f>
        <v>30</v>
      </c>
      <c r="G34" s="66">
        <v>45775</v>
      </c>
      <c r="H34" s="25">
        <f>_xlfn.XLOOKUP(Raw_Data[[#This Row],[Month Year]],'Modelling New'!D:D,'Modelling New'!N:N)</f>
        <v>10.507</v>
      </c>
      <c r="I34" s="26">
        <v>0.26041666666666669</v>
      </c>
      <c r="J34" s="26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5282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38">
        <v>30.195025294022972</v>
      </c>
      <c r="X34" s="25">
        <v>46.433191315288987</v>
      </c>
      <c r="Y34" s="25">
        <v>0.77068708417240572</v>
      </c>
      <c r="Z34" s="25">
        <v>3.0955795844395957</v>
      </c>
      <c r="AA34" s="17">
        <v>3.45</v>
      </c>
      <c r="AB34" s="17">
        <f>SUM(Raw_Data[[#This Row],[IC1_Inv1]:[IC2_Inv2]])</f>
        <v>50824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28">
        <f t="shared" si="1"/>
        <v>11.866666666666665</v>
      </c>
    </row>
    <row r="35" spans="1:35">
      <c r="A35" s="17" t="s">
        <v>4</v>
      </c>
      <c r="B35" s="17">
        <v>2025</v>
      </c>
      <c r="C35" s="134" t="s">
        <v>211</v>
      </c>
      <c r="D35" s="134" t="s">
        <v>213</v>
      </c>
      <c r="E35" s="37">
        <v>45748</v>
      </c>
      <c r="F35" s="17">
        <f>DAY(EOMONTH(Raw_Data[[#This Row],[Month Year]],0))</f>
        <v>30</v>
      </c>
      <c r="G35" s="66">
        <v>45776</v>
      </c>
      <c r="H35" s="25">
        <f>_xlfn.XLOOKUP(Raw_Data[[#This Row],[Month Year]],'Modelling New'!D:D,'Modelling New'!N:N)</f>
        <v>10.507</v>
      </c>
      <c r="I35" s="26">
        <v>0.25486111111111109</v>
      </c>
      <c r="J35" s="26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5282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38">
        <v>28.832486485146188</v>
      </c>
      <c r="X35" s="25">
        <v>45.329904009844803</v>
      </c>
      <c r="Y35" s="25">
        <v>0.84027799351795296</v>
      </c>
      <c r="Z35" s="25">
        <v>4.5701980590820313</v>
      </c>
      <c r="AA35" s="17">
        <v>1.98</v>
      </c>
      <c r="AB35" s="17">
        <f>SUM(Raw_Data[[#This Row],[IC1_Inv1]:[IC2_Inv2]])</f>
        <v>47486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28">
        <f t="shared" si="1"/>
        <v>12.316666666666668</v>
      </c>
    </row>
    <row r="36" spans="1:35">
      <c r="A36" s="17" t="s">
        <v>4</v>
      </c>
      <c r="B36" s="17">
        <v>2025</v>
      </c>
      <c r="C36" s="134" t="s">
        <v>211</v>
      </c>
      <c r="D36" s="134" t="s">
        <v>213</v>
      </c>
      <c r="E36" s="37">
        <v>45748</v>
      </c>
      <c r="F36" s="17">
        <f>DAY(EOMONTH(Raw_Data[[#This Row],[Month Year]],0))</f>
        <v>30</v>
      </c>
      <c r="G36" s="66">
        <v>45777</v>
      </c>
      <c r="H36" s="25">
        <f>_xlfn.XLOOKUP(Raw_Data[[#This Row],[Month Year]],'Modelling New'!D:D,'Modelling New'!N:N)</f>
        <v>10.507</v>
      </c>
      <c r="I36" s="26">
        <v>0.25694444444444442</v>
      </c>
      <c r="J36" s="26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5282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38">
        <v>29.060165749943774</v>
      </c>
      <c r="X36" s="25">
        <v>45.871413189431898</v>
      </c>
      <c r="Y36" s="25">
        <v>1.0986528424951045</v>
      </c>
      <c r="Z36" s="25">
        <v>8.6628732681274414</v>
      </c>
      <c r="AA36" s="17">
        <v>0</v>
      </c>
      <c r="AB36" s="17">
        <f>SUM(Raw_Data[[#This Row],[IC1_Inv1]:[IC2_Inv2]])</f>
        <v>48801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28">
        <f t="shared" si="1"/>
        <v>12.216666666666669</v>
      </c>
    </row>
    <row r="37" spans="1:35">
      <c r="A37" s="17" t="s">
        <v>4</v>
      </c>
      <c r="B37" s="17">
        <v>2025</v>
      </c>
      <c r="C37" s="134" t="s">
        <v>211</v>
      </c>
      <c r="D37" s="134" t="s">
        <v>213</v>
      </c>
      <c r="E37" s="37">
        <v>45778</v>
      </c>
      <c r="F37" s="17">
        <f>DAY(EOMONTH(Raw_Data[[#This Row],[Month Year]],0))</f>
        <v>31</v>
      </c>
      <c r="G37" s="66">
        <v>45778</v>
      </c>
      <c r="H37" s="25">
        <f>_xlfn.XLOOKUP(Raw_Data[[#This Row],[Month Year]],'Modelling New'!D:D,'Modelling New'!N:N)</f>
        <v>10.507</v>
      </c>
      <c r="I37" s="26">
        <v>0.25694444444444442</v>
      </c>
      <c r="J37" s="26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5282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38">
        <v>28.478929105502772</v>
      </c>
      <c r="X37" s="25">
        <v>44.05662915701064</v>
      </c>
      <c r="Y37" s="25">
        <v>0.68469360036346205</v>
      </c>
      <c r="Z37" s="25">
        <v>1.9063102801640828</v>
      </c>
      <c r="AA37" s="17">
        <v>0</v>
      </c>
      <c r="AB37" s="17">
        <f>SUM(Raw_Data[[#This Row],[IC1_Inv1]:[IC2_Inv2]])</f>
        <v>31158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28">
        <f t="shared" si="1"/>
        <v>12.350000000000001</v>
      </c>
    </row>
    <row r="38" spans="1:35">
      <c r="A38" s="17" t="s">
        <v>4</v>
      </c>
      <c r="B38" s="17">
        <v>2025</v>
      </c>
      <c r="C38" s="134" t="s">
        <v>211</v>
      </c>
      <c r="D38" s="134" t="s">
        <v>213</v>
      </c>
      <c r="E38" s="37">
        <v>45778</v>
      </c>
      <c r="F38" s="17">
        <f>DAY(EOMONTH(Raw_Data[[#This Row],[Month Year]],0))</f>
        <v>31</v>
      </c>
      <c r="G38" s="66">
        <v>45779</v>
      </c>
      <c r="H38" s="25">
        <f>_xlfn.XLOOKUP(Raw_Data[[#This Row],[Month Year]],'Modelling New'!D:D,'Modelling New'!N:N)</f>
        <v>10.507</v>
      </c>
      <c r="I38" s="26">
        <v>0.25694444444444442</v>
      </c>
      <c r="J38" s="26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5282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38">
        <v>29.215711995311406</v>
      </c>
      <c r="X38" s="25">
        <v>45.438008059626043</v>
      </c>
      <c r="Y38" s="25">
        <v>0.72585032750730927</v>
      </c>
      <c r="Z38" s="25">
        <v>2.4936389923095703</v>
      </c>
      <c r="AA38" s="17">
        <v>0</v>
      </c>
      <c r="AB38" s="17">
        <f>SUM(Raw_Data[[#This Row],[IC1_Inv1]:[IC2_Inv2]])</f>
        <v>46992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28">
        <f t="shared" si="1"/>
        <v>12.250000000000002</v>
      </c>
    </row>
    <row r="39" spans="1:35">
      <c r="A39" s="17" t="s">
        <v>4</v>
      </c>
      <c r="B39" s="17">
        <v>2025</v>
      </c>
      <c r="C39" s="134" t="s">
        <v>211</v>
      </c>
      <c r="D39" s="134" t="s">
        <v>213</v>
      </c>
      <c r="E39" s="37">
        <v>45778</v>
      </c>
      <c r="F39" s="17">
        <f>DAY(EOMONTH(Raw_Data[[#This Row],[Month Year]],0))</f>
        <v>31</v>
      </c>
      <c r="G39" s="66">
        <v>45780</v>
      </c>
      <c r="H39" s="25">
        <f>_xlfn.XLOOKUP(Raw_Data[[#This Row],[Month Year]],'Modelling New'!D:D,'Modelling New'!N:N)</f>
        <v>10.507</v>
      </c>
      <c r="I39" s="26">
        <v>0.25624999999999998</v>
      </c>
      <c r="J39" s="26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5282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38">
        <v>28.113916304430017</v>
      </c>
      <c r="X39" s="25">
        <v>44.201562302315281</v>
      </c>
      <c r="Y39" s="25">
        <v>0.97610341046664073</v>
      </c>
      <c r="Z39" s="25">
        <v>3.9186539649963379</v>
      </c>
      <c r="AA39" s="17">
        <v>0</v>
      </c>
      <c r="AB39" s="17">
        <f>SUM(Raw_Data[[#This Row],[IC1_Inv1]:[IC2_Inv2]])</f>
        <v>50064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28">
        <f t="shared" si="1"/>
        <v>12.333333333333336</v>
      </c>
    </row>
    <row r="40" spans="1:35">
      <c r="A40" s="17" t="s">
        <v>4</v>
      </c>
      <c r="B40" s="17">
        <v>2025</v>
      </c>
      <c r="C40" s="134" t="s">
        <v>211</v>
      </c>
      <c r="D40" s="134" t="s">
        <v>213</v>
      </c>
      <c r="E40" s="37">
        <v>45778</v>
      </c>
      <c r="F40" s="17">
        <f>DAY(EOMONTH(Raw_Data[[#This Row],[Month Year]],0))</f>
        <v>31</v>
      </c>
      <c r="G40" s="66">
        <v>45781</v>
      </c>
      <c r="H40" s="25">
        <f>_xlfn.XLOOKUP(Raw_Data[[#This Row],[Month Year]],'Modelling New'!D:D,'Modelling New'!N:N)</f>
        <v>10.507</v>
      </c>
      <c r="I40" s="26">
        <v>0.25694444444444442</v>
      </c>
      <c r="J40" s="26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5282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38">
        <v>29.436037058552738</v>
      </c>
      <c r="X40" s="25">
        <v>45.008805774507067</v>
      </c>
      <c r="Y40" s="25">
        <v>1.0626042891274055</v>
      </c>
      <c r="Z40" s="25">
        <v>4.730926513671875</v>
      </c>
      <c r="AA40" s="17">
        <v>0</v>
      </c>
      <c r="AB40" s="17">
        <f>SUM(Raw_Data[[#This Row],[IC1_Inv1]:[IC2_Inv2]])</f>
        <v>51825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28">
        <f t="shared" si="1"/>
        <v>12.566666666666666</v>
      </c>
    </row>
    <row r="41" spans="1:35">
      <c r="A41" s="17" t="s">
        <v>4</v>
      </c>
      <c r="B41" s="17">
        <v>2025</v>
      </c>
      <c r="C41" s="134" t="s">
        <v>211</v>
      </c>
      <c r="D41" s="134" t="s">
        <v>213</v>
      </c>
      <c r="E41" s="37">
        <v>45778</v>
      </c>
      <c r="F41" s="17">
        <f>DAY(EOMONTH(Raw_Data[[#This Row],[Month Year]],0))</f>
        <v>31</v>
      </c>
      <c r="G41" s="66">
        <v>45782</v>
      </c>
      <c r="H41" s="25">
        <f>_xlfn.XLOOKUP(Raw_Data[[#This Row],[Month Year]],'Modelling New'!D:D,'Modelling New'!N:N)</f>
        <v>10.507</v>
      </c>
      <c r="I41" s="26">
        <v>0.25555555555555554</v>
      </c>
      <c r="J41" s="26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5282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38">
        <v>30.083660198591577</v>
      </c>
      <c r="X41" s="25">
        <v>48.474387758262814</v>
      </c>
      <c r="Y41" s="25">
        <v>0.81191037881911043</v>
      </c>
      <c r="Z41" s="25">
        <v>3.4706258773803711</v>
      </c>
      <c r="AA41" s="17">
        <v>0</v>
      </c>
      <c r="AB41" s="17">
        <f>SUM(Raw_Data[[#This Row],[IC1_Inv1]:[IC2_Inv2]])</f>
        <v>53045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28">
        <f t="shared" si="1"/>
        <v>12.2</v>
      </c>
    </row>
    <row r="42" spans="1:35">
      <c r="A42" s="17" t="s">
        <v>4</v>
      </c>
      <c r="B42" s="17">
        <v>2025</v>
      </c>
      <c r="C42" s="134" t="s">
        <v>211</v>
      </c>
      <c r="D42" s="134" t="s">
        <v>213</v>
      </c>
      <c r="E42" s="37">
        <v>45778</v>
      </c>
      <c r="F42" s="17">
        <f>DAY(EOMONTH(Raw_Data[[#This Row],[Month Year]],0))</f>
        <v>31</v>
      </c>
      <c r="G42" s="66">
        <v>45783</v>
      </c>
      <c r="H42" s="25">
        <f>_xlfn.XLOOKUP(Raw_Data[[#This Row],[Month Year]],'Modelling New'!D:D,'Modelling New'!N:N)</f>
        <v>10.507</v>
      </c>
      <c r="I42" s="26">
        <v>0.25624999999999998</v>
      </c>
      <c r="J42" s="26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5282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38">
        <v>29.963512665775408</v>
      </c>
      <c r="X42" s="25">
        <v>46.653368070262822</v>
      </c>
      <c r="Y42" s="25">
        <v>1.1116950752904298</v>
      </c>
      <c r="Z42" s="25">
        <v>4.0150880813598633</v>
      </c>
      <c r="AA42" s="17">
        <v>0</v>
      </c>
      <c r="AB42" s="17">
        <f>SUM(Raw_Data[[#This Row],[IC1_Inv1]:[IC2_Inv2]])</f>
        <v>56126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28">
        <f t="shared" si="1"/>
        <v>12.433333333333334</v>
      </c>
    </row>
    <row r="43" spans="1:35">
      <c r="A43" s="17" t="s">
        <v>4</v>
      </c>
      <c r="B43" s="17">
        <v>2025</v>
      </c>
      <c r="C43" s="134" t="s">
        <v>211</v>
      </c>
      <c r="D43" s="134" t="s">
        <v>213</v>
      </c>
      <c r="E43" s="37">
        <v>45778</v>
      </c>
      <c r="F43" s="17">
        <f>DAY(EOMONTH(Raw_Data[[#This Row],[Month Year]],0))</f>
        <v>31</v>
      </c>
      <c r="G43" s="66">
        <v>45784</v>
      </c>
      <c r="H43" s="25">
        <f>_xlfn.XLOOKUP(Raw_Data[[#This Row],[Month Year]],'Modelling New'!D:D,'Modelling New'!N:N)</f>
        <v>10.507</v>
      </c>
      <c r="I43" s="26">
        <v>0.25555555555555554</v>
      </c>
      <c r="J43" s="26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5282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38">
        <v>30.171870815641626</v>
      </c>
      <c r="X43" s="25">
        <v>46.967232705446143</v>
      </c>
      <c r="Y43" s="25">
        <v>1.04443880021171</v>
      </c>
      <c r="Z43" s="25">
        <v>3.5783801078796387</v>
      </c>
      <c r="AA43" s="17">
        <v>0</v>
      </c>
      <c r="AB43" s="17">
        <f>SUM(Raw_Data[[#This Row],[IC1_Inv1]:[IC2_Inv2]])</f>
        <v>53818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28">
        <f t="shared" si="1"/>
        <v>12.366666666666667</v>
      </c>
    </row>
    <row r="44" spans="1:35">
      <c r="A44" s="17" t="s">
        <v>4</v>
      </c>
      <c r="B44" s="17">
        <v>2025</v>
      </c>
      <c r="C44" s="134" t="s">
        <v>211</v>
      </c>
      <c r="D44" s="134" t="s">
        <v>213</v>
      </c>
      <c r="E44" s="37">
        <v>45778</v>
      </c>
      <c r="F44" s="17">
        <f>DAY(EOMONTH(Raw_Data[[#This Row],[Month Year]],0))</f>
        <v>31</v>
      </c>
      <c r="G44" s="66">
        <v>45785</v>
      </c>
      <c r="H44" s="25">
        <f>_xlfn.XLOOKUP(Raw_Data[[#This Row],[Month Year]],'Modelling New'!D:D,'Modelling New'!N:N)</f>
        <v>10.507</v>
      </c>
      <c r="I44" s="26">
        <v>0.25416666666666665</v>
      </c>
      <c r="J44" s="26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5282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38">
        <v>29.060599503978604</v>
      </c>
      <c r="X44" s="25">
        <v>46.285987566876152</v>
      </c>
      <c r="Y44" s="25">
        <v>1.1256793553950966</v>
      </c>
      <c r="Z44" s="25">
        <v>4.0229320526123047</v>
      </c>
      <c r="AA44" s="17">
        <v>0</v>
      </c>
      <c r="AB44" s="17">
        <f>SUM(Raw_Data[[#This Row],[IC1_Inv1]:[IC2_Inv2]])</f>
        <v>53197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28">
        <f t="shared" si="1"/>
        <v>12.416666666666668</v>
      </c>
    </row>
    <row r="45" spans="1:35">
      <c r="A45" s="17" t="s">
        <v>4</v>
      </c>
      <c r="B45" s="17">
        <v>2025</v>
      </c>
      <c r="C45" s="134" t="s">
        <v>211</v>
      </c>
      <c r="D45" s="134" t="s">
        <v>213</v>
      </c>
      <c r="E45" s="37">
        <v>45778</v>
      </c>
      <c r="F45" s="17">
        <f>DAY(EOMONTH(Raw_Data[[#This Row],[Month Year]],0))</f>
        <v>31</v>
      </c>
      <c r="G45" s="66">
        <v>45786</v>
      </c>
      <c r="H45" s="25">
        <f>_xlfn.XLOOKUP(Raw_Data[[#This Row],[Month Year]],'Modelling New'!D:D,'Modelling New'!N:N)</f>
        <v>10.507</v>
      </c>
      <c r="I45" s="26">
        <v>0.25347222222222221</v>
      </c>
      <c r="J45" s="26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5282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38">
        <v>29.122828013102215</v>
      </c>
      <c r="X45" s="25">
        <v>46.170705973307292</v>
      </c>
      <c r="Y45" s="25">
        <v>0.85346687873204552</v>
      </c>
      <c r="Z45" s="25">
        <v>5.067441463470459</v>
      </c>
      <c r="AA45" s="17">
        <v>0</v>
      </c>
      <c r="AB45" s="17">
        <f>SUM(Raw_Data[[#This Row],[IC1_Inv1]:[IC2_Inv2]])</f>
        <v>49406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28">
        <f t="shared" si="1"/>
        <v>12.483333333333334</v>
      </c>
    </row>
    <row r="46" spans="1:35">
      <c r="A46" s="17" t="s">
        <v>4</v>
      </c>
      <c r="B46" s="17">
        <v>2025</v>
      </c>
      <c r="C46" s="134" t="s">
        <v>211</v>
      </c>
      <c r="D46" s="134" t="s">
        <v>213</v>
      </c>
      <c r="E46" s="37">
        <v>45778</v>
      </c>
      <c r="F46" s="17">
        <f>DAY(EOMONTH(Raw_Data[[#This Row],[Month Year]],0))</f>
        <v>31</v>
      </c>
      <c r="G46" s="66">
        <v>45787</v>
      </c>
      <c r="H46" s="25">
        <f>_xlfn.XLOOKUP(Raw_Data[[#This Row],[Month Year]],'Modelling New'!D:D,'Modelling New'!N:N)</f>
        <v>10.507</v>
      </c>
      <c r="I46" s="26">
        <v>0.25208333333333333</v>
      </c>
      <c r="J46" s="26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5282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38">
        <v>29.338062440889924</v>
      </c>
      <c r="X46" s="25">
        <v>47.275033370748773</v>
      </c>
      <c r="Y46" s="25">
        <v>1.0884951096606919</v>
      </c>
      <c r="Z46" s="25">
        <v>4.3082637786865234</v>
      </c>
      <c r="AA46" s="17">
        <v>0</v>
      </c>
      <c r="AB46" s="17">
        <f>SUM(Raw_Data[[#This Row],[IC1_Inv1]:[IC2_Inv2]])</f>
        <v>55729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28">
        <f t="shared" si="1"/>
        <v>12.533333333333335</v>
      </c>
    </row>
    <row r="47" spans="1:35">
      <c r="A47" s="17" t="s">
        <v>4</v>
      </c>
      <c r="B47" s="17">
        <v>2025</v>
      </c>
      <c r="C47" s="134" t="s">
        <v>211</v>
      </c>
      <c r="D47" s="134" t="s">
        <v>213</v>
      </c>
      <c r="E47" s="37">
        <v>45778</v>
      </c>
      <c r="F47" s="17">
        <f>DAY(EOMONTH(Raw_Data[[#This Row],[Month Year]],0))</f>
        <v>31</v>
      </c>
      <c r="G47" s="66">
        <v>45788</v>
      </c>
      <c r="H47" s="25">
        <f>_xlfn.XLOOKUP(Raw_Data[[#This Row],[Month Year]],'Modelling New'!D:D,'Modelling New'!N:N)</f>
        <v>10.507</v>
      </c>
      <c r="I47" s="26">
        <v>0.25347222222222221</v>
      </c>
      <c r="J47" s="26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5282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38">
        <v>29.433610154726157</v>
      </c>
      <c r="X47" s="25">
        <v>47.588709058366888</v>
      </c>
      <c r="Y47" s="25">
        <v>0.77545295586095797</v>
      </c>
      <c r="Z47" s="25">
        <v>3.6445503234863281</v>
      </c>
      <c r="AA47" s="17">
        <v>0</v>
      </c>
      <c r="AB47" s="17">
        <f>SUM(Raw_Data[[#This Row],[IC1_Inv1]:[IC2_Inv2]])</f>
        <v>53844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28">
        <f t="shared" si="1"/>
        <v>12.466666666666669</v>
      </c>
    </row>
    <row r="48" spans="1:35">
      <c r="A48" s="17" t="s">
        <v>4</v>
      </c>
      <c r="B48" s="17">
        <v>2025</v>
      </c>
      <c r="C48" s="134" t="s">
        <v>211</v>
      </c>
      <c r="D48" s="134" t="s">
        <v>213</v>
      </c>
      <c r="E48" s="37">
        <v>45778</v>
      </c>
      <c r="F48" s="17">
        <f>DAY(EOMONTH(Raw_Data[[#This Row],[Month Year]],0))</f>
        <v>31</v>
      </c>
      <c r="G48" s="66">
        <v>45789</v>
      </c>
      <c r="H48" s="25">
        <f>_xlfn.XLOOKUP(Raw_Data[[#This Row],[Month Year]],'Modelling New'!D:D,'Modelling New'!N:N)</f>
        <v>10.507</v>
      </c>
      <c r="I48" s="26">
        <v>0.25138888888888888</v>
      </c>
      <c r="J48" s="26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5282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38">
        <v>29.210928945593494</v>
      </c>
      <c r="X48" s="25">
        <v>45.96077874188866</v>
      </c>
      <c r="Y48" s="25">
        <v>0.87807381201962953</v>
      </c>
      <c r="Z48" s="25">
        <v>3.839648962020874</v>
      </c>
      <c r="AA48" s="17">
        <v>0</v>
      </c>
      <c r="AB48" s="17">
        <f>SUM(Raw_Data[[#This Row],[IC1_Inv1]:[IC2_Inv2]])</f>
        <v>50438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28">
        <f t="shared" si="1"/>
        <v>12.25</v>
      </c>
    </row>
    <row r="49" spans="1:35">
      <c r="A49" s="17" t="s">
        <v>4</v>
      </c>
      <c r="B49" s="17">
        <v>2025</v>
      </c>
      <c r="C49" s="134" t="s">
        <v>211</v>
      </c>
      <c r="D49" s="134" t="s">
        <v>213</v>
      </c>
      <c r="E49" s="37">
        <v>45778</v>
      </c>
      <c r="F49" s="17">
        <f>DAY(EOMONTH(Raw_Data[[#This Row],[Month Year]],0))</f>
        <v>31</v>
      </c>
      <c r="G49" s="66">
        <v>45790</v>
      </c>
      <c r="H49" s="25">
        <f>_xlfn.XLOOKUP(Raw_Data[[#This Row],[Month Year]],'Modelling New'!D:D,'Modelling New'!N:N)</f>
        <v>10.507</v>
      </c>
      <c r="I49" s="26">
        <v>0.25624999999999998</v>
      </c>
      <c r="J49" s="26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5282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38">
        <v>27.80498357738907</v>
      </c>
      <c r="X49" s="25">
        <v>44.983782015486064</v>
      </c>
      <c r="Y49" s="25">
        <v>1.1784522068647287</v>
      </c>
      <c r="Z49" s="25">
        <v>5.2117886543273926</v>
      </c>
      <c r="AA49" s="17">
        <v>1.72</v>
      </c>
      <c r="AB49" s="17">
        <f>SUM(Raw_Data[[#This Row],[IC1_Inv1]:[IC2_Inv2]])</f>
        <v>52054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28">
        <f t="shared" si="1"/>
        <v>12.166666666666666</v>
      </c>
    </row>
    <row r="50" spans="1:35">
      <c r="A50" s="17" t="s">
        <v>4</v>
      </c>
      <c r="B50" s="17">
        <v>2025</v>
      </c>
      <c r="C50" s="134" t="s">
        <v>211</v>
      </c>
      <c r="D50" s="134" t="s">
        <v>213</v>
      </c>
      <c r="E50" s="37">
        <v>45778</v>
      </c>
      <c r="F50" s="17">
        <f>DAY(EOMONTH(Raw_Data[[#This Row],[Month Year]],0))</f>
        <v>31</v>
      </c>
      <c r="G50" s="66">
        <v>45791</v>
      </c>
      <c r="H50" s="25">
        <f>_xlfn.XLOOKUP(Raw_Data[[#This Row],[Month Year]],'Modelling New'!D:D,'Modelling New'!N:N)</f>
        <v>10.507</v>
      </c>
      <c r="I50" s="26">
        <v>0.25208333333333333</v>
      </c>
      <c r="J50" s="26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5282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38">
        <v>28.833588255917963</v>
      </c>
      <c r="X50" s="25">
        <v>44.387602005412873</v>
      </c>
      <c r="Y50" s="25">
        <v>0.8505988215061433</v>
      </c>
      <c r="Z50" s="25">
        <v>2.5288939476013184</v>
      </c>
      <c r="AA50" s="17">
        <v>1.02</v>
      </c>
      <c r="AB50" s="17">
        <f>SUM(Raw_Data[[#This Row],[IC1_Inv1]:[IC2_Inv2]])</f>
        <v>47806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28">
        <f t="shared" si="1"/>
        <v>12.483333333333334</v>
      </c>
    </row>
    <row r="51" spans="1:35">
      <c r="A51" s="17" t="s">
        <v>4</v>
      </c>
      <c r="B51" s="17">
        <v>2025</v>
      </c>
      <c r="C51" s="134" t="s">
        <v>211</v>
      </c>
      <c r="D51" s="134" t="s">
        <v>213</v>
      </c>
      <c r="E51" s="37">
        <v>45778</v>
      </c>
      <c r="F51" s="17">
        <f>DAY(EOMONTH(Raw_Data[[#This Row],[Month Year]],0))</f>
        <v>31</v>
      </c>
      <c r="G51" s="66">
        <v>45792</v>
      </c>
      <c r="H51" s="25">
        <f>_xlfn.XLOOKUP(Raw_Data[[#This Row],[Month Year]],'Modelling New'!D:D,'Modelling New'!N:N)</f>
        <v>10.507</v>
      </c>
      <c r="I51" s="26">
        <v>0.25347222222222221</v>
      </c>
      <c r="J51" s="26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5282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38">
        <v>28.34533201055488</v>
      </c>
      <c r="X51" s="25">
        <v>44.065251812439378</v>
      </c>
      <c r="Y51" s="25">
        <v>0.8646186336010252</v>
      </c>
      <c r="Z51" s="25">
        <v>3.7344009876251221</v>
      </c>
      <c r="AA51" s="17">
        <v>0</v>
      </c>
      <c r="AB51" s="17">
        <f>SUM(Raw_Data[[#This Row],[IC1_Inv1]:[IC2_Inv2]])</f>
        <v>46338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28">
        <f t="shared" si="1"/>
        <v>12.333333333333336</v>
      </c>
    </row>
    <row r="52" spans="1:35">
      <c r="A52" s="17" t="s">
        <v>4</v>
      </c>
      <c r="B52" s="17">
        <v>2025</v>
      </c>
      <c r="C52" s="134" t="s">
        <v>211</v>
      </c>
      <c r="D52" s="134" t="s">
        <v>213</v>
      </c>
      <c r="E52" s="37">
        <v>45778</v>
      </c>
      <c r="F52" s="17">
        <f>DAY(EOMONTH(Raw_Data[[#This Row],[Month Year]],0))</f>
        <v>31</v>
      </c>
      <c r="G52" s="66">
        <v>45793</v>
      </c>
      <c r="H52" s="25">
        <f>_xlfn.XLOOKUP(Raw_Data[[#This Row],[Month Year]],'Modelling New'!D:D,'Modelling New'!N:N)</f>
        <v>10.507</v>
      </c>
      <c r="I52" s="26">
        <v>0.25347222222222221</v>
      </c>
      <c r="J52" s="26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5282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38">
        <v>27.790605008841517</v>
      </c>
      <c r="X52" s="25">
        <v>43.428518476575576</v>
      </c>
      <c r="Y52" s="25">
        <v>1.0359332124232608</v>
      </c>
      <c r="Z52" s="25">
        <v>5.8034629821777344</v>
      </c>
      <c r="AA52" s="17">
        <v>0</v>
      </c>
      <c r="AB52" s="17">
        <f>SUM(Raw_Data[[#This Row],[IC1_Inv1]:[IC2_Inv2]])</f>
        <v>47784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28">
        <f t="shared" si="1"/>
        <v>12.433333333333334</v>
      </c>
    </row>
    <row r="53" spans="1:35">
      <c r="A53" s="17" t="s">
        <v>4</v>
      </c>
      <c r="B53" s="17">
        <v>2025</v>
      </c>
      <c r="C53" s="134" t="s">
        <v>211</v>
      </c>
      <c r="D53" s="134" t="s">
        <v>213</v>
      </c>
      <c r="E53" s="37">
        <v>45778</v>
      </c>
      <c r="F53" s="17">
        <f>DAY(EOMONTH(Raw_Data[[#This Row],[Month Year]],0))</f>
        <v>31</v>
      </c>
      <c r="G53" s="66">
        <v>45794</v>
      </c>
      <c r="H53" s="25">
        <f>_xlfn.XLOOKUP(Raw_Data[[#This Row],[Month Year]],'Modelling New'!D:D,'Modelling New'!N:N)</f>
        <v>10.507</v>
      </c>
      <c r="I53" s="26">
        <v>0.26250000000000001</v>
      </c>
      <c r="J53" s="26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5282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38">
        <v>25.997133488449499</v>
      </c>
      <c r="X53" s="25">
        <v>35.206115425544922</v>
      </c>
      <c r="Y53" s="25">
        <v>0.98105322651471816</v>
      </c>
      <c r="Z53" s="25">
        <v>7.1984829902648926</v>
      </c>
      <c r="AA53" s="17">
        <v>2.2400000000000002</v>
      </c>
      <c r="AB53" s="17">
        <f>SUM(Raw_Data[[#This Row],[IC1_Inv1]:[IC2_Inv2]])</f>
        <v>30989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28">
        <f t="shared" si="1"/>
        <v>11.966666666666665</v>
      </c>
    </row>
    <row r="54" spans="1:35">
      <c r="A54" s="17" t="s">
        <v>4</v>
      </c>
      <c r="B54" s="17">
        <v>2025</v>
      </c>
      <c r="C54" s="134" t="s">
        <v>211</v>
      </c>
      <c r="D54" s="134" t="s">
        <v>213</v>
      </c>
      <c r="E54" s="37">
        <v>45778</v>
      </c>
      <c r="F54" s="17">
        <f>DAY(EOMONTH(Raw_Data[[#This Row],[Month Year]],0))</f>
        <v>31</v>
      </c>
      <c r="G54" s="66">
        <v>45795</v>
      </c>
      <c r="H54" s="25">
        <f>_xlfn.XLOOKUP(Raw_Data[[#This Row],[Month Year]],'Modelling New'!D:D,'Modelling New'!N:N)</f>
        <v>10.507</v>
      </c>
      <c r="I54" s="26">
        <v>0.2590277777777778</v>
      </c>
      <c r="J54" s="26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5282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38">
        <v>27.759018881279125</v>
      </c>
      <c r="X54" s="25">
        <v>41.244252893445299</v>
      </c>
      <c r="Y54" s="25">
        <v>1.1752845698844405</v>
      </c>
      <c r="Z54" s="25">
        <v>4.1536445617675781</v>
      </c>
      <c r="AA54" s="17">
        <v>0</v>
      </c>
      <c r="AB54" s="17">
        <f>SUM(Raw_Data[[#This Row],[IC1_Inv1]:[IC2_Inv2]])</f>
        <v>45892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28">
        <f t="shared" si="1"/>
        <v>12.333333333333332</v>
      </c>
    </row>
    <row r="55" spans="1:35">
      <c r="A55" s="17" t="s">
        <v>4</v>
      </c>
      <c r="B55" s="17">
        <v>2025</v>
      </c>
      <c r="C55" s="134" t="s">
        <v>211</v>
      </c>
      <c r="D55" s="134" t="s">
        <v>213</v>
      </c>
      <c r="E55" s="37">
        <v>45778</v>
      </c>
      <c r="F55" s="17">
        <f>DAY(EOMONTH(Raw_Data[[#This Row],[Month Year]],0))</f>
        <v>31</v>
      </c>
      <c r="G55" s="66">
        <v>45796</v>
      </c>
      <c r="H55" s="25">
        <f>_xlfn.XLOOKUP(Raw_Data[[#This Row],[Month Year]],'Modelling New'!D:D,'Modelling New'!N:N)</f>
        <v>10.507</v>
      </c>
      <c r="I55" s="26">
        <v>0.2722222222222222</v>
      </c>
      <c r="J55" s="26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5282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38">
        <v>24.540712475438969</v>
      </c>
      <c r="X55" s="25">
        <v>30.841078804167406</v>
      </c>
      <c r="Y55" s="25">
        <v>0.73104974247578525</v>
      </c>
      <c r="Z55" s="25">
        <v>3.1101617813110352</v>
      </c>
      <c r="AA55" s="17">
        <v>3.24</v>
      </c>
      <c r="AB55" s="17">
        <f>SUM(Raw_Data[[#This Row],[IC1_Inv1]:[IC2_Inv2]])</f>
        <v>24886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28">
        <f>('Raw Data'!J55-'Raw Data'!I55)*24</f>
        <v>11.733333333333333</v>
      </c>
    </row>
    <row r="56" spans="1:35">
      <c r="A56" s="17" t="s">
        <v>4</v>
      </c>
      <c r="B56" s="17">
        <v>2025</v>
      </c>
      <c r="C56" s="134" t="s">
        <v>211</v>
      </c>
      <c r="D56" s="134" t="s">
        <v>213</v>
      </c>
      <c r="E56" s="37">
        <v>45778</v>
      </c>
      <c r="F56" s="17">
        <f>DAY(EOMONTH(Raw_Data[[#This Row],[Month Year]],0))</f>
        <v>31</v>
      </c>
      <c r="G56" s="66">
        <v>45797</v>
      </c>
      <c r="H56" s="25">
        <f>_xlfn.XLOOKUP(Raw_Data[[#This Row],[Month Year]],'Modelling New'!D:D,'Modelling New'!N:N)</f>
        <v>10.507</v>
      </c>
      <c r="I56" s="26">
        <v>0.28888888888888886</v>
      </c>
      <c r="J56" s="26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5282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38">
        <v>24.454070329666138</v>
      </c>
      <c r="X56" s="25">
        <v>32.887440736266392</v>
      </c>
      <c r="Y56" s="25">
        <v>0.93559595034725362</v>
      </c>
      <c r="Z56" s="25">
        <v>5.0808782577514648</v>
      </c>
      <c r="AA56" s="17">
        <v>2.4300000000000002</v>
      </c>
      <c r="AB56" s="17">
        <f>SUM(Raw_Data[[#This Row],[IC1_Inv1]:[IC2_Inv2]])</f>
        <v>28325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28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34" t="s">
        <v>211</v>
      </c>
      <c r="D57" s="134" t="s">
        <v>213</v>
      </c>
      <c r="E57" s="37">
        <v>45778</v>
      </c>
      <c r="F57" s="17">
        <f>DAY(EOMONTH(Raw_Data[[#This Row],[Month Year]],0))</f>
        <v>31</v>
      </c>
      <c r="G57" s="66">
        <v>45798</v>
      </c>
      <c r="H57" s="25">
        <f>_xlfn.XLOOKUP(Raw_Data[[#This Row],[Month Year]],'Modelling New'!D:D,'Modelling New'!N:N)</f>
        <v>10.507</v>
      </c>
      <c r="I57" s="26">
        <v>0.25277777777777777</v>
      </c>
      <c r="J57" s="26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5282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38">
        <v>24.499702527070266</v>
      </c>
      <c r="X57" s="25">
        <v>32.526554386295963</v>
      </c>
      <c r="Y57" s="25">
        <v>1.7049341969597704</v>
      </c>
      <c r="Z57" s="25">
        <v>8.8072700500488281</v>
      </c>
      <c r="AA57" s="17">
        <v>1.43</v>
      </c>
      <c r="AB57" s="17">
        <f>SUM(Raw_Data[[#This Row],[IC1_Inv1]:[IC2_Inv2]])</f>
        <v>31665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28">
        <f t="shared" si="2"/>
        <v>12.533333333333335</v>
      </c>
    </row>
    <row r="58" spans="1:35">
      <c r="A58" s="17" t="s">
        <v>4</v>
      </c>
      <c r="B58" s="17">
        <v>2025</v>
      </c>
      <c r="C58" s="134" t="s">
        <v>211</v>
      </c>
      <c r="D58" s="134" t="s">
        <v>213</v>
      </c>
      <c r="E58" s="37">
        <v>45778</v>
      </c>
      <c r="F58" s="17">
        <f>DAY(EOMONTH(Raw_Data[[#This Row],[Month Year]],0))</f>
        <v>31</v>
      </c>
      <c r="G58" s="66">
        <v>45799</v>
      </c>
      <c r="H58" s="25">
        <f>_xlfn.XLOOKUP(Raw_Data[[#This Row],[Month Year]],'Modelling New'!D:D,'Modelling New'!N:N)</f>
        <v>10.507</v>
      </c>
      <c r="I58" s="26">
        <v>0.25555555555555554</v>
      </c>
      <c r="J58" s="26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5282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38">
        <v>26.409495324413673</v>
      </c>
      <c r="X58" s="25">
        <v>37.032904060883261</v>
      </c>
      <c r="Y58" s="25">
        <v>1.5430992601392106</v>
      </c>
      <c r="Z58" s="25">
        <v>6.5776700973510742</v>
      </c>
      <c r="AA58" s="17">
        <v>0</v>
      </c>
      <c r="AB58" s="17">
        <f>SUM(Raw_Data[[#This Row],[IC1_Inv1]:[IC2_Inv2]])</f>
        <v>40970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28">
        <f t="shared" si="2"/>
        <v>12.466666666666669</v>
      </c>
    </row>
    <row r="59" spans="1:35">
      <c r="A59" s="17" t="s">
        <v>4</v>
      </c>
      <c r="B59" s="17">
        <v>2025</v>
      </c>
      <c r="C59" s="134" t="s">
        <v>211</v>
      </c>
      <c r="D59" s="134" t="s">
        <v>213</v>
      </c>
      <c r="E59" s="37">
        <v>45778</v>
      </c>
      <c r="F59" s="17">
        <f>DAY(EOMONTH(Raw_Data[[#This Row],[Month Year]],0))</f>
        <v>31</v>
      </c>
      <c r="G59" s="66">
        <v>45800</v>
      </c>
      <c r="H59" s="25">
        <f>_xlfn.XLOOKUP(Raw_Data[[#This Row],[Month Year]],'Modelling New'!D:D,'Modelling New'!N:N)</f>
        <v>10.507</v>
      </c>
      <c r="I59" s="26">
        <v>0.25277777777777777</v>
      </c>
      <c r="J59" s="26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5282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38">
        <v>25.442632158438997</v>
      </c>
      <c r="X59" s="25">
        <v>35.224338688540108</v>
      </c>
      <c r="Y59" s="25">
        <v>2.3077944040615086</v>
      </c>
      <c r="Z59" s="25">
        <v>8.0038242340087891</v>
      </c>
      <c r="AA59" s="17">
        <v>1.21</v>
      </c>
      <c r="AB59" s="17">
        <f>SUM(Raw_Data[[#This Row],[IC1_Inv1]:[IC2_Inv2]])</f>
        <v>38825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28">
        <f t="shared" si="2"/>
        <v>12.55</v>
      </c>
    </row>
    <row r="60" spans="1:35">
      <c r="A60" s="17" t="s">
        <v>4</v>
      </c>
      <c r="B60" s="17">
        <v>2025</v>
      </c>
      <c r="C60" s="134" t="s">
        <v>211</v>
      </c>
      <c r="D60" s="134" t="s">
        <v>213</v>
      </c>
      <c r="E60" s="37">
        <v>45778</v>
      </c>
      <c r="F60" s="17">
        <f>DAY(EOMONTH(Raw_Data[[#This Row],[Month Year]],0))</f>
        <v>31</v>
      </c>
      <c r="G60" s="66">
        <v>45801</v>
      </c>
      <c r="H60" s="25">
        <f>_xlfn.XLOOKUP(Raw_Data[[#This Row],[Month Year]],'Modelling New'!D:D,'Modelling New'!N:N)</f>
        <v>10.507</v>
      </c>
      <c r="I60" s="26">
        <v>0.25277777777777777</v>
      </c>
      <c r="J60" s="26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5282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38">
        <v>24.932755813184553</v>
      </c>
      <c r="X60" s="25">
        <v>31.188187163105813</v>
      </c>
      <c r="Y60" s="25">
        <v>2.7854980614486187</v>
      </c>
      <c r="Z60" s="25">
        <v>9.2160501480102539</v>
      </c>
      <c r="AA60" s="17">
        <v>2.12</v>
      </c>
      <c r="AB60" s="17">
        <f>SUM(Raw_Data[[#This Row],[IC1_Inv1]:[IC2_Inv2]])</f>
        <v>24067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28">
        <f t="shared" si="2"/>
        <v>12.266666666666666</v>
      </c>
    </row>
    <row r="61" spans="1:35">
      <c r="A61" s="17" t="s">
        <v>4</v>
      </c>
      <c r="B61" s="17">
        <v>2025</v>
      </c>
      <c r="C61" s="134" t="s">
        <v>211</v>
      </c>
      <c r="D61" s="134" t="s">
        <v>213</v>
      </c>
      <c r="E61" s="37">
        <v>45778</v>
      </c>
      <c r="F61" s="17">
        <f>DAY(EOMONTH(Raw_Data[[#This Row],[Month Year]],0))</f>
        <v>31</v>
      </c>
      <c r="G61" s="66">
        <v>45802</v>
      </c>
      <c r="H61" s="25">
        <f>_xlfn.XLOOKUP(Raw_Data[[#This Row],[Month Year]],'Modelling New'!D:D,'Modelling New'!N:N)</f>
        <v>10.507</v>
      </c>
      <c r="I61" s="26">
        <v>0.25833333333333336</v>
      </c>
      <c r="J61" s="26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5282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38">
        <v>23.994255112250325</v>
      </c>
      <c r="X61" s="25">
        <v>30.119325666131601</v>
      </c>
      <c r="Y61" s="25">
        <v>2.6118079213960934</v>
      </c>
      <c r="Z61" s="25">
        <v>8.8609304428100586</v>
      </c>
      <c r="AA61" s="17">
        <v>5.2</v>
      </c>
      <c r="AB61" s="17">
        <f>SUM(Raw_Data[[#This Row],[IC1_Inv1]:[IC2_Inv2]])</f>
        <v>28300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28">
        <f t="shared" si="2"/>
        <v>12.333333333333332</v>
      </c>
    </row>
    <row r="62" spans="1:35">
      <c r="A62" s="17" t="s">
        <v>4</v>
      </c>
      <c r="B62" s="17">
        <v>2025</v>
      </c>
      <c r="C62" s="134" t="s">
        <v>211</v>
      </c>
      <c r="D62" s="134" t="s">
        <v>213</v>
      </c>
      <c r="E62" s="37">
        <v>45778</v>
      </c>
      <c r="F62" s="17">
        <f>DAY(EOMONTH(Raw_Data[[#This Row],[Month Year]],0))</f>
        <v>31</v>
      </c>
      <c r="G62" s="66">
        <v>45803</v>
      </c>
      <c r="H62" s="25">
        <f>_xlfn.XLOOKUP(Raw_Data[[#This Row],[Month Year]],'Modelling New'!D:D,'Modelling New'!N:N)</f>
        <v>10.507</v>
      </c>
      <c r="I62" s="26">
        <v>0.25694444444444442</v>
      </c>
      <c r="J62" s="26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5282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38">
        <v>25.965016799258947</v>
      </c>
      <c r="X62" s="25">
        <v>35.671256246955565</v>
      </c>
      <c r="Y62" s="25">
        <v>0.92166124091302759</v>
      </c>
      <c r="Z62" s="25">
        <v>10.155361890792847</v>
      </c>
      <c r="AA62" s="17">
        <v>2.1</v>
      </c>
      <c r="AB62" s="17">
        <f>SUM(Raw_Data[[#This Row],[IC1_Inv1]:[IC2_Inv2]])</f>
        <v>30197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28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34" t="s">
        <v>211</v>
      </c>
      <c r="D63" s="134" t="s">
        <v>213</v>
      </c>
      <c r="E63" s="37">
        <v>45778</v>
      </c>
      <c r="F63" s="17">
        <f>DAY(EOMONTH(Raw_Data[[#This Row],[Month Year]],0))</f>
        <v>31</v>
      </c>
      <c r="G63" s="66">
        <v>45804</v>
      </c>
      <c r="H63" s="25">
        <f>_xlfn.XLOOKUP(Raw_Data[[#This Row],[Month Year]],'Modelling New'!D:D,'Modelling New'!N:N)</f>
        <v>10.507</v>
      </c>
      <c r="I63" s="26">
        <v>0.25694444444444442</v>
      </c>
      <c r="J63" s="26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5282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38">
        <v>24.499702527070266</v>
      </c>
      <c r="X63" s="25">
        <v>32.526554386295963</v>
      </c>
      <c r="Y63" s="25">
        <v>1.7049341969597704</v>
      </c>
      <c r="Z63" s="25">
        <v>8.8072700500488281</v>
      </c>
      <c r="AA63" s="17">
        <v>0.52</v>
      </c>
      <c r="AB63" s="17">
        <f>SUM(Raw_Data[[#This Row],[IC1_Inv1]:[IC2_Inv2]])</f>
        <v>32079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28">
        <f t="shared" si="3"/>
        <v>12.416666666666668</v>
      </c>
    </row>
    <row r="64" spans="1:35">
      <c r="A64" s="17" t="s">
        <v>4</v>
      </c>
      <c r="B64" s="17">
        <v>2025</v>
      </c>
      <c r="C64" s="134" t="s">
        <v>211</v>
      </c>
      <c r="D64" s="134" t="s">
        <v>213</v>
      </c>
      <c r="E64" s="37">
        <v>45778</v>
      </c>
      <c r="F64" s="17">
        <f>DAY(EOMONTH(Raw_Data[[#This Row],[Month Year]],0))</f>
        <v>31</v>
      </c>
      <c r="G64" s="66">
        <v>45805</v>
      </c>
      <c r="H64" s="25">
        <f>_xlfn.XLOOKUP(Raw_Data[[#This Row],[Month Year]],'Modelling New'!D:D,'Modelling New'!N:N)</f>
        <v>10.507</v>
      </c>
      <c r="I64" s="26">
        <v>0.25416666666666665</v>
      </c>
      <c r="J64" s="26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5282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38">
        <v>25.06354296306494</v>
      </c>
      <c r="X64" s="25">
        <v>31.196019349666184</v>
      </c>
      <c r="Y64" s="25">
        <v>1.77585254217449</v>
      </c>
      <c r="Z64" s="25">
        <v>9.2261447906494141</v>
      </c>
      <c r="AA64" s="17">
        <v>0.21</v>
      </c>
      <c r="AB64" s="17">
        <f>SUM(Raw_Data[[#This Row],[IC1_Inv1]:[IC2_Inv2]])</f>
        <v>28914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28">
        <f t="shared" si="3"/>
        <v>12.016666666666666</v>
      </c>
    </row>
    <row r="65" spans="1:35">
      <c r="A65" s="17" t="s">
        <v>4</v>
      </c>
      <c r="B65" s="17">
        <v>2025</v>
      </c>
      <c r="C65" s="134" t="s">
        <v>211</v>
      </c>
      <c r="D65" s="134" t="s">
        <v>213</v>
      </c>
      <c r="E65" s="37">
        <v>45778</v>
      </c>
      <c r="F65" s="17">
        <f>DAY(EOMONTH(Raw_Data[[#This Row],[Month Year]],0))</f>
        <v>31</v>
      </c>
      <c r="G65" s="66">
        <v>45806</v>
      </c>
      <c r="H65" s="25">
        <f>_xlfn.XLOOKUP(Raw_Data[[#This Row],[Month Year]],'Modelling New'!D:D,'Modelling New'!N:N)</f>
        <v>10.507</v>
      </c>
      <c r="I65" s="26">
        <v>0.25347222222222221</v>
      </c>
      <c r="J65" s="26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5282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38">
        <v>24.85041588031693</v>
      </c>
      <c r="X65" s="25">
        <v>32.004870362944949</v>
      </c>
      <c r="Y65" s="25">
        <v>1.7221130791089392</v>
      </c>
      <c r="Z65" s="25">
        <v>6.3480243682861328</v>
      </c>
      <c r="AA65" s="17">
        <v>0.19</v>
      </c>
      <c r="AB65" s="17">
        <f>SUM(Raw_Data[[#This Row],[IC1_Inv1]:[IC2_Inv2]])</f>
        <v>31937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28">
        <f t="shared" si="3"/>
        <v>12.566666666666666</v>
      </c>
    </row>
    <row r="66" spans="1:35">
      <c r="A66" s="17" t="s">
        <v>4</v>
      </c>
      <c r="B66" s="17">
        <v>2025</v>
      </c>
      <c r="C66" s="134" t="s">
        <v>211</v>
      </c>
      <c r="D66" s="134" t="s">
        <v>213</v>
      </c>
      <c r="E66" s="37">
        <v>45778</v>
      </c>
      <c r="F66" s="17">
        <f>DAY(EOMONTH(Raw_Data[[#This Row],[Month Year]],0))</f>
        <v>31</v>
      </c>
      <c r="G66" s="66">
        <v>45807</v>
      </c>
      <c r="H66" s="25">
        <f>_xlfn.XLOOKUP(Raw_Data[[#This Row],[Month Year]],'Modelling New'!D:D,'Modelling New'!N:N)</f>
        <v>10.507</v>
      </c>
      <c r="I66" s="26">
        <v>0.25138888888888888</v>
      </c>
      <c r="J66" s="26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5282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38">
        <v>24.906242915927965</v>
      </c>
      <c r="X66" s="25">
        <v>31.001991958106125</v>
      </c>
      <c r="Y66" s="25">
        <v>1.1342576095721866</v>
      </c>
      <c r="Z66" s="25">
        <v>6.0709404945373535</v>
      </c>
      <c r="AA66" s="17">
        <v>0</v>
      </c>
      <c r="AB66" s="17">
        <f>SUM(Raw_Data[[#This Row],[IC1_Inv1]:[IC2_Inv2]])</f>
        <v>25812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28">
        <f t="shared" si="3"/>
        <v>12.433333333333334</v>
      </c>
    </row>
    <row r="67" spans="1:35">
      <c r="A67" s="17" t="s">
        <v>4</v>
      </c>
      <c r="B67" s="17">
        <v>2025</v>
      </c>
      <c r="C67" s="134" t="s">
        <v>211</v>
      </c>
      <c r="D67" s="134" t="s">
        <v>213</v>
      </c>
      <c r="E67" s="37">
        <v>45778</v>
      </c>
      <c r="F67" s="17">
        <f>DAY(EOMONTH(Raw_Data[[#This Row],[Month Year]],0))</f>
        <v>31</v>
      </c>
      <c r="G67" s="66">
        <v>45808</v>
      </c>
      <c r="H67" s="25">
        <f>_xlfn.XLOOKUP(Raw_Data[[#This Row],[Month Year]],'Modelling New'!D:D,'Modelling New'!N:N)</f>
        <v>10.507</v>
      </c>
      <c r="I67" s="26">
        <v>0.25347222222222221</v>
      </c>
      <c r="J67" s="26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5282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38">
        <v>26.577622488160795</v>
      </c>
      <c r="X67" s="25">
        <v>37.228112712127484</v>
      </c>
      <c r="Y67" s="25">
        <v>0.83760739446475807</v>
      </c>
      <c r="Z67" s="25">
        <v>4.392054557800293</v>
      </c>
      <c r="AA67" s="17">
        <v>0</v>
      </c>
      <c r="AB67" s="17">
        <f>SUM(Raw_Data[[#This Row],[IC1_Inv1]:[IC2_Inv2]])</f>
        <v>39896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28">
        <f t="shared" si="3"/>
        <v>12.566666666666666</v>
      </c>
    </row>
    <row r="68" spans="1:35">
      <c r="A68" s="17" t="s">
        <v>4</v>
      </c>
      <c r="B68" s="17">
        <v>2025</v>
      </c>
      <c r="C68" s="134" t="s">
        <v>211</v>
      </c>
      <c r="D68" s="134" t="s">
        <v>213</v>
      </c>
      <c r="E68" s="37">
        <v>45809</v>
      </c>
      <c r="F68" s="17">
        <f>DAY(EOMONTH(Raw_Data[[#This Row],[Month Year]],0))</f>
        <v>30</v>
      </c>
      <c r="G68" s="66">
        <v>45809</v>
      </c>
      <c r="H68" s="25">
        <f>_xlfn.XLOOKUP(Raw_Data[[#This Row],[Month Year]],'Modelling New'!D:D,'Modelling New'!N:N)</f>
        <v>10.507</v>
      </c>
      <c r="I68" s="26">
        <v>0.25</v>
      </c>
      <c r="J68" s="26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5282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38">
        <v>27.376739383374574</v>
      </c>
      <c r="X68" s="25">
        <v>41.126740834069629</v>
      </c>
      <c r="Y68" s="25">
        <v>1.626559259241851</v>
      </c>
      <c r="Z68" s="25">
        <v>6.4820642471313477</v>
      </c>
      <c r="AA68" s="17">
        <v>0</v>
      </c>
      <c r="AB68" s="17">
        <f>SUM(Raw_Data[[#This Row],[IC1_Inv1]:[IC2_Inv2]])</f>
        <v>49864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28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34" t="s">
        <v>211</v>
      </c>
      <c r="D69" s="134" t="s">
        <v>213</v>
      </c>
      <c r="E69" s="37">
        <v>45809</v>
      </c>
      <c r="F69" s="17">
        <f>DAY(EOMONTH(Raw_Data[[#This Row],[Month Year]],0))</f>
        <v>30</v>
      </c>
      <c r="G69" s="66">
        <v>45810</v>
      </c>
      <c r="H69" s="25">
        <f>_xlfn.XLOOKUP(Raw_Data[[#This Row],[Month Year]],'Modelling New'!D:D,'Modelling New'!N:N)</f>
        <v>10.507</v>
      </c>
      <c r="I69" s="26">
        <v>0.25208333333333333</v>
      </c>
      <c r="J69" s="26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5282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38">
        <v>27.288291673592823</v>
      </c>
      <c r="X69" s="25">
        <v>39.084065129206763</v>
      </c>
      <c r="Y69" s="25">
        <v>1.9192828386126088</v>
      </c>
      <c r="Z69" s="25">
        <v>5.62987478574117</v>
      </c>
      <c r="AA69" s="17">
        <v>0</v>
      </c>
      <c r="AB69" s="17">
        <f>SUM(Raw_Data[[#This Row],[IC1_Inv1]:[IC2_Inv2]])</f>
        <v>44467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28">
        <f t="shared" si="4"/>
        <v>12.566666666666666</v>
      </c>
    </row>
    <row r="70" spans="1:35">
      <c r="A70" s="17" t="s">
        <v>4</v>
      </c>
      <c r="B70" s="17">
        <v>2025</v>
      </c>
      <c r="C70" s="134" t="s">
        <v>211</v>
      </c>
      <c r="D70" s="134" t="s">
        <v>213</v>
      </c>
      <c r="E70" s="37">
        <v>45809</v>
      </c>
      <c r="F70" s="17">
        <f>DAY(EOMONTH(Raw_Data[[#This Row],[Month Year]],0))</f>
        <v>30</v>
      </c>
      <c r="G70" s="66">
        <v>45811</v>
      </c>
      <c r="H70" s="25">
        <f>_xlfn.XLOOKUP(Raw_Data[[#This Row],[Month Year]],'Modelling New'!D:D,'Modelling New'!N:N)</f>
        <v>10.507</v>
      </c>
      <c r="I70" s="26">
        <v>0.25138888888888888</v>
      </c>
      <c r="J70" s="26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5282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38">
        <v>25.604953624209294</v>
      </c>
      <c r="X70" s="25">
        <v>36.147619717949581</v>
      </c>
      <c r="Y70" s="25">
        <v>1.4757743923670417</v>
      </c>
      <c r="Z70" s="25">
        <v>6.5288867950439453</v>
      </c>
      <c r="AA70" s="17">
        <v>0</v>
      </c>
      <c r="AB70" s="17">
        <f>SUM(Raw_Data[[#This Row],[IC1_Inv1]:[IC2_Inv2]])</f>
        <v>39054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28">
        <f t="shared" si="4"/>
        <v>12.55</v>
      </c>
    </row>
    <row r="71" spans="1:35">
      <c r="A71" s="17" t="s">
        <v>4</v>
      </c>
      <c r="B71" s="17">
        <v>2025</v>
      </c>
      <c r="C71" s="134" t="s">
        <v>211</v>
      </c>
      <c r="D71" s="134" t="s">
        <v>213</v>
      </c>
      <c r="E71" s="37">
        <v>45809</v>
      </c>
      <c r="F71" s="17">
        <f>DAY(EOMONTH(Raw_Data[[#This Row],[Month Year]],0))</f>
        <v>30</v>
      </c>
      <c r="G71" s="66">
        <v>45812</v>
      </c>
      <c r="H71" s="25">
        <f>_xlfn.XLOOKUP(Raw_Data[[#This Row],[Month Year]],'Modelling New'!D:D,'Modelling New'!N:N)</f>
        <v>10.507</v>
      </c>
      <c r="I71" s="26">
        <v>0.24861111111111112</v>
      </c>
      <c r="J71" s="26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5282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38">
        <v>27.191465679762501</v>
      </c>
      <c r="X71" s="25">
        <v>41.375525401575899</v>
      </c>
      <c r="Y71" s="25">
        <v>0.88923907877587394</v>
      </c>
      <c r="Z71" s="25">
        <v>4.8114042282104492</v>
      </c>
      <c r="AA71" s="17">
        <v>0</v>
      </c>
      <c r="AB71" s="17">
        <f>SUM(Raw_Data[[#This Row],[IC1_Inv1]:[IC2_Inv2]])</f>
        <v>50556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28">
        <f t="shared" si="4"/>
        <v>12.616666666666667</v>
      </c>
    </row>
    <row r="72" spans="1:35">
      <c r="A72" s="17" t="s">
        <v>4</v>
      </c>
      <c r="B72" s="17">
        <v>2025</v>
      </c>
      <c r="C72" s="134" t="s">
        <v>211</v>
      </c>
      <c r="D72" s="134" t="s">
        <v>213</v>
      </c>
      <c r="E72" s="37">
        <v>45809</v>
      </c>
      <c r="F72" s="17">
        <f>DAY(EOMONTH(Raw_Data[[#This Row],[Month Year]],0))</f>
        <v>30</v>
      </c>
      <c r="G72" s="66">
        <v>45813</v>
      </c>
      <c r="H72" s="25">
        <f>_xlfn.XLOOKUP(Raw_Data[[#This Row],[Month Year]],'Modelling New'!D:D,'Modelling New'!N:N)</f>
        <v>10.507</v>
      </c>
      <c r="I72" s="26">
        <v>0.25</v>
      </c>
      <c r="J72" s="26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5282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38">
        <v>27.799682468333572</v>
      </c>
      <c r="X72" s="25">
        <v>43.133621942429315</v>
      </c>
      <c r="Y72" s="25">
        <v>0.76420390976484487</v>
      </c>
      <c r="Z72" s="25">
        <v>1.0214121341705322</v>
      </c>
      <c r="AA72" s="17">
        <v>0.98</v>
      </c>
      <c r="AB72" s="17">
        <f>SUM(Raw_Data[[#This Row],[IC1_Inv1]:[IC2_Inv2]])</f>
        <v>51353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28">
        <f t="shared" si="4"/>
        <v>12.583333333333334</v>
      </c>
    </row>
    <row r="73" spans="1:35">
      <c r="A73" s="17" t="s">
        <v>4</v>
      </c>
      <c r="B73" s="17">
        <v>2025</v>
      </c>
      <c r="C73" s="134" t="s">
        <v>211</v>
      </c>
      <c r="D73" s="134" t="s">
        <v>213</v>
      </c>
      <c r="E73" s="37">
        <v>45809</v>
      </c>
      <c r="F73" s="17">
        <f>DAY(EOMONTH(Raw_Data[[#This Row],[Month Year]],0))</f>
        <v>30</v>
      </c>
      <c r="G73" s="66">
        <v>45814</v>
      </c>
      <c r="H73" s="25">
        <f>_xlfn.XLOOKUP(Raw_Data[[#This Row],[Month Year]],'Modelling New'!D:D,'Modelling New'!N:N)</f>
        <v>10.507</v>
      </c>
      <c r="I73" s="26">
        <v>0.25069444444444444</v>
      </c>
      <c r="J73" s="26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5282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38">
        <v>28.43274767584656</v>
      </c>
      <c r="X73" s="25">
        <v>45.731228504659633</v>
      </c>
      <c r="Y73" s="25">
        <v>0.75487719155365751</v>
      </c>
      <c r="Z73" s="25">
        <v>0.95622599124908447</v>
      </c>
      <c r="AA73" s="17">
        <v>0</v>
      </c>
      <c r="AB73" s="17">
        <f>SUM(Raw_Data[[#This Row],[IC1_Inv1]:[IC2_Inv2]])</f>
        <v>53290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28">
        <f t="shared" si="4"/>
        <v>12.616666666666667</v>
      </c>
    </row>
    <row r="74" spans="1:35">
      <c r="A74" s="17" t="s">
        <v>4</v>
      </c>
      <c r="B74" s="17">
        <v>2025</v>
      </c>
      <c r="C74" s="134" t="s">
        <v>211</v>
      </c>
      <c r="D74" s="134" t="s">
        <v>213</v>
      </c>
      <c r="E74" s="37">
        <v>45809</v>
      </c>
      <c r="F74" s="17">
        <f>DAY(EOMONTH(Raw_Data[[#This Row],[Month Year]],0))</f>
        <v>30</v>
      </c>
      <c r="G74" s="66">
        <v>45815</v>
      </c>
      <c r="H74" s="25">
        <f>_xlfn.XLOOKUP(Raw_Data[[#This Row],[Month Year]],'Modelling New'!D:D,'Modelling New'!N:N)</f>
        <v>10.507</v>
      </c>
      <c r="I74" s="26">
        <v>0.25069444444444444</v>
      </c>
      <c r="J74" s="26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5282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38">
        <v>27.854892075689214</v>
      </c>
      <c r="X74" s="25">
        <v>45.289373176976255</v>
      </c>
      <c r="Y74" s="25">
        <v>0.74587048550969681</v>
      </c>
      <c r="Z74" s="25">
        <v>0.88982200622558594</v>
      </c>
      <c r="AA74" s="17">
        <v>0</v>
      </c>
      <c r="AB74" s="17">
        <f>SUM(Raw_Data[[#This Row],[IC1_Inv1]:[IC2_Inv2]])</f>
        <v>54815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28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34" t="s">
        <v>211</v>
      </c>
      <c r="D75" s="134" t="s">
        <v>213</v>
      </c>
      <c r="E75" s="37">
        <v>45809</v>
      </c>
      <c r="F75" s="17">
        <f>DAY(EOMONTH(Raw_Data[[#This Row],[Month Year]],0))</f>
        <v>30</v>
      </c>
      <c r="G75" s="66">
        <v>45816</v>
      </c>
      <c r="H75" s="25">
        <f>_xlfn.XLOOKUP(Raw_Data[[#This Row],[Month Year]],'Modelling New'!D:D,'Modelling New'!N:N)</f>
        <v>10.507</v>
      </c>
      <c r="I75" s="26">
        <v>0.24930555555555556</v>
      </c>
      <c r="J75" s="26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5282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38">
        <v>28.672822765572363</v>
      </c>
      <c r="X75" s="25">
        <v>45.230646002229562</v>
      </c>
      <c r="Y75" s="25">
        <v>0.72954732928641886</v>
      </c>
      <c r="Z75" s="25">
        <v>0.89024680852890015</v>
      </c>
      <c r="AA75" s="17">
        <v>0</v>
      </c>
      <c r="AB75" s="17">
        <f>SUM(Raw_Data[[#This Row],[IC1_Inv1]:[IC2_Inv2]])</f>
        <v>52286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28">
        <f t="shared" si="5"/>
        <v>12.600000000000001</v>
      </c>
    </row>
    <row r="76" spans="1:35">
      <c r="A76" s="17" t="s">
        <v>4</v>
      </c>
      <c r="B76" s="17">
        <v>2025</v>
      </c>
      <c r="C76" s="134" t="s">
        <v>211</v>
      </c>
      <c r="D76" s="134" t="s">
        <v>213</v>
      </c>
      <c r="E76" s="37">
        <v>45809</v>
      </c>
      <c r="F76" s="17">
        <f>DAY(EOMONTH(Raw_Data[[#This Row],[Month Year]],0))</f>
        <v>30</v>
      </c>
      <c r="G76" s="66">
        <v>45817</v>
      </c>
      <c r="H76" s="25">
        <f>_xlfn.XLOOKUP(Raw_Data[[#This Row],[Month Year]],'Modelling New'!D:D,'Modelling New'!N:N)</f>
        <v>10.507</v>
      </c>
      <c r="I76" s="26">
        <v>0.25069444444444444</v>
      </c>
      <c r="J76" s="26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5282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38">
        <v>26.908883863971347</v>
      </c>
      <c r="X76" s="25">
        <v>38.086289451235814</v>
      </c>
      <c r="Y76" s="25">
        <v>0.70515631786769339</v>
      </c>
      <c r="Z76" s="25">
        <v>0.81437075138092041</v>
      </c>
      <c r="AA76" s="17">
        <v>0.81</v>
      </c>
      <c r="AB76" s="17">
        <f>SUM(Raw_Data[[#This Row],[IC1_Inv1]:[IC2_Inv2]])</f>
        <v>34972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28">
        <f t="shared" si="5"/>
        <v>11.183333333333334</v>
      </c>
    </row>
    <row r="77" spans="1:35">
      <c r="A77" s="17" t="s">
        <v>4</v>
      </c>
      <c r="B77" s="17">
        <v>2025</v>
      </c>
      <c r="C77" s="134" t="s">
        <v>211</v>
      </c>
      <c r="D77" s="134" t="s">
        <v>213</v>
      </c>
      <c r="E77" s="37">
        <v>45809</v>
      </c>
      <c r="F77" s="17">
        <f>DAY(EOMONTH(Raw_Data[[#This Row],[Month Year]],0))</f>
        <v>30</v>
      </c>
      <c r="G77" s="66">
        <v>45818</v>
      </c>
      <c r="H77" s="25">
        <f>_xlfn.XLOOKUP(Raw_Data[[#This Row],[Month Year]],'Modelling New'!D:D,'Modelling New'!N:N)</f>
        <v>10.507</v>
      </c>
      <c r="I77" s="26">
        <v>0.24930555555555556</v>
      </c>
      <c r="J77" s="26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5282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38">
        <v>26.409495324413673</v>
      </c>
      <c r="X77" s="25">
        <v>37.032904060883261</v>
      </c>
      <c r="Y77" s="25">
        <v>1.5430992601392106</v>
      </c>
      <c r="Z77" s="25">
        <v>6.5776700973510742</v>
      </c>
      <c r="AA77" s="17">
        <v>0</v>
      </c>
      <c r="AB77" s="17">
        <f>SUM(Raw_Data[[#This Row],[IC1_Inv1]:[IC2_Inv2]])</f>
        <v>41354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28">
        <f t="shared" si="5"/>
        <v>12.683333333333334</v>
      </c>
    </row>
    <row r="78" spans="1:35">
      <c r="A78" s="17" t="s">
        <v>4</v>
      </c>
      <c r="B78" s="17">
        <v>2025</v>
      </c>
      <c r="C78" s="134" t="s">
        <v>211</v>
      </c>
      <c r="D78" s="134" t="s">
        <v>213</v>
      </c>
      <c r="E78" s="37">
        <v>45809</v>
      </c>
      <c r="F78" s="17">
        <f>DAY(EOMONTH(Raw_Data[[#This Row],[Month Year]],0))</f>
        <v>30</v>
      </c>
      <c r="G78" s="66">
        <v>45819</v>
      </c>
      <c r="H78" s="25">
        <f>_xlfn.XLOOKUP(Raw_Data[[#This Row],[Month Year]],'Modelling New'!D:D,'Modelling New'!N:N)</f>
        <v>10.507</v>
      </c>
      <c r="I78" s="26">
        <v>0.25416666666666665</v>
      </c>
      <c r="J78" s="26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5282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38">
        <v>26.531669211754433</v>
      </c>
      <c r="X78" s="25">
        <v>37.12092341496394</v>
      </c>
      <c r="Y78" s="25">
        <v>0.73588590016731847</v>
      </c>
      <c r="Z78" s="25">
        <v>7.87</v>
      </c>
      <c r="AA78" s="17">
        <v>0</v>
      </c>
      <c r="AB78" s="17">
        <f>SUM(Raw_Data[[#This Row],[IC1_Inv1]:[IC2_Inv2]])</f>
        <v>35037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28">
        <f t="shared" si="5"/>
        <v>11.816666666666666</v>
      </c>
    </row>
    <row r="79" spans="1:35">
      <c r="A79" s="17" t="s">
        <v>4</v>
      </c>
      <c r="B79" s="17">
        <v>2025</v>
      </c>
      <c r="C79" s="134" t="s">
        <v>211</v>
      </c>
      <c r="D79" s="134" t="s">
        <v>213</v>
      </c>
      <c r="E79" s="37">
        <v>45809</v>
      </c>
      <c r="F79" s="17">
        <f>DAY(EOMONTH(Raw_Data[[#This Row],[Month Year]],0))</f>
        <v>30</v>
      </c>
      <c r="G79" s="66">
        <v>45820</v>
      </c>
      <c r="H79" s="25">
        <f>_xlfn.XLOOKUP(Raw_Data[[#This Row],[Month Year]],'Modelling New'!D:D,'Modelling New'!N:N)</f>
        <v>10.507</v>
      </c>
      <c r="I79" s="26">
        <v>0.26250000000000001</v>
      </c>
      <c r="J79" s="26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5282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38">
        <v>25.592481119613442</v>
      </c>
      <c r="X79" s="25">
        <v>35.297229982771967</v>
      </c>
      <c r="Y79" s="25">
        <v>1.4968208989525098</v>
      </c>
      <c r="Z79" s="25">
        <v>6.8727712631225586</v>
      </c>
      <c r="AA79" s="17">
        <v>1.2699999809265137</v>
      </c>
      <c r="AB79" s="17">
        <f>SUM(Raw_Data[[#This Row],[IC1_Inv1]:[IC2_Inv2]])</f>
        <v>35270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28">
        <f t="shared" si="5"/>
        <v>12.350000000000001</v>
      </c>
    </row>
    <row r="80" spans="1:35">
      <c r="A80" s="17" t="s">
        <v>4</v>
      </c>
      <c r="B80" s="17">
        <v>2025</v>
      </c>
      <c r="C80" s="134" t="s">
        <v>211</v>
      </c>
      <c r="D80" s="134" t="s">
        <v>213</v>
      </c>
      <c r="E80" s="37">
        <v>45809</v>
      </c>
      <c r="F80" s="17">
        <f>DAY(EOMONTH(Raw_Data[[#This Row],[Month Year]],0))</f>
        <v>30</v>
      </c>
      <c r="G80" s="66">
        <v>45821</v>
      </c>
      <c r="H80" s="25">
        <f>_xlfn.XLOOKUP(Raw_Data[[#This Row],[Month Year]],'Modelling New'!D:D,'Modelling New'!N:N)</f>
        <v>10.507</v>
      </c>
      <c r="I80" s="26">
        <v>0.26180555555555557</v>
      </c>
      <c r="J80" s="26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5282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38">
        <v>24.85041588031693</v>
      </c>
      <c r="X80" s="25">
        <v>32.004870362944949</v>
      </c>
      <c r="Y80" s="25">
        <v>1.7221130791089392</v>
      </c>
      <c r="Z80" s="25">
        <v>6.3480243682861328</v>
      </c>
      <c r="AA80" s="17">
        <v>0</v>
      </c>
      <c r="AB80" s="17">
        <f>SUM(Raw_Data[[#This Row],[IC1_Inv1]:[IC2_Inv2]])</f>
        <v>31827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28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34" t="s">
        <v>211</v>
      </c>
      <c r="D81" s="134" t="s">
        <v>213</v>
      </c>
      <c r="E81" s="37">
        <v>45809</v>
      </c>
      <c r="F81" s="17">
        <f>DAY(EOMONTH(Raw_Data[[#This Row],[Month Year]],0))</f>
        <v>30</v>
      </c>
      <c r="G81" s="66">
        <v>45822</v>
      </c>
      <c r="H81" s="25">
        <f>_xlfn.XLOOKUP(Raw_Data[[#This Row],[Month Year]],'Modelling New'!D:D,'Modelling New'!N:N)</f>
        <v>10.507</v>
      </c>
      <c r="I81" s="26">
        <v>0.25069444444444444</v>
      </c>
      <c r="J81" s="26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5282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38">
        <v>25.092440852312976</v>
      </c>
      <c r="X81" s="25">
        <v>33.229167927486799</v>
      </c>
      <c r="Y81" s="25">
        <v>1.4089296211659068</v>
      </c>
      <c r="Z81" s="25">
        <v>5.8478641510009766</v>
      </c>
      <c r="AA81" s="17">
        <v>1.98</v>
      </c>
      <c r="AB81" s="17">
        <f>SUM(Raw_Data[[#This Row],[IC1_Inv1]:[IC2_Inv2]])</f>
        <v>31073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28">
        <f t="shared" si="6"/>
        <v>11.816666666666666</v>
      </c>
    </row>
    <row r="82" spans="1:35">
      <c r="A82" s="17" t="s">
        <v>4</v>
      </c>
      <c r="B82" s="17">
        <v>2025</v>
      </c>
      <c r="C82" s="134" t="s">
        <v>211</v>
      </c>
      <c r="D82" s="134" t="s">
        <v>213</v>
      </c>
      <c r="E82" s="37">
        <v>45809</v>
      </c>
      <c r="F82" s="17">
        <f>DAY(EOMONTH(Raw_Data[[#This Row],[Month Year]],0))</f>
        <v>30</v>
      </c>
      <c r="G82" s="66">
        <v>45823</v>
      </c>
      <c r="H82" s="25">
        <f>_xlfn.XLOOKUP(Raw_Data[[#This Row],[Month Year]],'Modelling New'!D:D,'Modelling New'!N:N)</f>
        <v>10.507</v>
      </c>
      <c r="I82" s="26">
        <v>0.25416666666666665</v>
      </c>
      <c r="J82" s="26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5282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38">
        <v>23.93791664718951</v>
      </c>
      <c r="X82" s="25">
        <v>28.827954045048468</v>
      </c>
      <c r="Y82" s="25">
        <v>2.9793625843745692</v>
      </c>
      <c r="Z82" s="25">
        <v>8.7773237228393555</v>
      </c>
      <c r="AA82" s="17">
        <v>1.75</v>
      </c>
      <c r="AB82" s="17">
        <f>SUM(Raw_Data[[#This Row],[IC1_Inv1]:[IC2_Inv2]])</f>
        <v>26612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28">
        <f t="shared" si="6"/>
        <v>12.566666666666666</v>
      </c>
    </row>
    <row r="83" spans="1:35">
      <c r="A83" s="17" t="s">
        <v>4</v>
      </c>
      <c r="B83" s="17">
        <v>2025</v>
      </c>
      <c r="C83" s="134" t="s">
        <v>211</v>
      </c>
      <c r="D83" s="134" t="s">
        <v>213</v>
      </c>
      <c r="E83" s="37">
        <v>45809</v>
      </c>
      <c r="F83" s="17">
        <f>DAY(EOMONTH(Raw_Data[[#This Row],[Month Year]],0))</f>
        <v>30</v>
      </c>
      <c r="G83" s="66">
        <v>45824</v>
      </c>
      <c r="H83" s="25">
        <f>_xlfn.XLOOKUP(Raw_Data[[#This Row],[Month Year]],'Modelling New'!D:D,'Modelling New'!N:N)</f>
        <v>10.507</v>
      </c>
      <c r="I83" s="26">
        <v>0.25347222222222221</v>
      </c>
      <c r="J83" s="26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5282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38">
        <v>24.538977249145507</v>
      </c>
      <c r="X83" s="25">
        <v>31.517718302408856</v>
      </c>
      <c r="Y83" s="25">
        <v>2.6536582102775572</v>
      </c>
      <c r="Z83" s="25">
        <v>10.318573951721191</v>
      </c>
      <c r="AA83" s="17">
        <v>0</v>
      </c>
      <c r="AB83" s="17">
        <f>SUM(Raw_Data[[#This Row],[IC1_Inv1]:[IC2_Inv2]])</f>
        <v>33684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28">
        <f t="shared" si="6"/>
        <v>12.483333333333334</v>
      </c>
    </row>
    <row r="84" spans="1:35">
      <c r="A84" s="17" t="s">
        <v>4</v>
      </c>
      <c r="B84" s="17">
        <v>2025</v>
      </c>
      <c r="C84" s="134" t="s">
        <v>211</v>
      </c>
      <c r="D84" s="134" t="s">
        <v>213</v>
      </c>
      <c r="E84" s="37">
        <v>45809</v>
      </c>
      <c r="F84" s="17">
        <f>DAY(EOMONTH(Raw_Data[[#This Row],[Month Year]],0))</f>
        <v>30</v>
      </c>
      <c r="G84" s="66">
        <v>45825</v>
      </c>
      <c r="H84" s="25">
        <f>_xlfn.XLOOKUP(Raw_Data[[#This Row],[Month Year]],'Modelling New'!D:D,'Modelling New'!N:N)</f>
        <v>10.507</v>
      </c>
      <c r="I84" s="26">
        <v>0.25763888888888886</v>
      </c>
      <c r="J84" s="26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5282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38">
        <v>24.528076024373373</v>
      </c>
      <c r="X84" s="25">
        <v>31.07086433919271</v>
      </c>
      <c r="Y84" s="25">
        <v>1.4826480921109517</v>
      </c>
      <c r="Z84" s="25">
        <v>6.9410510063171387</v>
      </c>
      <c r="AA84" s="17">
        <v>0</v>
      </c>
      <c r="AB84" s="17">
        <f>SUM(Raw_Data[[#This Row],[IC1_Inv1]:[IC2_Inv2]])</f>
        <v>29956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28">
        <f t="shared" si="6"/>
        <v>12.483333333333334</v>
      </c>
    </row>
    <row r="85" spans="1:35">
      <c r="A85" s="17" t="s">
        <v>4</v>
      </c>
      <c r="B85" s="17">
        <v>2025</v>
      </c>
      <c r="C85" s="134" t="s">
        <v>211</v>
      </c>
      <c r="D85" s="134" t="s">
        <v>213</v>
      </c>
      <c r="E85" s="37">
        <v>45809</v>
      </c>
      <c r="F85" s="17">
        <f>DAY(EOMONTH(Raw_Data[[#This Row],[Month Year]],0))</f>
        <v>30</v>
      </c>
      <c r="G85" s="66">
        <v>45826</v>
      </c>
      <c r="H85" s="25">
        <f>_xlfn.XLOOKUP(Raw_Data[[#This Row],[Month Year]],'Modelling New'!D:D,'Modelling New'!N:N)</f>
        <v>10.507</v>
      </c>
      <c r="I85" s="26">
        <v>0.25416666666666665</v>
      </c>
      <c r="J85" s="26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5282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38">
        <v>25.385213816466717</v>
      </c>
      <c r="X85" s="25">
        <v>34.011949455595584</v>
      </c>
      <c r="Y85" s="25">
        <v>0.74290948647110266</v>
      </c>
      <c r="Z85" s="25">
        <v>3.3509926795959473</v>
      </c>
      <c r="AA85" s="17">
        <v>0</v>
      </c>
      <c r="AB85" s="17">
        <f>SUM(Raw_Data[[#This Row],[IC1_Inv1]:[IC2_Inv2]])</f>
        <v>34251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28">
        <f t="shared" si="6"/>
        <v>12.533333333333335</v>
      </c>
    </row>
    <row r="86" spans="1:35">
      <c r="A86" s="17" t="s">
        <v>4</v>
      </c>
      <c r="B86" s="17">
        <v>2025</v>
      </c>
      <c r="C86" s="134" t="s">
        <v>211</v>
      </c>
      <c r="D86" s="134" t="s">
        <v>213</v>
      </c>
      <c r="E86" s="37">
        <v>45809</v>
      </c>
      <c r="F86" s="17">
        <f>DAY(EOMONTH(Raw_Data[[#This Row],[Month Year]],0))</f>
        <v>30</v>
      </c>
      <c r="G86" s="66">
        <v>45827</v>
      </c>
      <c r="H86" s="25">
        <f>_xlfn.XLOOKUP(Raw_Data[[#This Row],[Month Year]],'Modelling New'!D:D,'Modelling New'!N:N)</f>
        <v>10.507</v>
      </c>
      <c r="I86" s="26">
        <v>0.25416666666666665</v>
      </c>
      <c r="J86" s="26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5282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38">
        <v>26.036664026754874</v>
      </c>
      <c r="X86" s="25">
        <v>35.68020456303995</v>
      </c>
      <c r="Y86" s="25">
        <v>0.64889132235416025</v>
      </c>
      <c r="Z86" s="25">
        <v>2.4967470169067383</v>
      </c>
      <c r="AA86" s="17">
        <v>0</v>
      </c>
      <c r="AB86" s="17">
        <f>SUM(Raw_Data[[#This Row],[IC1_Inv1]:[IC2_Inv2]])</f>
        <v>39521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28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34" t="s">
        <v>211</v>
      </c>
      <c r="D87" s="134" t="s">
        <v>213</v>
      </c>
      <c r="E87" s="37">
        <v>45809</v>
      </c>
      <c r="F87" s="17">
        <f>DAY(EOMONTH(Raw_Data[[#This Row],[Month Year]],0))</f>
        <v>30</v>
      </c>
      <c r="G87" s="66">
        <v>45828</v>
      </c>
      <c r="H87" s="25">
        <f>_xlfn.XLOOKUP(Raw_Data[[#This Row],[Month Year]],'Modelling New'!D:D,'Modelling New'!N:N)</f>
        <v>10.507</v>
      </c>
      <c r="I87" s="26">
        <v>0.25208333333333333</v>
      </c>
      <c r="J87" s="26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5282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38">
        <v>26.56112136689843</v>
      </c>
      <c r="X87" s="25">
        <v>38.111448061497669</v>
      </c>
      <c r="Y87" s="25">
        <v>1.2774863270624961</v>
      </c>
      <c r="Z87" s="25">
        <v>6.5961613655090332</v>
      </c>
      <c r="AA87" s="17">
        <v>0</v>
      </c>
      <c r="AB87" s="17">
        <f>SUM(Raw_Data[[#This Row],[IC1_Inv1]:[IC2_Inv2]])</f>
        <v>45502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28">
        <f t="shared" si="7"/>
        <v>12.666666666666668</v>
      </c>
    </row>
    <row r="88" spans="1:35">
      <c r="A88" s="17" t="s">
        <v>4</v>
      </c>
      <c r="B88" s="17">
        <v>2025</v>
      </c>
      <c r="C88" s="134" t="s">
        <v>211</v>
      </c>
      <c r="D88" s="134" t="s">
        <v>213</v>
      </c>
      <c r="E88" s="37">
        <v>45809</v>
      </c>
      <c r="F88" s="17">
        <f>DAY(EOMONTH(Raw_Data[[#This Row],[Month Year]],0))</f>
        <v>30</v>
      </c>
      <c r="G88" s="66">
        <v>45829</v>
      </c>
      <c r="H88" s="25">
        <f>_xlfn.XLOOKUP(Raw_Data[[#This Row],[Month Year]],'Modelling New'!D:D,'Modelling New'!N:N)</f>
        <v>10.507</v>
      </c>
      <c r="I88" s="26">
        <v>0.25347222222222221</v>
      </c>
      <c r="J88" s="26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5282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38">
        <v>26.640337283018404</v>
      </c>
      <c r="X88" s="25">
        <v>37.341550514180824</v>
      </c>
      <c r="Y88" s="25">
        <v>2.2367236468369369</v>
      </c>
      <c r="Z88" s="25">
        <v>6.78448486328125</v>
      </c>
      <c r="AA88" s="17">
        <v>0</v>
      </c>
      <c r="AB88" s="17">
        <f>SUM(Raw_Data[[#This Row],[IC1_Inv1]:[IC2_Inv2]])</f>
        <v>44583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28">
        <f t="shared" si="7"/>
        <v>12.583333333333334</v>
      </c>
    </row>
    <row r="89" spans="1:35">
      <c r="A89" s="17" t="s">
        <v>4</v>
      </c>
      <c r="B89" s="17">
        <v>2025</v>
      </c>
      <c r="C89" s="134" t="s">
        <v>211</v>
      </c>
      <c r="D89" s="134" t="s">
        <v>213</v>
      </c>
      <c r="E89" s="37">
        <v>45809</v>
      </c>
      <c r="F89" s="17">
        <f>DAY(EOMONTH(Raw_Data[[#This Row],[Month Year]],0))</f>
        <v>30</v>
      </c>
      <c r="G89" s="66">
        <v>45830</v>
      </c>
      <c r="H89" s="25">
        <f>_xlfn.XLOOKUP(Raw_Data[[#This Row],[Month Year]],'Modelling New'!D:D,'Modelling New'!N:N)</f>
        <v>10.507</v>
      </c>
      <c r="I89" s="26">
        <v>0.25277777777777777</v>
      </c>
      <c r="J89" s="26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5282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38">
        <v>25.122647747855066</v>
      </c>
      <c r="X89" s="25">
        <v>32.989674795347014</v>
      </c>
      <c r="Y89" s="25">
        <v>1.894035002002616</v>
      </c>
      <c r="Z89" s="25">
        <v>7.7249999999999996</v>
      </c>
      <c r="AA89" s="17">
        <v>0</v>
      </c>
      <c r="AB89" s="17">
        <f>SUM(Raw_Data[[#This Row],[IC1_Inv1]:[IC2_Inv2]])</f>
        <v>11406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28">
        <f t="shared" si="7"/>
        <v>12.616666666666667</v>
      </c>
    </row>
    <row r="90" spans="1:35">
      <c r="A90" s="17" t="s">
        <v>4</v>
      </c>
      <c r="B90" s="17">
        <v>2025</v>
      </c>
      <c r="C90" s="134" t="s">
        <v>211</v>
      </c>
      <c r="D90" s="134" t="s">
        <v>213</v>
      </c>
      <c r="E90" s="37">
        <v>45809</v>
      </c>
      <c r="F90" s="17">
        <f>DAY(EOMONTH(Raw_Data[[#This Row],[Month Year]],0))</f>
        <v>30</v>
      </c>
      <c r="G90" s="66">
        <v>45831</v>
      </c>
      <c r="H90" s="25">
        <f>_xlfn.XLOOKUP(Raw_Data[[#This Row],[Month Year]],'Modelling New'!D:D,'Modelling New'!N:N)</f>
        <v>10.507</v>
      </c>
      <c r="I90" s="26">
        <v>0.26041666666666669</v>
      </c>
      <c r="J90" s="26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5282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38">
        <v>25.377800517326417</v>
      </c>
      <c r="X90" s="25">
        <v>33.838304010684276</v>
      </c>
      <c r="Y90" s="25">
        <v>2.78884566304176</v>
      </c>
      <c r="Z90" s="25">
        <v>8.3453655242919922</v>
      </c>
      <c r="AA90" s="17">
        <v>0</v>
      </c>
      <c r="AB90" s="17">
        <f>SUM(Raw_Data[[#This Row],[IC1_Inv1]:[IC2_Inv2]])</f>
        <v>38478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28">
        <f t="shared" si="7"/>
        <v>12.350000000000001</v>
      </c>
    </row>
    <row r="91" spans="1:35">
      <c r="A91" s="17" t="s">
        <v>4</v>
      </c>
      <c r="B91" s="17">
        <v>2025</v>
      </c>
      <c r="C91" s="134" t="s">
        <v>211</v>
      </c>
      <c r="D91" s="134" t="s">
        <v>213</v>
      </c>
      <c r="E91" s="37">
        <v>45809</v>
      </c>
      <c r="F91" s="17">
        <f>DAY(EOMONTH(Raw_Data[[#This Row],[Month Year]],0))</f>
        <v>30</v>
      </c>
      <c r="G91" s="66">
        <v>45832</v>
      </c>
      <c r="H91" s="25">
        <f>_xlfn.XLOOKUP(Raw_Data[[#This Row],[Month Year]],'Modelling New'!D:D,'Modelling New'!N:N)</f>
        <v>10.507</v>
      </c>
      <c r="I91" s="26">
        <v>0.25624999999999998</v>
      </c>
      <c r="J91" s="26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5282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38">
        <v>24.80223147831266</v>
      </c>
      <c r="X91" s="25">
        <v>31.166486528184677</v>
      </c>
      <c r="Y91" s="25">
        <v>2.3958017004545402</v>
      </c>
      <c r="Z91" s="25">
        <v>8.3187980651855469</v>
      </c>
      <c r="AA91" s="17">
        <v>0.51</v>
      </c>
      <c r="AB91" s="17">
        <f>SUM(Raw_Data[[#This Row],[IC1_Inv1]:[IC2_Inv2]])</f>
        <v>30258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28">
        <f t="shared" si="7"/>
        <v>12.583333333333334</v>
      </c>
    </row>
    <row r="92" spans="1:35">
      <c r="A92" s="17" t="s">
        <v>4</v>
      </c>
      <c r="B92" s="17">
        <v>2025</v>
      </c>
      <c r="C92" s="134" t="s">
        <v>211</v>
      </c>
      <c r="D92" s="134" t="s">
        <v>213</v>
      </c>
      <c r="E92" s="37">
        <v>45809</v>
      </c>
      <c r="F92" s="17">
        <f>DAY(EOMONTH(Raw_Data[[#This Row],[Month Year]],0))</f>
        <v>30</v>
      </c>
      <c r="G92" s="66">
        <v>45833</v>
      </c>
      <c r="H92" s="25">
        <f>_xlfn.XLOOKUP(Raw_Data[[#This Row],[Month Year]],'Modelling New'!D:D,'Modelling New'!N:N)</f>
        <v>10.507</v>
      </c>
      <c r="I92" s="26">
        <v>0.25694444444444442</v>
      </c>
      <c r="J92" s="26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5282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38">
        <v>23.93791664718951</v>
      </c>
      <c r="X92" s="25">
        <v>28.827954045048468</v>
      </c>
      <c r="Y92" s="25">
        <v>2.9793625843745692</v>
      </c>
      <c r="Z92" s="25">
        <v>8.7773237228393555</v>
      </c>
      <c r="AA92" s="17">
        <v>0</v>
      </c>
      <c r="AB92" s="17">
        <f>SUM(Raw_Data[[#This Row],[IC1_Inv1]:[IC2_Inv2]])</f>
        <v>25710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28">
        <f t="shared" ref="AI92:AI97" si="8">(J92-I92)*24</f>
        <v>12.5</v>
      </c>
    </row>
    <row r="93" spans="1:35">
      <c r="A93" s="17" t="s">
        <v>4</v>
      </c>
      <c r="B93" s="17">
        <v>2025</v>
      </c>
      <c r="C93" s="134" t="s">
        <v>211</v>
      </c>
      <c r="D93" s="134" t="s">
        <v>213</v>
      </c>
      <c r="E93" s="37">
        <v>45809</v>
      </c>
      <c r="F93" s="17">
        <f>DAY(EOMONTH(Raw_Data[[#This Row],[Month Year]],0))</f>
        <v>30</v>
      </c>
      <c r="G93" s="66">
        <v>45834</v>
      </c>
      <c r="H93" s="25">
        <f>_xlfn.XLOOKUP(Raw_Data[[#This Row],[Month Year]],'Modelling New'!D:D,'Modelling New'!N:N)</f>
        <v>10.507</v>
      </c>
      <c r="I93" s="26">
        <v>0.25486111111111109</v>
      </c>
      <c r="J93" s="26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5282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38">
        <v>25.995504612365</v>
      </c>
      <c r="X93" s="25">
        <v>34.247148511287577</v>
      </c>
      <c r="Y93" s="25">
        <v>2.3294175594614308</v>
      </c>
      <c r="Z93" s="25">
        <v>6.793510913848877</v>
      </c>
      <c r="AA93" s="17">
        <v>0</v>
      </c>
      <c r="AB93" s="17">
        <f>SUM(Raw_Data[[#This Row],[IC1_Inv1]:[IC2_Inv2]])</f>
        <v>34374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28">
        <f t="shared" si="8"/>
        <v>12.666666666666668</v>
      </c>
    </row>
    <row r="94" spans="1:35">
      <c r="A94" s="17" t="s">
        <v>4</v>
      </c>
      <c r="B94" s="17">
        <v>2025</v>
      </c>
      <c r="C94" s="134" t="s">
        <v>211</v>
      </c>
      <c r="D94" s="134" t="s">
        <v>213</v>
      </c>
      <c r="E94" s="37">
        <v>45809</v>
      </c>
      <c r="F94" s="17">
        <f>DAY(EOMONTH(Raw_Data[[#This Row],[Month Year]],0))</f>
        <v>30</v>
      </c>
      <c r="G94" s="66">
        <v>45835</v>
      </c>
      <c r="H94" s="25">
        <f>_xlfn.XLOOKUP(Raw_Data[[#This Row],[Month Year]],'Modelling New'!D:D,'Modelling New'!N:N)</f>
        <v>10.507</v>
      </c>
      <c r="I94" s="26">
        <v>0.25347222222222221</v>
      </c>
      <c r="J94" s="26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5282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38">
        <v>24.85041588031693</v>
      </c>
      <c r="X94" s="25">
        <v>32.004870362944949</v>
      </c>
      <c r="Y94" s="25">
        <v>1.7221130791089392</v>
      </c>
      <c r="Z94" s="25">
        <v>6.3480243682861328</v>
      </c>
      <c r="AA94" s="17">
        <v>0</v>
      </c>
      <c r="AB94" s="17">
        <f>SUM(Raw_Data[[#This Row],[IC1_Inv1]:[IC2_Inv2]])</f>
        <v>31845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28">
        <f t="shared" si="8"/>
        <v>12.5</v>
      </c>
    </row>
    <row r="95" spans="1:35">
      <c r="A95" s="17" t="s">
        <v>4</v>
      </c>
      <c r="B95" s="17">
        <v>2025</v>
      </c>
      <c r="C95" s="134" t="s">
        <v>211</v>
      </c>
      <c r="D95" s="134" t="s">
        <v>213</v>
      </c>
      <c r="E95" s="37">
        <v>45809</v>
      </c>
      <c r="F95" s="17">
        <f>DAY(EOMONTH(Raw_Data[[#This Row],[Month Year]],0))</f>
        <v>30</v>
      </c>
      <c r="G95" s="66">
        <v>45836</v>
      </c>
      <c r="H95" s="25">
        <f>_xlfn.XLOOKUP(Raw_Data[[#This Row],[Month Year]],'Modelling New'!D:D,'Modelling New'!N:N)</f>
        <v>10.507</v>
      </c>
      <c r="I95" s="26">
        <v>0.25833333333333336</v>
      </c>
      <c r="J95" s="26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5282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38">
        <v>25.663480145590647</v>
      </c>
      <c r="X95" s="25">
        <v>34.81327920742136</v>
      </c>
      <c r="Y95" s="25">
        <v>2.1411613113192653</v>
      </c>
      <c r="Z95" s="25">
        <v>6.8482198715209961</v>
      </c>
      <c r="AA95" s="17">
        <v>0</v>
      </c>
      <c r="AB95" s="17">
        <f>SUM(Raw_Data[[#This Row],[IC1_Inv1]:[IC2_Inv2]])</f>
        <v>35351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28">
        <f t="shared" si="8"/>
        <v>12.583333333333334</v>
      </c>
    </row>
    <row r="96" spans="1:35">
      <c r="A96" s="17" t="s">
        <v>4</v>
      </c>
      <c r="B96" s="17">
        <v>2025</v>
      </c>
      <c r="C96" s="134" t="s">
        <v>211</v>
      </c>
      <c r="D96" s="134" t="s">
        <v>213</v>
      </c>
      <c r="E96" s="37">
        <v>45809</v>
      </c>
      <c r="F96" s="17">
        <f>DAY(EOMONTH(Raw_Data[[#This Row],[Month Year]],0))</f>
        <v>30</v>
      </c>
      <c r="G96" s="66">
        <v>45837</v>
      </c>
      <c r="H96" s="25">
        <f>_xlfn.XLOOKUP(Raw_Data[[#This Row],[Month Year]],'Modelling New'!D:D,'Modelling New'!N:N)</f>
        <v>10.507</v>
      </c>
      <c r="I96" s="26">
        <v>0.25624999999999998</v>
      </c>
      <c r="J96" s="26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5282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38">
        <v>26.469018511740575</v>
      </c>
      <c r="X96" s="25">
        <v>37.620474748421977</v>
      </c>
      <c r="Y96" s="25">
        <v>2.6835137614351234</v>
      </c>
      <c r="Z96" s="25">
        <v>6.9792790412902832</v>
      </c>
      <c r="AA96" s="17">
        <v>0</v>
      </c>
      <c r="AB96" s="17">
        <f>SUM(Raw_Data[[#This Row],[IC1_Inv1]:[IC2_Inv2]])</f>
        <v>45105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28">
        <f t="shared" si="8"/>
        <v>12.566666666666666</v>
      </c>
    </row>
    <row r="97" spans="1:35">
      <c r="A97" s="17" t="s">
        <v>4</v>
      </c>
      <c r="B97" s="17">
        <v>2025</v>
      </c>
      <c r="C97" s="134" t="s">
        <v>211</v>
      </c>
      <c r="D97" s="134" t="s">
        <v>213</v>
      </c>
      <c r="E97" s="37">
        <v>45809</v>
      </c>
      <c r="F97" s="17">
        <f>DAY(EOMONTH(Raw_Data[[#This Row],[Month Year]],0))</f>
        <v>30</v>
      </c>
      <c r="G97" s="66">
        <v>45838</v>
      </c>
      <c r="H97" s="25">
        <f>_xlfn.XLOOKUP(Raw_Data[[#This Row],[Month Year]],'Modelling New'!D:D,'Modelling New'!N:N)</f>
        <v>10.507</v>
      </c>
      <c r="I97" s="26">
        <v>0.25763888888888886</v>
      </c>
      <c r="J97" s="26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5282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38">
        <v>26.136912534094805</v>
      </c>
      <c r="X97" s="25">
        <v>36.90502719500207</v>
      </c>
      <c r="Y97" s="25">
        <v>2.8151054458112905</v>
      </c>
      <c r="Z97" s="25">
        <v>8.1668548583984375</v>
      </c>
      <c r="AA97" s="17">
        <v>0</v>
      </c>
      <c r="AB97" s="17">
        <f>SUM(Raw_Data[[#This Row],[IC1_Inv1]:[IC2_Inv2]])</f>
        <v>45048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28">
        <f t="shared" si="8"/>
        <v>12.600000000000001</v>
      </c>
    </row>
    <row r="98" spans="1:35">
      <c r="A98" s="17" t="s">
        <v>4</v>
      </c>
      <c r="B98" s="17">
        <v>2025</v>
      </c>
      <c r="C98" s="134" t="s">
        <v>211</v>
      </c>
      <c r="D98" s="134" t="s">
        <v>213</v>
      </c>
      <c r="E98" s="37">
        <v>45809</v>
      </c>
      <c r="F98" s="17">
        <f>DAY(EOMONTH(Raw_Data[[#This Row],[Month Year]],0))</f>
        <v>30</v>
      </c>
      <c r="G98" s="66">
        <v>45839</v>
      </c>
      <c r="H98" s="25">
        <f>_xlfn.XLOOKUP(Raw_Data[[#This Row],[Month Year]],'Modelling New'!D:D,'Modelling New'!N:N)</f>
        <v>10.507</v>
      </c>
      <c r="I98" s="26">
        <v>0.25624999999999998</v>
      </c>
      <c r="J98" s="26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5282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38">
        <v>24.52366403627839</v>
      </c>
      <c r="X98" s="25">
        <v>29.557530092844768</v>
      </c>
      <c r="Y98" s="25">
        <v>1.9007405885662216</v>
      </c>
      <c r="Z98" s="25">
        <v>6.3871164321899414</v>
      </c>
      <c r="AA98" s="17">
        <v>0</v>
      </c>
      <c r="AB98" s="17">
        <f>SUM(Raw_Data[[#This Row],[IC1_Inv1]:[IC2_Inv2]])</f>
        <v>24604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28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34" t="s">
        <v>211</v>
      </c>
      <c r="D99" s="134" t="s">
        <v>213</v>
      </c>
      <c r="E99" s="37">
        <v>45839</v>
      </c>
      <c r="F99" s="17">
        <f>DAY(EOMONTH(Raw_Data[[#This Row],[Month Year]],0))</f>
        <v>31</v>
      </c>
      <c r="G99" s="66">
        <v>45840</v>
      </c>
      <c r="H99" s="25">
        <f>_xlfn.XLOOKUP(Raw_Data[[#This Row],[Month Year]],'Modelling New'!D:D,'Modelling New'!N:N)</f>
        <v>10.507</v>
      </c>
      <c r="I99" s="26">
        <v>0.25624999999999998</v>
      </c>
      <c r="J99" s="26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5282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38">
        <v>25.304976208500129</v>
      </c>
      <c r="X99" s="25">
        <v>32.878422651341353</v>
      </c>
      <c r="Y99" s="25">
        <v>2.78884566304176</v>
      </c>
      <c r="Z99" s="25">
        <v>8.3453655242919922</v>
      </c>
      <c r="AA99" s="17">
        <v>0</v>
      </c>
      <c r="AB99" s="17">
        <f>SUM(Raw_Data[[#This Row],[IC1_Inv1]:[IC2_Inv2]])</f>
        <v>33509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28">
        <f t="shared" si="9"/>
        <v>12.566666666666666</v>
      </c>
    </row>
    <row r="100" spans="1:35">
      <c r="A100" s="17" t="s">
        <v>4</v>
      </c>
      <c r="B100" s="17">
        <v>2025</v>
      </c>
      <c r="C100" s="134" t="s">
        <v>211</v>
      </c>
      <c r="D100" s="134" t="s">
        <v>213</v>
      </c>
      <c r="E100" s="37">
        <v>45839</v>
      </c>
      <c r="F100" s="17">
        <f>DAY(EOMONTH(Raw_Data[[#This Row],[Month Year]],0))</f>
        <v>31</v>
      </c>
      <c r="G100" s="66">
        <v>45841</v>
      </c>
      <c r="H100" s="25">
        <f>_xlfn.XLOOKUP(Raw_Data[[#This Row],[Month Year]],'Modelling New'!D:D,'Modelling New'!N:N)</f>
        <v>10.507</v>
      </c>
      <c r="I100" s="26">
        <v>0.26180555555555557</v>
      </c>
      <c r="J100" s="26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5282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38">
        <v>24.07525502718412</v>
      </c>
      <c r="X100" s="25">
        <v>30.455222805501961</v>
      </c>
      <c r="Y100" s="25">
        <v>2.0250793121926054</v>
      </c>
      <c r="Z100" s="25">
        <v>6.7357792854309082</v>
      </c>
      <c r="AA100" s="17">
        <v>2.5399997234344482</v>
      </c>
      <c r="AB100" s="17">
        <f>SUM(Raw_Data[[#This Row],[IC1_Inv1]:[IC2_Inv2]])</f>
        <v>27946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28">
        <f t="shared" si="9"/>
        <v>12.333333333333332</v>
      </c>
    </row>
    <row r="101" spans="1:35">
      <c r="A101" s="17" t="s">
        <v>4</v>
      </c>
      <c r="B101" s="17">
        <v>2025</v>
      </c>
      <c r="C101" s="134" t="s">
        <v>211</v>
      </c>
      <c r="D101" s="134" t="s">
        <v>213</v>
      </c>
      <c r="E101" s="37">
        <v>45839</v>
      </c>
      <c r="F101" s="17">
        <f>DAY(EOMONTH(Raw_Data[[#This Row],[Month Year]],0))</f>
        <v>31</v>
      </c>
      <c r="G101" s="66">
        <v>45842</v>
      </c>
      <c r="H101" s="25">
        <f>_xlfn.XLOOKUP(Raw_Data[[#This Row],[Month Year]],'Modelling New'!D:D,'Modelling New'!N:N)</f>
        <v>10.507</v>
      </c>
      <c r="I101" s="26">
        <v>0.25486111111111109</v>
      </c>
      <c r="J101" s="26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5282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38">
        <v>26.168746299794311</v>
      </c>
      <c r="X101" s="25">
        <v>36.735953038432207</v>
      </c>
      <c r="Y101" s="25">
        <v>2.5882930083578803</v>
      </c>
      <c r="Z101" s="25">
        <v>8.6863269805908203</v>
      </c>
      <c r="AA101" s="17">
        <v>0.75</v>
      </c>
      <c r="AB101" s="17">
        <f>SUM(Raw_Data[[#This Row],[IC1_Inv1]:[IC2_Inv2]])</f>
        <v>40436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28">
        <f t="shared" si="9"/>
        <v>12.533333333333335</v>
      </c>
    </row>
    <row r="102" spans="1:35">
      <c r="A102" s="17" t="s">
        <v>4</v>
      </c>
      <c r="B102" s="17">
        <v>2025</v>
      </c>
      <c r="C102" s="134" t="s">
        <v>211</v>
      </c>
      <c r="D102" s="134" t="s">
        <v>213</v>
      </c>
      <c r="E102" s="37">
        <v>45839</v>
      </c>
      <c r="F102" s="17">
        <f>DAY(EOMONTH(Raw_Data[[#This Row],[Month Year]],0))</f>
        <v>31</v>
      </c>
      <c r="G102" s="66">
        <v>45843</v>
      </c>
      <c r="H102" s="25">
        <f>_xlfn.XLOOKUP(Raw_Data[[#This Row],[Month Year]],'Modelling New'!D:D,'Modelling New'!N:N)</f>
        <v>10.507</v>
      </c>
      <c r="I102" s="26">
        <v>0.25694444444444442</v>
      </c>
      <c r="J102" s="26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5282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38">
        <v>23.947778481703537</v>
      </c>
      <c r="X102" s="25">
        <v>28.503711973640584</v>
      </c>
      <c r="Y102" s="25">
        <v>1.8307118929665664</v>
      </c>
      <c r="Z102" s="25">
        <v>5.4042253494262695</v>
      </c>
      <c r="AA102" s="17">
        <v>0.76200002431869507</v>
      </c>
      <c r="AB102" s="17">
        <f>SUM(Raw_Data[[#This Row],[IC1_Inv1]:[IC2_Inv2]])</f>
        <v>24002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28">
        <f t="shared" si="9"/>
        <v>12.55</v>
      </c>
    </row>
    <row r="103" spans="1:35">
      <c r="A103" s="17" t="s">
        <v>4</v>
      </c>
      <c r="B103" s="17">
        <v>2025</v>
      </c>
      <c r="C103" s="134" t="s">
        <v>211</v>
      </c>
      <c r="D103" s="134" t="s">
        <v>213</v>
      </c>
      <c r="E103" s="37">
        <v>45839</v>
      </c>
      <c r="F103" s="17">
        <f>DAY(EOMONTH(Raw_Data[[#This Row],[Month Year]],0))</f>
        <v>31</v>
      </c>
      <c r="G103" s="66">
        <v>45844</v>
      </c>
      <c r="H103" s="25">
        <f>_xlfn.XLOOKUP(Raw_Data[[#This Row],[Month Year]],'Modelling New'!D:D,'Modelling New'!N:N)</f>
        <v>10.507</v>
      </c>
      <c r="I103" s="26">
        <v>0.25486111111111109</v>
      </c>
      <c r="J103" s="26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5282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38">
        <v>24.221737812630273</v>
      </c>
      <c r="X103" s="25">
        <v>47.360076904296875</v>
      </c>
      <c r="Y103" s="25">
        <v>2.4315711433394309</v>
      </c>
      <c r="Z103" s="25">
        <v>7.1164336204528809</v>
      </c>
      <c r="AA103" s="17">
        <v>2.0319998264312744</v>
      </c>
      <c r="AB103" s="17">
        <f>SUM(Raw_Data[[#This Row],[IC1_Inv1]:[IC2_Inv2]])</f>
        <v>31627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28">
        <f t="shared" si="9"/>
        <v>12.633333333333333</v>
      </c>
    </row>
    <row r="104" spans="1:35">
      <c r="A104" s="17" t="s">
        <v>4</v>
      </c>
      <c r="B104" s="17">
        <v>2025</v>
      </c>
      <c r="C104" s="134" t="s">
        <v>211</v>
      </c>
      <c r="D104" s="134" t="s">
        <v>213</v>
      </c>
      <c r="E104" s="37">
        <v>45839</v>
      </c>
      <c r="F104" s="17">
        <f>DAY(EOMONTH(Raw_Data[[#This Row],[Month Year]],0))</f>
        <v>31</v>
      </c>
      <c r="G104" s="66">
        <v>45845</v>
      </c>
      <c r="H104" s="25">
        <f>_xlfn.XLOOKUP(Raw_Data[[#This Row],[Month Year]],'Modelling New'!D:D,'Modelling New'!N:N)</f>
        <v>10.507</v>
      </c>
      <c r="I104" s="26">
        <v>0.25694444444444442</v>
      </c>
      <c r="J104" s="26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5282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38">
        <v>25.53250853597568</v>
      </c>
      <c r="X104" s="25">
        <v>34.346145006664813</v>
      </c>
      <c r="Y104" s="25">
        <v>2.6347866662249109</v>
      </c>
      <c r="Z104" s="25">
        <v>8.1783866882324219</v>
      </c>
      <c r="AA104" s="17">
        <v>0</v>
      </c>
      <c r="AB104" s="17">
        <f>SUM(Raw_Data[[#This Row],[IC1_Inv1]:[IC2_Inv2]])</f>
        <v>34556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28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34" t="s">
        <v>211</v>
      </c>
      <c r="D105" s="134" t="s">
        <v>213</v>
      </c>
      <c r="E105" s="37">
        <v>45839</v>
      </c>
      <c r="F105" s="17">
        <f>DAY(EOMONTH(Raw_Data[[#This Row],[Month Year]],0))</f>
        <v>31</v>
      </c>
      <c r="G105" s="66">
        <v>45846</v>
      </c>
      <c r="H105" s="25">
        <f>_xlfn.XLOOKUP(Raw_Data[[#This Row],[Month Year]],'Modelling New'!D:D,'Modelling New'!N:N)</f>
        <v>10.507</v>
      </c>
      <c r="I105" s="26">
        <v>0.25486111111111109</v>
      </c>
      <c r="J105" s="26">
        <v>0.77708333333333335</v>
      </c>
      <c r="K105" s="236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5282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38">
        <v>26.168746299794311</v>
      </c>
      <c r="X105" s="38">
        <v>36.735953038432207</v>
      </c>
      <c r="Y105" s="25">
        <v>2.5882930083578803</v>
      </c>
      <c r="Z105" s="25">
        <v>8.6863269805908203</v>
      </c>
      <c r="AA105" s="17">
        <v>0</v>
      </c>
      <c r="AB105" s="17">
        <f>SUM(Raw_Data[[#This Row],[IC1_Inv1]:[IC2_Inv2]])</f>
        <v>41000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28">
        <f t="shared" si="10"/>
        <v>12.533333333333335</v>
      </c>
    </row>
    <row r="106" spans="1:35">
      <c r="A106" s="17" t="s">
        <v>4</v>
      </c>
      <c r="B106" s="17">
        <v>2025</v>
      </c>
      <c r="C106" s="134" t="s">
        <v>211</v>
      </c>
      <c r="D106" s="134" t="s">
        <v>213</v>
      </c>
      <c r="E106" s="37">
        <v>45839</v>
      </c>
      <c r="F106" s="17">
        <f>DAY(EOMONTH(Raw_Data[[#This Row],[Month Year]],0))</f>
        <v>31</v>
      </c>
      <c r="G106" s="66">
        <v>45847</v>
      </c>
      <c r="H106" s="25">
        <f>_xlfn.XLOOKUP(Raw_Data[[#This Row],[Month Year]],'Modelling New'!D:D,'Modelling New'!N:N)</f>
        <v>10.507</v>
      </c>
      <c r="I106" s="26">
        <v>0.25277777777777777</v>
      </c>
      <c r="J106" s="26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5282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38">
        <v>19.739999771118164</v>
      </c>
      <c r="X106" s="38">
        <v>17.487060546875</v>
      </c>
      <c r="Y106" s="25">
        <v>0.63784122467041016</v>
      </c>
      <c r="Z106" s="25">
        <v>7.0451521873474121</v>
      </c>
      <c r="AA106" s="17">
        <v>0</v>
      </c>
      <c r="AB106" s="17">
        <f>SUM(Raw_Data[[#This Row],[IC1_Inv1]:[IC2_Inv2]])</f>
        <v>39234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28">
        <f t="shared" si="10"/>
        <v>12.600000000000001</v>
      </c>
    </row>
    <row r="107" spans="1:35">
      <c r="A107" s="17" t="s">
        <v>4</v>
      </c>
      <c r="B107" s="17">
        <v>2025</v>
      </c>
      <c r="C107" s="134" t="s">
        <v>211</v>
      </c>
      <c r="D107" s="134" t="s">
        <v>213</v>
      </c>
      <c r="E107" s="37">
        <v>45839</v>
      </c>
      <c r="F107" s="17">
        <f>DAY(EOMONTH(Raw_Data[[#This Row],[Month Year]],0))</f>
        <v>31</v>
      </c>
      <c r="G107" s="66">
        <v>45848</v>
      </c>
      <c r="H107" s="25">
        <f>_xlfn.XLOOKUP(Raw_Data[[#This Row],[Month Year]],'Modelling New'!D:D,'Modelling New'!N:N)</f>
        <v>10.507</v>
      </c>
      <c r="I107" s="26">
        <v>0.25624999999999998</v>
      </c>
      <c r="J107" s="26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5282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38">
        <v>24.07525502718412</v>
      </c>
      <c r="X107" s="25">
        <v>30.455222805501961</v>
      </c>
      <c r="Y107" s="25">
        <v>2.0250793121926054</v>
      </c>
      <c r="Z107" s="25">
        <v>6.7357792854309082</v>
      </c>
      <c r="AA107" s="17">
        <v>1.01</v>
      </c>
      <c r="AB107" s="17">
        <f>SUM(Raw_Data[[#This Row],[IC1_Inv1]:[IC2_Inv2]])</f>
        <v>27540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28">
        <f t="shared" si="10"/>
        <v>12.033333333333333</v>
      </c>
    </row>
    <row r="108" spans="1:35">
      <c r="A108" s="17" t="s">
        <v>4</v>
      </c>
      <c r="B108" s="17">
        <v>2025</v>
      </c>
      <c r="C108" s="134" t="s">
        <v>211</v>
      </c>
      <c r="D108" s="134" t="s">
        <v>213</v>
      </c>
      <c r="E108" s="37">
        <v>45839</v>
      </c>
      <c r="F108" s="17">
        <f>DAY(EOMONTH(Raw_Data[[#This Row],[Month Year]],0))</f>
        <v>31</v>
      </c>
      <c r="G108" s="66">
        <v>45849</v>
      </c>
      <c r="H108" s="25">
        <f>_xlfn.XLOOKUP(Raw_Data[[#This Row],[Month Year]],'Modelling New'!D:D,'Modelling New'!N:N)</f>
        <v>10.507</v>
      </c>
      <c r="I108" s="26">
        <v>0.25694444444444442</v>
      </c>
      <c r="J108" s="26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5282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38">
        <v>26.036664026754874</v>
      </c>
      <c r="X108" s="25">
        <v>35.68020456303995</v>
      </c>
      <c r="Y108" s="25">
        <v>0.64889132235416025</v>
      </c>
      <c r="Z108" s="25">
        <v>2.4967470169067383</v>
      </c>
      <c r="AA108" s="17">
        <v>0</v>
      </c>
      <c r="AB108" s="17">
        <f>SUM(Raw_Data[[#This Row],[IC1_Inv1]:[IC2_Inv2]])</f>
        <v>39626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28">
        <f t="shared" si="10"/>
        <v>12.350000000000001</v>
      </c>
    </row>
    <row r="109" spans="1:35">
      <c r="A109" s="17" t="s">
        <v>4</v>
      </c>
      <c r="B109" s="17">
        <v>2025</v>
      </c>
      <c r="C109" s="134" t="s">
        <v>211</v>
      </c>
      <c r="D109" s="134" t="s">
        <v>213</v>
      </c>
      <c r="E109" s="37">
        <v>45839</v>
      </c>
      <c r="F109" s="17">
        <f>DAY(EOMONTH(Raw_Data[[#This Row],[Month Year]],0))</f>
        <v>31</v>
      </c>
      <c r="G109" s="66">
        <v>45850</v>
      </c>
      <c r="H109" s="25">
        <f>_xlfn.XLOOKUP(Raw_Data[[#This Row],[Month Year]],'Modelling New'!D:D,'Modelling New'!N:N)</f>
        <v>10.507</v>
      </c>
      <c r="I109" s="26">
        <v>0.25486111111111109</v>
      </c>
      <c r="J109" s="26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5282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38">
        <v>25.561817547154863</v>
      </c>
      <c r="X109" s="25">
        <v>34.0561224269116</v>
      </c>
      <c r="Y109" s="25">
        <v>1.6255023647637505</v>
      </c>
      <c r="Z109" s="25">
        <v>6.2570199966430664</v>
      </c>
      <c r="AA109" s="17">
        <v>0.98</v>
      </c>
      <c r="AB109" s="17">
        <f>SUM(Raw_Data[[#This Row],[IC1_Inv1]:[IC2_Inv2]])</f>
        <v>34796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28">
        <f t="shared" si="10"/>
        <v>12.683333333333334</v>
      </c>
    </row>
    <row r="110" spans="1:35">
      <c r="A110" s="17" t="s">
        <v>4</v>
      </c>
      <c r="B110" s="17">
        <v>2025</v>
      </c>
      <c r="C110" s="134" t="s">
        <v>211</v>
      </c>
      <c r="D110" s="134" t="s">
        <v>213</v>
      </c>
      <c r="E110" s="37">
        <v>45839</v>
      </c>
      <c r="F110" s="17">
        <f>DAY(EOMONTH(Raw_Data[[#This Row],[Month Year]],0))</f>
        <v>31</v>
      </c>
      <c r="G110" s="66">
        <v>45851</v>
      </c>
      <c r="H110" s="25">
        <f>_xlfn.XLOOKUP(Raw_Data[[#This Row],[Month Year]],'Modelling New'!D:D,'Modelling New'!N:N)</f>
        <v>10.507</v>
      </c>
      <c r="I110" s="26">
        <v>0.25972222222222224</v>
      </c>
      <c r="J110" s="26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5282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38">
        <v>25.698734934550213</v>
      </c>
      <c r="X110" s="25">
        <v>34.71747594218018</v>
      </c>
      <c r="Y110" s="25">
        <v>1.4899570457587441</v>
      </c>
      <c r="Z110" s="25">
        <v>5.9533529281616211</v>
      </c>
      <c r="AA110" s="17">
        <v>0.25400000810623169</v>
      </c>
      <c r="AB110" s="17">
        <f>SUM(Raw_Data[[#This Row],[IC1_Inv1]:[IC2_Inv2]])</f>
        <v>34692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28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34" t="s">
        <v>211</v>
      </c>
      <c r="D111" s="134" t="s">
        <v>213</v>
      </c>
      <c r="E111" s="37">
        <v>45839</v>
      </c>
      <c r="F111" s="17">
        <f>DAY(EOMONTH(Raw_Data[[#This Row],[Month Year]],0))</f>
        <v>31</v>
      </c>
      <c r="G111" s="66">
        <v>45852</v>
      </c>
      <c r="H111" s="25">
        <f>_xlfn.XLOOKUP(Raw_Data[[#This Row],[Month Year]],'Modelling New'!D:D,'Modelling New'!N:N)</f>
        <v>10.507</v>
      </c>
      <c r="I111" s="26">
        <v>0.25624999999999998</v>
      </c>
      <c r="J111" s="26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5282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38">
        <v>25.308907064434489</v>
      </c>
      <c r="X111" s="25">
        <v>34.554433659048442</v>
      </c>
      <c r="Y111" s="25">
        <v>2.4241960584116025</v>
      </c>
      <c r="Z111" s="25">
        <v>7.6105127334594727</v>
      </c>
      <c r="AA111" s="17">
        <v>0</v>
      </c>
      <c r="AB111" s="17">
        <f>SUM(Raw_Data[[#This Row],[IC1_Inv1]:[IC2_Inv2]])</f>
        <v>36792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28">
        <f t="shared" si="11"/>
        <v>12.566666666666666</v>
      </c>
    </row>
    <row r="112" spans="1:35">
      <c r="A112" s="17" t="s">
        <v>4</v>
      </c>
      <c r="B112" s="17">
        <v>2025</v>
      </c>
      <c r="C112" s="134" t="s">
        <v>211</v>
      </c>
      <c r="D112" s="134" t="s">
        <v>213</v>
      </c>
      <c r="E112" s="37">
        <v>45839</v>
      </c>
      <c r="F112" s="17">
        <f>DAY(EOMONTH(Raw_Data[[#This Row],[Month Year]],0))</f>
        <v>31</v>
      </c>
      <c r="G112" s="66">
        <v>45853</v>
      </c>
      <c r="H112" s="25">
        <f>_xlfn.XLOOKUP(Raw_Data[[#This Row],[Month Year]],'Modelling New'!D:D,'Modelling New'!N:N)</f>
        <v>10.507</v>
      </c>
      <c r="I112" s="26">
        <v>0.25972222222222224</v>
      </c>
      <c r="J112" s="26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5282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38">
        <v>25.188855421637982</v>
      </c>
      <c r="X112" s="25">
        <v>31.752026181005988</v>
      </c>
      <c r="Y112" s="25">
        <v>1.4626381730843603</v>
      </c>
      <c r="Z112" s="25">
        <v>4.956303596496582</v>
      </c>
      <c r="AA112" s="17">
        <v>0</v>
      </c>
      <c r="AB112" s="17">
        <f>SUM(Raw_Data[[#This Row],[IC1_Inv1]:[IC2_Inv2]])</f>
        <v>29230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28">
        <f t="shared" si="11"/>
        <v>12.55</v>
      </c>
    </row>
    <row r="113" spans="1:35">
      <c r="A113" s="17" t="s">
        <v>4</v>
      </c>
      <c r="B113" s="17">
        <v>2025</v>
      </c>
      <c r="C113" s="134" t="s">
        <v>211</v>
      </c>
      <c r="D113" s="134" t="s">
        <v>213</v>
      </c>
      <c r="E113" s="37">
        <v>45839</v>
      </c>
      <c r="F113" s="17">
        <f>DAY(EOMONTH(Raw_Data[[#This Row],[Month Year]],0))</f>
        <v>31</v>
      </c>
      <c r="G113" s="66">
        <v>45854</v>
      </c>
      <c r="H113" s="25">
        <f>_xlfn.XLOOKUP(Raw_Data[[#This Row],[Month Year]],'Modelling New'!D:D,'Modelling New'!N:N)</f>
        <v>10.507</v>
      </c>
      <c r="I113" s="26">
        <v>0.25624999999999998</v>
      </c>
      <c r="J113" s="26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5282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38">
        <v>24.803056154264002</v>
      </c>
      <c r="X113" s="25">
        <v>34.565843849715549</v>
      </c>
      <c r="Y113" s="25">
        <v>0.9822539302025175</v>
      </c>
      <c r="Z113" s="25">
        <v>5.461369514465332</v>
      </c>
      <c r="AA113" s="17">
        <v>0.50800001621246338</v>
      </c>
      <c r="AB113" s="17">
        <f>SUM(Raw_Data[[#This Row],[IC1_Inv1]:[IC2_Inv2]])</f>
        <v>31882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28">
        <f t="shared" si="11"/>
        <v>12.3</v>
      </c>
    </row>
    <row r="114" spans="1:35">
      <c r="A114" s="17" t="s">
        <v>4</v>
      </c>
      <c r="B114" s="17">
        <v>2025</v>
      </c>
      <c r="C114" s="134" t="s">
        <v>211</v>
      </c>
      <c r="D114" s="134" t="s">
        <v>213</v>
      </c>
      <c r="E114" s="37">
        <v>45839</v>
      </c>
      <c r="F114" s="17">
        <f>DAY(EOMONTH(Raw_Data[[#This Row],[Month Year]],0))</f>
        <v>31</v>
      </c>
      <c r="G114" s="66">
        <v>45855</v>
      </c>
      <c r="H114" s="25">
        <f>_xlfn.XLOOKUP(Raw_Data[[#This Row],[Month Year]],'Modelling New'!D:D,'Modelling New'!N:N)</f>
        <v>10.507</v>
      </c>
      <c r="I114" s="26">
        <v>0.25972222222222224</v>
      </c>
      <c r="J114" s="26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5282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38">
        <v>25.334299153230489</v>
      </c>
      <c r="X114" s="25">
        <v>37.032645753641745</v>
      </c>
      <c r="Y114" s="25">
        <v>1.7033635648910834</v>
      </c>
      <c r="Z114" s="25">
        <v>5.1773762702941895</v>
      </c>
      <c r="AA114" s="17">
        <v>0.98</v>
      </c>
      <c r="AB114" s="17">
        <f>SUM(Raw_Data[[#This Row],[IC1_Inv1]:[IC2_Inv2]])</f>
        <v>39328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28">
        <f t="shared" si="11"/>
        <v>12.416666666666668</v>
      </c>
    </row>
    <row r="115" spans="1:35">
      <c r="A115" s="17" t="s">
        <v>4</v>
      </c>
      <c r="B115" s="17">
        <v>2025</v>
      </c>
      <c r="C115" s="134" t="s">
        <v>211</v>
      </c>
      <c r="D115" s="134" t="s">
        <v>213</v>
      </c>
      <c r="E115" s="37">
        <v>45839</v>
      </c>
      <c r="F115" s="17">
        <f>DAY(EOMONTH(Raw_Data[[#This Row],[Month Year]],0))</f>
        <v>31</v>
      </c>
      <c r="G115" s="66">
        <v>45856</v>
      </c>
      <c r="H115" s="25">
        <f>_xlfn.XLOOKUP(Raw_Data[[#This Row],[Month Year]],'Modelling New'!D:D,'Modelling New'!N:N)</f>
        <v>10.507</v>
      </c>
      <c r="I115" s="26">
        <v>0.25694444444444442</v>
      </c>
      <c r="J115" s="26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5282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38">
        <v>24.803056154264002</v>
      </c>
      <c r="X115" s="25">
        <v>34.565843849715549</v>
      </c>
      <c r="Y115" s="25">
        <v>0.9822539302025175</v>
      </c>
      <c r="Z115" s="25">
        <v>5.461369514465332</v>
      </c>
      <c r="AA115" s="17">
        <v>0.50800001621246338</v>
      </c>
      <c r="AB115" s="17">
        <f>SUM(Raw_Data[[#This Row],[IC1_Inv1]:[IC2_Inv2]])</f>
        <v>32323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28">
        <f t="shared" si="11"/>
        <v>12.483333333333334</v>
      </c>
    </row>
    <row r="116" spans="1:35">
      <c r="A116" s="17" t="s">
        <v>4</v>
      </c>
      <c r="B116" s="17">
        <v>2025</v>
      </c>
      <c r="C116" s="134" t="s">
        <v>211</v>
      </c>
      <c r="D116" s="134" t="s">
        <v>213</v>
      </c>
      <c r="E116" s="37">
        <v>45839</v>
      </c>
      <c r="F116" s="17">
        <f>DAY(EOMONTH(Raw_Data[[#This Row],[Month Year]],0))</f>
        <v>31</v>
      </c>
      <c r="G116" s="66">
        <v>45857</v>
      </c>
      <c r="H116" s="25">
        <f>_xlfn.XLOOKUP(Raw_Data[[#This Row],[Month Year]],'Modelling New'!D:D,'Modelling New'!N:N)</f>
        <v>10.507</v>
      </c>
      <c r="I116" s="26">
        <v>0.26041666666666669</v>
      </c>
      <c r="J116" s="26">
        <v>0.75208333333333333</v>
      </c>
      <c r="K116" s="17">
        <v>3021</v>
      </c>
      <c r="L116" s="236">
        <v>3343</v>
      </c>
      <c r="M116" s="17">
        <v>3311</v>
      </c>
      <c r="N116" s="17">
        <v>3247</v>
      </c>
      <c r="O116" s="17">
        <v>3082</v>
      </c>
      <c r="P116" s="17">
        <v>5282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38">
        <v>22.894583708364525</v>
      </c>
      <c r="X116" s="25">
        <v>27.10678490700159</v>
      </c>
      <c r="Y116" s="25">
        <v>1.0777514555278271</v>
      </c>
      <c r="Z116" s="25">
        <v>3.7968192100524902</v>
      </c>
      <c r="AA116" s="17">
        <v>0.25400000810623169</v>
      </c>
      <c r="AB116" s="17">
        <f>SUM(Raw_Data[[#This Row],[IC1_Inv1]:[IC2_Inv2]])</f>
        <v>21286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28">
        <f t="shared" ref="AI116:AI121" si="12">(J116-I116)*24</f>
        <v>11.799999999999999</v>
      </c>
    </row>
    <row r="117" spans="1:35">
      <c r="A117" s="17" t="s">
        <v>4</v>
      </c>
      <c r="B117" s="17">
        <v>2025</v>
      </c>
      <c r="C117" s="134" t="s">
        <v>211</v>
      </c>
      <c r="D117" s="134" t="s">
        <v>213</v>
      </c>
      <c r="E117" s="37">
        <v>45839</v>
      </c>
      <c r="F117" s="17">
        <f>DAY(EOMONTH(Raw_Data[[#This Row],[Month Year]],0))</f>
        <v>31</v>
      </c>
      <c r="G117" s="66">
        <v>45858</v>
      </c>
      <c r="H117" s="25">
        <f>_xlfn.XLOOKUP(Raw_Data[[#This Row],[Month Year]],'Modelling New'!D:D,'Modelling New'!N:N)</f>
        <v>10.507</v>
      </c>
      <c r="I117" s="26">
        <v>0.25972222222222224</v>
      </c>
      <c r="J117" s="26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5282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38">
        <v>24.394212918732933</v>
      </c>
      <c r="X117" s="25">
        <v>32.346537244753108</v>
      </c>
      <c r="Y117" s="25">
        <v>1.4379365662118686</v>
      </c>
      <c r="Z117" s="25">
        <v>5.9731965065002441</v>
      </c>
      <c r="AA117" s="17">
        <v>0.25400000810623169</v>
      </c>
      <c r="AB117" s="17">
        <f>SUM(Raw_Data[[#This Row],[IC1_Inv1]:[IC2_Inv2]])</f>
        <v>32169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28">
        <f t="shared" si="12"/>
        <v>12.366666666666665</v>
      </c>
    </row>
    <row r="118" spans="1:35">
      <c r="A118" s="17" t="s">
        <v>4</v>
      </c>
      <c r="B118" s="17">
        <v>2025</v>
      </c>
      <c r="C118" s="134" t="s">
        <v>211</v>
      </c>
      <c r="D118" s="134" t="s">
        <v>213</v>
      </c>
      <c r="E118" s="37">
        <v>45839</v>
      </c>
      <c r="F118" s="17">
        <f>DAY(EOMONTH(Raw_Data[[#This Row],[Month Year]],0))</f>
        <v>31</v>
      </c>
      <c r="G118" s="66">
        <v>45859</v>
      </c>
      <c r="H118" s="25">
        <f>_xlfn.XLOOKUP(Raw_Data[[#This Row],[Month Year]],'Modelling New'!D:D,'Modelling New'!N:N)</f>
        <v>10.507</v>
      </c>
      <c r="I118" s="26">
        <v>0.26180555555555557</v>
      </c>
      <c r="J118" s="26">
        <v>0.77777777777777779</v>
      </c>
      <c r="K118" s="17">
        <v>4785</v>
      </c>
      <c r="L118" s="17">
        <v>5027</v>
      </c>
      <c r="M118" s="17">
        <v>5219</v>
      </c>
      <c r="N118" s="17">
        <v>5139</v>
      </c>
      <c r="O118" s="17">
        <v>4895</v>
      </c>
      <c r="P118" s="17">
        <v>5282</v>
      </c>
      <c r="Q118" s="17">
        <v>120687.95849999999</v>
      </c>
      <c r="R118" s="17">
        <v>16.055592000000001</v>
      </c>
      <c r="S118" s="17">
        <v>3770</v>
      </c>
      <c r="T118" s="17">
        <v>3720</v>
      </c>
      <c r="U118" s="17">
        <v>3660</v>
      </c>
      <c r="V118" s="17">
        <v>0</v>
      </c>
      <c r="W118" s="38">
        <v>23.592323220758885</v>
      </c>
      <c r="X118" s="25">
        <v>30.801243727450142</v>
      </c>
      <c r="Y118" s="25">
        <v>1.5523421283137995</v>
      </c>
      <c r="Z118" s="25">
        <v>4.8422064781188965</v>
      </c>
      <c r="AA118" s="17">
        <v>0.25400000810623169</v>
      </c>
      <c r="AB118" s="17">
        <f>SUM(Raw_Data[[#This Row],[IC1_Inv1]:[IC2_Inv2]])</f>
        <v>30347</v>
      </c>
      <c r="AC118" s="17">
        <f>IF((Raw_Data[[#This Row],[66 kV ABT Main Meter Reading (Export)]]-Q117)*1000&lt;0,0,(Raw_Data[[#This Row],[66 kV ABT Main Meter Reading (Export)]]-Q117)*1000)</f>
        <v>29471.999999994296</v>
      </c>
      <c r="AD118" s="17">
        <f>IF((Raw_Data[[#This Row],[66 kV CRP MFM Reading (Import)]]-R117)*60000&lt;0,0,(Raw_Data[[#This Row],[66 kV CRP MFM Reading (Import)]]-R117)*60000)</f>
        <v>308.16000000001509</v>
      </c>
      <c r="AE118" s="17">
        <f>Raw_Data[[#This Row],[Export  (kWh)]]-Raw_Data[[#This Row],[Import (kWh)]]</f>
        <v>29163.839999994281</v>
      </c>
      <c r="AF118" s="17">
        <f>IFERROR(AVERAGE(Raw_Data[[#This Row],[POA1(Wh/m2)]:[POA2(Wh/m2)]]),"")</f>
        <v>3690</v>
      </c>
      <c r="AG118" s="17">
        <f>IFERROR(Raw_Data[[#This Row],[Avg. POA without Exclusion (W/m2)2]]-Raw_Data[[#This Row],[Avg. POA Lost (W/m2)]],"")</f>
        <v>3690</v>
      </c>
      <c r="AH118" s="17">
        <v>120495.20239999999</v>
      </c>
      <c r="AI118" s="28">
        <f t="shared" si="12"/>
        <v>12.383333333333335</v>
      </c>
    </row>
    <row r="119" spans="1:35">
      <c r="A119" s="17" t="s">
        <v>4</v>
      </c>
      <c r="B119" s="17">
        <v>2025</v>
      </c>
      <c r="C119" s="134" t="s">
        <v>211</v>
      </c>
      <c r="D119" s="134" t="s">
        <v>213</v>
      </c>
      <c r="E119" s="37">
        <v>45839</v>
      </c>
      <c r="F119" s="17">
        <f>DAY(EOMONTH(Raw_Data[[#This Row],[Month Year]],0))</f>
        <v>31</v>
      </c>
      <c r="G119" s="66">
        <v>45860</v>
      </c>
      <c r="H119" s="25">
        <f>_xlfn.XLOOKUP(Raw_Data[[#This Row],[Month Year]],'Modelling New'!D:D,'Modelling New'!N:N)</f>
        <v>10.507</v>
      </c>
      <c r="I119" s="26">
        <v>0.25833333333333336</v>
      </c>
      <c r="J119" s="26">
        <v>0.77638888888888891</v>
      </c>
      <c r="K119" s="17">
        <v>5084</v>
      </c>
      <c r="L119" s="17">
        <v>5593</v>
      </c>
      <c r="M119" s="17">
        <v>5509</v>
      </c>
      <c r="N119" s="17">
        <v>5388</v>
      </c>
      <c r="O119" s="17">
        <v>5282</v>
      </c>
      <c r="P119" s="17">
        <v>4989</v>
      </c>
      <c r="Q119" s="17">
        <v>120719.7349</v>
      </c>
      <c r="R119" s="17">
        <v>16.060694999999999</v>
      </c>
      <c r="S119" s="17">
        <v>3990</v>
      </c>
      <c r="T119" s="17">
        <v>3880</v>
      </c>
      <c r="U119" s="17">
        <v>3870</v>
      </c>
      <c r="V119" s="17">
        <v>0</v>
      </c>
      <c r="W119" s="38">
        <v>24.160546753479004</v>
      </c>
      <c r="X119" s="25">
        <v>31.746793436339932</v>
      </c>
      <c r="Y119" s="25">
        <v>1.7008165226308973</v>
      </c>
      <c r="Z119" s="25">
        <v>6.5749797821044922</v>
      </c>
      <c r="AA119" s="17">
        <v>0.50800001621246338</v>
      </c>
      <c r="AB119" s="17">
        <f>SUM(Raw_Data[[#This Row],[IC1_Inv1]:[IC2_Inv2]])</f>
        <v>31845</v>
      </c>
      <c r="AC119" s="17">
        <f>IF((Raw_Data[[#This Row],[66 kV ABT Main Meter Reading (Export)]]-Q118)*1000&lt;0,0,(Raw_Data[[#This Row],[66 kV ABT Main Meter Reading (Export)]]-Q118)*1000)</f>
        <v>31776.400000002468</v>
      </c>
      <c r="AD119" s="17">
        <f>IF((Raw_Data[[#This Row],[66 kV CRP MFM Reading (Import)]]-R118)*60000&lt;0,0,(Raw_Data[[#This Row],[66 kV CRP MFM Reading (Import)]]-R118)*60000)</f>
        <v>306.1799999998982</v>
      </c>
      <c r="AE119" s="17">
        <f>Raw_Data[[#This Row],[Export  (kWh)]]-Raw_Data[[#This Row],[Import (kWh)]]</f>
        <v>31470.22000000257</v>
      </c>
      <c r="AF119" s="17">
        <f>IFERROR(AVERAGE(Raw_Data[[#This Row],[POA1(Wh/m2)]:[POA2(Wh/m2)]]),"")</f>
        <v>3875</v>
      </c>
      <c r="AG119" s="17">
        <f>IFERROR(Raw_Data[[#This Row],[Avg. POA without Exclusion (W/m2)2]]-Raw_Data[[#This Row],[Avg. POA Lost (W/m2)]],"")</f>
        <v>3875</v>
      </c>
      <c r="AH119" s="17">
        <v>120526.9366</v>
      </c>
      <c r="AI119" s="28">
        <f t="shared" si="12"/>
        <v>12.433333333333332</v>
      </c>
    </row>
    <row r="120" spans="1:35">
      <c r="A120" s="17" t="s">
        <v>4</v>
      </c>
      <c r="B120" s="17">
        <v>2025</v>
      </c>
      <c r="C120" s="134" t="s">
        <v>211</v>
      </c>
      <c r="D120" s="134" t="s">
        <v>213</v>
      </c>
      <c r="E120" s="37">
        <v>45839</v>
      </c>
      <c r="F120" s="17">
        <f>DAY(EOMONTH(Raw_Data[[#This Row],[Month Year]],0))</f>
        <v>31</v>
      </c>
      <c r="G120" s="66">
        <v>45861</v>
      </c>
      <c r="H120" s="25">
        <f>_xlfn.XLOOKUP(Raw_Data[[#This Row],[Month Year]],'Modelling New'!D:D,'Modelling New'!N:N)</f>
        <v>10.507</v>
      </c>
      <c r="I120" s="26">
        <v>0.27083333333333331</v>
      </c>
      <c r="J120" s="26">
        <v>0.77500000000000002</v>
      </c>
      <c r="K120" s="17">
        <v>4821</v>
      </c>
      <c r="L120" s="17">
        <v>5593</v>
      </c>
      <c r="M120" s="17">
        <v>5509</v>
      </c>
      <c r="N120" s="17">
        <v>5388</v>
      </c>
      <c r="O120" s="17">
        <v>4936</v>
      </c>
      <c r="P120" s="17">
        <v>4654</v>
      </c>
      <c r="Q120" s="17">
        <v>120749.62790000001</v>
      </c>
      <c r="R120" s="17">
        <v>16.066222</v>
      </c>
      <c r="S120" s="17">
        <v>3710</v>
      </c>
      <c r="T120" s="17">
        <v>3650</v>
      </c>
      <c r="U120" s="17">
        <v>3630</v>
      </c>
      <c r="V120" s="17">
        <v>0</v>
      </c>
      <c r="W120" s="38">
        <v>24.590077557972634</v>
      </c>
      <c r="X120" s="25">
        <v>31.51842736021635</v>
      </c>
      <c r="Y120" s="25">
        <v>1.4443704917087001</v>
      </c>
      <c r="Z120" s="25">
        <v>7.7017226219177246</v>
      </c>
      <c r="AA120" s="17">
        <v>0.25400000810623169</v>
      </c>
      <c r="AB120" s="17">
        <f>SUM(Raw_Data[[#This Row],[IC1_Inv1]:[IC2_Inv2]])</f>
        <v>30901</v>
      </c>
      <c r="AC120" s="17">
        <f>IF((Raw_Data[[#This Row],[66 kV ABT Main Meter Reading (Export)]]-Q119)*1000&lt;0,0,(Raw_Data[[#This Row],[66 kV ABT Main Meter Reading (Export)]]-Q119)*1000)</f>
        <v>29893.000000010943</v>
      </c>
      <c r="AD120" s="17">
        <f>IF((Raw_Data[[#This Row],[66 kV CRP MFM Reading (Import)]]-R119)*60000&lt;0,0,(Raw_Data[[#This Row],[66 kV CRP MFM Reading (Import)]]-R119)*60000)</f>
        <v>331.62000000004355</v>
      </c>
      <c r="AE120" s="17">
        <f>Raw_Data[[#This Row],[Export  (kWh)]]-Raw_Data[[#This Row],[Import (kWh)]]</f>
        <v>29561.3800000109</v>
      </c>
      <c r="AF120" s="17">
        <f>IFERROR(AVERAGE(Raw_Data[[#This Row],[POA1(Wh/m2)]:[POA2(Wh/m2)]]),"")</f>
        <v>3640</v>
      </c>
      <c r="AG120" s="17">
        <f>IFERROR(Raw_Data[[#This Row],[Avg. POA without Exclusion (W/m2)2]]-Raw_Data[[#This Row],[Avg. POA Lost (W/m2)]],"")</f>
        <v>3640</v>
      </c>
      <c r="AH120" s="17">
        <v>120556.792</v>
      </c>
      <c r="AI120" s="28">
        <f t="shared" si="12"/>
        <v>12.1</v>
      </c>
    </row>
    <row r="121" spans="1:35">
      <c r="A121" s="17" t="s">
        <v>4</v>
      </c>
      <c r="B121" s="17">
        <v>2025</v>
      </c>
      <c r="C121" s="134" t="s">
        <v>211</v>
      </c>
      <c r="D121" s="134" t="s">
        <v>213</v>
      </c>
      <c r="E121" s="37">
        <v>45839</v>
      </c>
      <c r="F121" s="17">
        <f>DAY(EOMONTH(Raw_Data[[#This Row],[Month Year]],0))</f>
        <v>31</v>
      </c>
      <c r="G121" s="66">
        <v>45862</v>
      </c>
      <c r="H121" s="25">
        <f>_xlfn.XLOOKUP(Raw_Data[[#This Row],[Month Year]],'Modelling New'!D:D,'Modelling New'!N:N)</f>
        <v>10.507</v>
      </c>
      <c r="I121" s="26">
        <v>0.25555555555555554</v>
      </c>
      <c r="J121" s="26">
        <v>0.77638888888888891</v>
      </c>
      <c r="K121" s="17">
        <v>4110</v>
      </c>
      <c r="L121" s="17">
        <v>4641</v>
      </c>
      <c r="M121" s="17">
        <v>4526</v>
      </c>
      <c r="N121" s="17">
        <v>4489</v>
      </c>
      <c r="O121" s="17">
        <v>4312</v>
      </c>
      <c r="P121" s="17">
        <v>4028</v>
      </c>
      <c r="Q121" s="17">
        <v>120775.4669</v>
      </c>
      <c r="R121" s="17">
        <v>16.071151</v>
      </c>
      <c r="S121" s="17">
        <v>3190</v>
      </c>
      <c r="T121" s="17">
        <v>3020</v>
      </c>
      <c r="U121" s="17">
        <v>3010</v>
      </c>
      <c r="V121" s="17">
        <v>0</v>
      </c>
      <c r="W121" s="38">
        <v>23.801634208102804</v>
      </c>
      <c r="X121" s="25">
        <v>28.671488472552333</v>
      </c>
      <c r="Y121" s="25">
        <v>0.66935573147367633</v>
      </c>
      <c r="Z121" s="25">
        <v>1.7071681718031566</v>
      </c>
      <c r="AA121" s="17">
        <v>0.25400000810623169</v>
      </c>
      <c r="AB121" s="17">
        <f>SUM(Raw_Data[[#This Row],[IC1_Inv1]:[IC2_Inv2]])</f>
        <v>26106</v>
      </c>
      <c r="AC121" s="17">
        <f>IF((Raw_Data[[#This Row],[66 kV ABT Main Meter Reading (Export)]]-Q120)*1000&lt;0,0,(Raw_Data[[#This Row],[66 kV ABT Main Meter Reading (Export)]]-Q120)*1000)</f>
        <v>25838.999999992666</v>
      </c>
      <c r="AD121" s="17">
        <f>IF((Raw_Data[[#This Row],[66 kV CRP MFM Reading (Import)]]-R120)*60000&lt;0,0,(Raw_Data[[#This Row],[66 kV CRP MFM Reading (Import)]]-R120)*60000)</f>
        <v>295.74000000003764</v>
      </c>
      <c r="AE121" s="17">
        <f>Raw_Data[[#This Row],[Export  (kWh)]]-Raw_Data[[#This Row],[Import (kWh)]]</f>
        <v>25543.259999992628</v>
      </c>
      <c r="AF121" s="17">
        <f>IFERROR(AVERAGE(Raw_Data[[#This Row],[POA1(Wh/m2)]:[POA2(Wh/m2)]]),"")</f>
        <v>3015</v>
      </c>
      <c r="AG121" s="17">
        <f>IFERROR(Raw_Data[[#This Row],[Avg. POA without Exclusion (W/m2)2]]-Raw_Data[[#This Row],[Avg. POA Lost (W/m2)]],"")</f>
        <v>3015</v>
      </c>
      <c r="AH121" s="17">
        <v>120582.5966</v>
      </c>
      <c r="AI121" s="28">
        <f t="shared" si="12"/>
        <v>12.5</v>
      </c>
    </row>
    <row r="122" spans="1:35">
      <c r="A122" s="17" t="s">
        <v>4</v>
      </c>
      <c r="B122" s="17">
        <v>2025</v>
      </c>
      <c r="C122" s="134" t="s">
        <v>211</v>
      </c>
      <c r="D122" s="134" t="s">
        <v>213</v>
      </c>
      <c r="E122" s="37">
        <v>45839</v>
      </c>
      <c r="F122" s="17">
        <f>DAY(EOMONTH(Raw_Data[[#This Row],[Month Year]],0))</f>
        <v>31</v>
      </c>
      <c r="G122" s="66">
        <v>45863</v>
      </c>
      <c r="H122" s="25">
        <f>_xlfn.XLOOKUP(Raw_Data[[#This Row],[Month Year]],'Modelling New'!D:D,'Modelling New'!N:N)</f>
        <v>10.507</v>
      </c>
      <c r="I122" s="26">
        <v>0.26458333333333334</v>
      </c>
      <c r="J122" s="26">
        <v>0.74861111111111112</v>
      </c>
      <c r="K122" s="17">
        <v>2840</v>
      </c>
      <c r="L122" s="17">
        <v>3121</v>
      </c>
      <c r="M122" s="17">
        <v>3031</v>
      </c>
      <c r="N122" s="17">
        <v>3050</v>
      </c>
      <c r="O122" s="17">
        <v>2920</v>
      </c>
      <c r="P122" s="17">
        <v>2730</v>
      </c>
      <c r="Q122" s="17">
        <v>120792.9718</v>
      </c>
      <c r="R122" s="17">
        <v>16.076521</v>
      </c>
      <c r="S122" s="17">
        <v>2160</v>
      </c>
      <c r="T122" s="17">
        <v>2110</v>
      </c>
      <c r="U122" s="17">
        <v>2110</v>
      </c>
      <c r="V122" s="17">
        <v>0</v>
      </c>
      <c r="W122" s="38">
        <v>23.556039542475649</v>
      </c>
      <c r="X122" s="25">
        <v>28.270894481394951</v>
      </c>
      <c r="Y122" s="25">
        <v>1.2584473854254739</v>
      </c>
      <c r="Z122" s="25">
        <v>8.1664529641469326</v>
      </c>
      <c r="AA122" s="17">
        <v>1.23</v>
      </c>
      <c r="AB122" s="17">
        <f>SUM(Raw_Data[[#This Row],[IC1_Inv1]:[IC2_Inv2]])</f>
        <v>17692</v>
      </c>
      <c r="AC122" s="17">
        <f>IF((Raw_Data[[#This Row],[66 kV ABT Main Meter Reading (Export)]]-Q121)*1000&lt;0,0,(Raw_Data[[#This Row],[66 kV ABT Main Meter Reading (Export)]]-Q121)*1000)</f>
        <v>17504.899999999907</v>
      </c>
      <c r="AD122" s="17">
        <f>IF((Raw_Data[[#This Row],[66 kV CRP MFM Reading (Import)]]-R121)*60000&lt;0,0,(Raw_Data[[#This Row],[66 kV CRP MFM Reading (Import)]]-R121)*60000)</f>
        <v>322.19999999995252</v>
      </c>
      <c r="AE122" s="17">
        <f>Raw_Data[[#This Row],[Export  (kWh)]]-Raw_Data[[#This Row],[Import (kWh)]]</f>
        <v>17182.699999999953</v>
      </c>
      <c r="AF122" s="17">
        <f>IFERROR(AVERAGE(Raw_Data[[#This Row],[POA1(Wh/m2)]:[POA2(Wh/m2)]]),"")</f>
        <v>2110</v>
      </c>
      <c r="AG122" s="17">
        <f>IFERROR(Raw_Data[[#This Row],[Avg. POA without Exclusion (W/m2)2]]-Raw_Data[[#This Row],[Avg. POA Lost (W/m2)]],"")</f>
        <v>2110</v>
      </c>
      <c r="AH122" s="17">
        <v>120600.07769999999</v>
      </c>
      <c r="AI122" s="28">
        <f t="shared" ref="AI122:AI127" si="13">(J122-I122)*24</f>
        <v>11.616666666666667</v>
      </c>
    </row>
    <row r="123" spans="1:35">
      <c r="A123" s="17" t="s">
        <v>4</v>
      </c>
      <c r="B123" s="17">
        <v>2025</v>
      </c>
      <c r="C123" s="134" t="s">
        <v>211</v>
      </c>
      <c r="D123" s="134" t="s">
        <v>213</v>
      </c>
      <c r="E123" s="37">
        <v>45839</v>
      </c>
      <c r="F123" s="17">
        <f>DAY(EOMONTH(Raw_Data[[#This Row],[Month Year]],0))</f>
        <v>31</v>
      </c>
      <c r="G123" s="66">
        <v>45864</v>
      </c>
      <c r="H123" s="25">
        <f>_xlfn.XLOOKUP(Raw_Data[[#This Row],[Month Year]],'Modelling New'!D:D,'Modelling New'!N:N)</f>
        <v>10.507</v>
      </c>
      <c r="I123" s="26">
        <v>0.26874999999999999</v>
      </c>
      <c r="J123" s="26">
        <v>0.77638888888888891</v>
      </c>
      <c r="K123" s="17">
        <v>2723</v>
      </c>
      <c r="L123" s="17">
        <v>2964</v>
      </c>
      <c r="M123" s="17">
        <v>2900</v>
      </c>
      <c r="N123" s="17">
        <v>2890</v>
      </c>
      <c r="O123" s="17">
        <v>2790</v>
      </c>
      <c r="P123" s="17">
        <v>2580</v>
      </c>
      <c r="Q123" s="17">
        <v>120809.5624</v>
      </c>
      <c r="R123" s="17">
        <v>16.081579999999999</v>
      </c>
      <c r="S123" s="17">
        <v>2130</v>
      </c>
      <c r="T123" s="17">
        <v>1980</v>
      </c>
      <c r="U123" s="17">
        <v>1990</v>
      </c>
      <c r="V123" s="17">
        <v>0</v>
      </c>
      <c r="W123" s="38">
        <v>23.597872939309578</v>
      </c>
      <c r="X123" s="25">
        <v>26.896070844544564</v>
      </c>
      <c r="Y123" s="25">
        <v>1.8840445648513344</v>
      </c>
      <c r="Z123" s="25">
        <v>7.3513015111287432</v>
      </c>
      <c r="AA123" s="17">
        <v>0.35</v>
      </c>
      <c r="AB123" s="17">
        <f>SUM(Raw_Data[[#This Row],[IC1_Inv1]:[IC2_Inv2]])</f>
        <v>16847</v>
      </c>
      <c r="AC123" s="17">
        <f>IF((Raw_Data[[#This Row],[66 kV ABT Main Meter Reading (Export)]]-Q122)*1000&lt;0,0,(Raw_Data[[#This Row],[66 kV ABT Main Meter Reading (Export)]]-Q122)*1000)</f>
        <v>16590.599999995902</v>
      </c>
      <c r="AD123" s="17">
        <f>IF((Raw_Data[[#This Row],[66 kV CRP MFM Reading (Import)]]-R122)*60000&lt;0,0,(Raw_Data[[#This Row],[66 kV CRP MFM Reading (Import)]]-R122)*60000)</f>
        <v>303.53999999995551</v>
      </c>
      <c r="AE123" s="17">
        <f>Raw_Data[[#This Row],[Export  (kWh)]]-Raw_Data[[#This Row],[Import (kWh)]]</f>
        <v>16287.059999995947</v>
      </c>
      <c r="AF123" s="17">
        <f>IFERROR(AVERAGE(Raw_Data[[#This Row],[POA1(Wh/m2)]:[POA2(Wh/m2)]]),"")</f>
        <v>1985</v>
      </c>
      <c r="AG123" s="17">
        <f>IFERROR(Raw_Data[[#This Row],[Avg. POA without Exclusion (W/m2)2]]-Raw_Data[[#This Row],[Avg. POA Lost (W/m2)]],"")</f>
        <v>1985</v>
      </c>
      <c r="AH123" s="17">
        <v>120616.64320000001</v>
      </c>
      <c r="AI123" s="28">
        <f t="shared" si="13"/>
        <v>12.183333333333335</v>
      </c>
    </row>
    <row r="124" spans="1:35">
      <c r="A124" s="17" t="s">
        <v>4</v>
      </c>
      <c r="B124" s="17">
        <v>2025</v>
      </c>
      <c r="C124" s="134" t="s">
        <v>211</v>
      </c>
      <c r="D124" s="134" t="s">
        <v>213</v>
      </c>
      <c r="E124" s="37">
        <v>45839</v>
      </c>
      <c r="F124" s="17">
        <f>DAY(EOMONTH(Raw_Data[[#This Row],[Month Year]],0))</f>
        <v>31</v>
      </c>
      <c r="G124" s="66">
        <v>45865</v>
      </c>
      <c r="H124" s="25">
        <f>_xlfn.XLOOKUP(Raw_Data[[#This Row],[Month Year]],'Modelling New'!D:D,'Modelling New'!N:N)</f>
        <v>10.507</v>
      </c>
      <c r="I124" s="26">
        <v>0.26597222222222222</v>
      </c>
      <c r="J124" s="26">
        <v>0.77569444444444446</v>
      </c>
      <c r="K124" s="17">
        <v>4030</v>
      </c>
      <c r="L124" s="17">
        <v>4323</v>
      </c>
      <c r="M124" s="17">
        <v>4343</v>
      </c>
      <c r="N124" s="17">
        <v>4253</v>
      </c>
      <c r="O124" s="17">
        <v>4080</v>
      </c>
      <c r="P124" s="17">
        <v>3844</v>
      </c>
      <c r="Q124" s="17">
        <v>120834.1857</v>
      </c>
      <c r="R124" s="17">
        <v>16.086735000000001</v>
      </c>
      <c r="S124" s="17">
        <v>3110</v>
      </c>
      <c r="T124" s="17">
        <v>3020</v>
      </c>
      <c r="U124" s="17">
        <v>3010</v>
      </c>
      <c r="V124" s="17">
        <v>0</v>
      </c>
      <c r="W124" s="38">
        <v>23.693586571078342</v>
      </c>
      <c r="X124" s="25">
        <v>29.005921083381764</v>
      </c>
      <c r="Y124" s="25">
        <v>2.5486496112881114</v>
      </c>
      <c r="Z124" s="25">
        <v>5.9443340301513672</v>
      </c>
      <c r="AA124" s="17">
        <v>0</v>
      </c>
      <c r="AB124" s="17">
        <f>SUM(Raw_Data[[#This Row],[IC1_Inv1]:[IC2_Inv2]])</f>
        <v>24873</v>
      </c>
      <c r="AC124" s="17">
        <f>IF((Raw_Data[[#This Row],[66 kV ABT Main Meter Reading (Export)]]-Q123)*1000&lt;0,0,(Raw_Data[[#This Row],[66 kV ABT Main Meter Reading (Export)]]-Q123)*1000)</f>
        <v>24623.300000006566</v>
      </c>
      <c r="AD124" s="17">
        <f>IF((Raw_Data[[#This Row],[66 kV CRP MFM Reading (Import)]]-R123)*60000&lt;0,0,(Raw_Data[[#This Row],[66 kV CRP MFM Reading (Import)]]-R123)*60000)</f>
        <v>309.30000000012114</v>
      </c>
      <c r="AE124" s="17">
        <f>Raw_Data[[#This Row],[Export  (kWh)]]-Raw_Data[[#This Row],[Import (kWh)]]</f>
        <v>24314.000000006446</v>
      </c>
      <c r="AF124" s="17">
        <f>IFERROR(AVERAGE(Raw_Data[[#This Row],[POA1(Wh/m2)]:[POA2(Wh/m2)]]),"")</f>
        <v>3015</v>
      </c>
      <c r="AG124" s="17">
        <f>IFERROR(Raw_Data[[#This Row],[Avg. POA without Exclusion (W/m2)2]]-Raw_Data[[#This Row],[Avg. POA Lost (W/m2)]],"")</f>
        <v>3015</v>
      </c>
      <c r="AH124" s="17">
        <v>120641.23119999999</v>
      </c>
      <c r="AI124" s="28">
        <f t="shared" si="13"/>
        <v>12.233333333333333</v>
      </c>
    </row>
    <row r="125" spans="1:35">
      <c r="A125" s="17" t="s">
        <v>4</v>
      </c>
      <c r="B125" s="17">
        <v>2025</v>
      </c>
      <c r="C125" s="134" t="s">
        <v>211</v>
      </c>
      <c r="D125" s="134" t="s">
        <v>213</v>
      </c>
      <c r="E125" s="37">
        <v>45839</v>
      </c>
      <c r="F125" s="17">
        <f>DAY(EOMONTH(Raw_Data[[#This Row],[Month Year]],0))</f>
        <v>31</v>
      </c>
      <c r="G125" s="66">
        <v>45866</v>
      </c>
      <c r="H125" s="25">
        <f>_xlfn.XLOOKUP(Raw_Data[[#This Row],[Month Year]],'Modelling New'!D:D,'Modelling New'!N:N)</f>
        <v>10.507</v>
      </c>
      <c r="I125" s="26">
        <v>0.27291666666666664</v>
      </c>
      <c r="J125" s="26">
        <v>0.77847222222222223</v>
      </c>
      <c r="K125" s="17">
        <v>4121</v>
      </c>
      <c r="L125" s="17">
        <v>4390</v>
      </c>
      <c r="M125" s="17">
        <v>4392</v>
      </c>
      <c r="N125" s="17">
        <v>4310</v>
      </c>
      <c r="O125" s="17">
        <v>4193</v>
      </c>
      <c r="P125" s="17">
        <v>3911</v>
      </c>
      <c r="Q125" s="17">
        <v>120859.27340000001</v>
      </c>
      <c r="R125" s="17">
        <v>16.092365999999998</v>
      </c>
      <c r="S125" s="17">
        <v>3160</v>
      </c>
      <c r="T125" s="17">
        <v>3110</v>
      </c>
      <c r="U125" s="17">
        <v>3060</v>
      </c>
      <c r="V125" s="17">
        <v>0</v>
      </c>
      <c r="W125" s="38">
        <v>23.692757682294449</v>
      </c>
      <c r="X125" s="25">
        <v>29.367971473637549</v>
      </c>
      <c r="Y125" s="25">
        <v>1.6724957968741097</v>
      </c>
      <c r="Z125" s="25">
        <v>5.5520343780517578</v>
      </c>
      <c r="AA125" s="17">
        <v>0</v>
      </c>
      <c r="AB125" s="17">
        <f>SUM(Raw_Data[[#This Row],[IC1_Inv1]:[IC2_Inv2]])</f>
        <v>25317</v>
      </c>
      <c r="AC125" s="17">
        <f>IF((Raw_Data[[#This Row],[66 kV ABT Main Meter Reading (Export)]]-Q124)*1000&lt;0,0,(Raw_Data[[#This Row],[66 kV ABT Main Meter Reading (Export)]]-Q124)*1000)</f>
        <v>25087.700000003679</v>
      </c>
      <c r="AD125" s="17">
        <f>IF((Raw_Data[[#This Row],[66 kV CRP MFM Reading (Import)]]-R124)*60000&lt;0,0,(Raw_Data[[#This Row],[66 kV CRP MFM Reading (Import)]]-R124)*60000)</f>
        <v>337.85999999984995</v>
      </c>
      <c r="AE125" s="17">
        <f>Raw_Data[[#This Row],[Export  (kWh)]]-Raw_Data[[#This Row],[Import (kWh)]]</f>
        <v>24749.840000003827</v>
      </c>
      <c r="AF125" s="17">
        <f>IFERROR(AVERAGE(Raw_Data[[#This Row],[POA1(Wh/m2)]:[POA2(Wh/m2)]]),"")</f>
        <v>3085</v>
      </c>
      <c r="AG125" s="17">
        <f>IFERROR(Raw_Data[[#This Row],[Avg. POA without Exclusion (W/m2)2]]-Raw_Data[[#This Row],[Avg. POA Lost (W/m2)]],"")</f>
        <v>3085</v>
      </c>
      <c r="AH125" s="17">
        <v>120666.28290000001</v>
      </c>
      <c r="AI125" s="28">
        <f t="shared" si="13"/>
        <v>12.133333333333333</v>
      </c>
    </row>
    <row r="126" spans="1:35">
      <c r="A126" s="17" t="s">
        <v>4</v>
      </c>
      <c r="B126" s="17">
        <v>2025</v>
      </c>
      <c r="C126" s="134" t="s">
        <v>211</v>
      </c>
      <c r="D126" s="134" t="s">
        <v>213</v>
      </c>
      <c r="E126" s="37">
        <v>45839</v>
      </c>
      <c r="F126" s="17">
        <f>DAY(EOMONTH(Raw_Data[[#This Row],[Month Year]],0))</f>
        <v>31</v>
      </c>
      <c r="G126" s="66">
        <v>45867</v>
      </c>
      <c r="H126" s="25">
        <f>_xlfn.XLOOKUP(Raw_Data[[#This Row],[Month Year]],'Modelling New'!D:D,'Modelling New'!N:N)</f>
        <v>10.507</v>
      </c>
      <c r="I126" s="26">
        <v>0.26527777777777778</v>
      </c>
      <c r="J126" s="26">
        <v>0.77569444444444446</v>
      </c>
      <c r="K126" s="17">
        <v>4123</v>
      </c>
      <c r="L126" s="17">
        <v>4554</v>
      </c>
      <c r="M126" s="17">
        <v>4412</v>
      </c>
      <c r="N126" s="17">
        <v>4358</v>
      </c>
      <c r="O126" s="17">
        <v>4221</v>
      </c>
      <c r="P126" s="17">
        <v>3946</v>
      </c>
      <c r="Q126" s="17">
        <v>120884.6666</v>
      </c>
      <c r="R126" s="17">
        <v>16.097256999999999</v>
      </c>
      <c r="S126" s="17">
        <v>3200</v>
      </c>
      <c r="T126" s="17">
        <v>3120</v>
      </c>
      <c r="U126" s="17">
        <v>3080</v>
      </c>
      <c r="V126" s="17">
        <v>0</v>
      </c>
      <c r="W126" s="38">
        <v>23.410125150844678</v>
      </c>
      <c r="X126" s="25">
        <v>29.602864794405356</v>
      </c>
      <c r="Y126" s="25">
        <v>1.6463438026553059</v>
      </c>
      <c r="Z126" s="25">
        <v>5.0612964630126953</v>
      </c>
      <c r="AA126" s="17">
        <v>5.0612964630126953</v>
      </c>
      <c r="AB126" s="17">
        <f>SUM(Raw_Data[[#This Row],[IC1_Inv1]:[IC2_Inv2]])</f>
        <v>25614</v>
      </c>
      <c r="AC126" s="17">
        <f>IF((Raw_Data[[#This Row],[66 kV ABT Main Meter Reading (Export)]]-Q125)*1000&lt;0,0,(Raw_Data[[#This Row],[66 kV ABT Main Meter Reading (Export)]]-Q125)*1000)</f>
        <v>25393.199999991339</v>
      </c>
      <c r="AD126" s="17">
        <f>IF((Raw_Data[[#This Row],[66 kV CRP MFM Reading (Import)]]-R125)*60000&lt;0,0,(Raw_Data[[#This Row],[66 kV CRP MFM Reading (Import)]]-R125)*60000)</f>
        <v>293.46000000003869</v>
      </c>
      <c r="AE126" s="17">
        <f>Raw_Data[[#This Row],[Export  (kWh)]]-Raw_Data[[#This Row],[Import (kWh)]]</f>
        <v>25099.7399999913</v>
      </c>
      <c r="AF126" s="17">
        <f>IFERROR(AVERAGE(Raw_Data[[#This Row],[POA1(Wh/m2)]:[POA2(Wh/m2)]]),"")</f>
        <v>3100</v>
      </c>
      <c r="AG126" s="17">
        <f>IFERROR(Raw_Data[[#This Row],[Avg. POA without Exclusion (W/m2)2]]-Raw_Data[[#This Row],[Avg. POA Lost (W/m2)]],"")</f>
        <v>3100</v>
      </c>
      <c r="AH126" s="17">
        <v>120691.6401</v>
      </c>
      <c r="AI126" s="28">
        <f t="shared" si="13"/>
        <v>12.250000000000002</v>
      </c>
    </row>
    <row r="127" spans="1:35">
      <c r="A127" s="17" t="s">
        <v>4</v>
      </c>
      <c r="B127" s="17">
        <v>2025</v>
      </c>
      <c r="C127" s="134" t="s">
        <v>211</v>
      </c>
      <c r="D127" s="134" t="s">
        <v>213</v>
      </c>
      <c r="E127" s="37">
        <v>45839</v>
      </c>
      <c r="F127" s="17">
        <f>DAY(EOMONTH(Raw_Data[[#This Row],[Month Year]],0))</f>
        <v>31</v>
      </c>
      <c r="G127" s="66">
        <v>45868</v>
      </c>
      <c r="H127" s="25">
        <f>_xlfn.XLOOKUP(Raw_Data[[#This Row],[Month Year]],'Modelling New'!D:D,'Modelling New'!N:N)</f>
        <v>10.507</v>
      </c>
      <c r="I127" s="26">
        <v>0.26041666666666669</v>
      </c>
      <c r="J127" s="26">
        <v>0.77847222222222223</v>
      </c>
      <c r="K127" s="17">
        <v>5400</v>
      </c>
      <c r="L127" s="17">
        <v>5980</v>
      </c>
      <c r="M127" s="17">
        <v>5844</v>
      </c>
      <c r="N127" s="17">
        <v>5723</v>
      </c>
      <c r="O127" s="17">
        <v>5580</v>
      </c>
      <c r="P127" s="17">
        <v>5190</v>
      </c>
      <c r="Q127" s="17">
        <v>120918.1502</v>
      </c>
      <c r="R127" s="17">
        <v>16.102589999999999</v>
      </c>
      <c r="S127" s="17">
        <v>4170</v>
      </c>
      <c r="T127" s="17">
        <v>4360</v>
      </c>
      <c r="U127" s="17">
        <v>4360</v>
      </c>
      <c r="V127" s="17">
        <v>0</v>
      </c>
      <c r="W127" s="38">
        <v>25.228924563361627</v>
      </c>
      <c r="X127" s="25">
        <v>33.634501396700067</v>
      </c>
      <c r="Y127" s="25">
        <v>2.072489955559464</v>
      </c>
      <c r="Z127" s="25">
        <v>5.3553002902439664</v>
      </c>
      <c r="AA127" s="17">
        <v>0</v>
      </c>
      <c r="AB127" s="17">
        <f>SUM(Raw_Data[[#This Row],[IC1_Inv1]:[IC2_Inv2]])</f>
        <v>33717</v>
      </c>
      <c r="AC127" s="17">
        <f>IF((Raw_Data[[#This Row],[66 kV ABT Main Meter Reading (Export)]]-Q126)*1000&lt;0,0,(Raw_Data[[#This Row],[66 kV ABT Main Meter Reading (Export)]]-Q126)*1000)</f>
        <v>33483.600000006845</v>
      </c>
      <c r="AD127" s="17">
        <f>IF((Raw_Data[[#This Row],[66 kV CRP MFM Reading (Import)]]-R126)*60000&lt;0,0,(Raw_Data[[#This Row],[66 kV CRP MFM Reading (Import)]]-R126)*60000)</f>
        <v>319.98000000001525</v>
      </c>
      <c r="AE127" s="17">
        <f>Raw_Data[[#This Row],[Export  (kWh)]]-Raw_Data[[#This Row],[Import (kWh)]]</f>
        <v>33163.620000006827</v>
      </c>
      <c r="AF127" s="17">
        <f>IFERROR(AVERAGE(Raw_Data[[#This Row],[POA1(Wh/m2)]:[POA2(Wh/m2)]]),"")</f>
        <v>4360</v>
      </c>
      <c r="AG127" s="17">
        <f>IFERROR(Raw_Data[[#This Row],[Avg. POA without Exclusion (W/m2)2]]-Raw_Data[[#This Row],[Avg. POA Lost (W/m2)]],"")</f>
        <v>4360</v>
      </c>
      <c r="AH127" s="17">
        <v>120725.07829999999</v>
      </c>
      <c r="AI127" s="28">
        <f t="shared" si="13"/>
        <v>12.433333333333332</v>
      </c>
    </row>
    <row r="128" spans="1:35">
      <c r="A128" s="17" t="s">
        <v>4</v>
      </c>
      <c r="B128" s="17">
        <v>2025</v>
      </c>
      <c r="C128" s="134" t="s">
        <v>211</v>
      </c>
      <c r="D128" s="134" t="s">
        <v>213</v>
      </c>
      <c r="E128" s="37">
        <v>45839</v>
      </c>
      <c r="F128" s="17">
        <f>DAY(EOMONTH(Raw_Data[[#This Row],[Month Year]],0))</f>
        <v>31</v>
      </c>
      <c r="G128" s="66">
        <v>45869</v>
      </c>
      <c r="H128" s="25">
        <f>_xlfn.XLOOKUP(Raw_Data[[#This Row],[Month Year]],'Modelling New'!D:D,'Modelling New'!N:N)</f>
        <v>10.507</v>
      </c>
      <c r="I128" s="26">
        <v>0.2673611111111111</v>
      </c>
      <c r="J128" s="26">
        <v>0.77708333333333335</v>
      </c>
      <c r="K128" s="17">
        <v>3521</v>
      </c>
      <c r="L128" s="17">
        <v>3820</v>
      </c>
      <c r="M128" s="17">
        <v>3760</v>
      </c>
      <c r="N128" s="17">
        <v>3730</v>
      </c>
      <c r="O128" s="17">
        <v>3620</v>
      </c>
      <c r="P128" s="17">
        <v>3391</v>
      </c>
      <c r="Q128" s="17">
        <v>120939.7608</v>
      </c>
      <c r="R128" s="17">
        <v>16.108329999999999</v>
      </c>
      <c r="S128" s="17">
        <v>2670</v>
      </c>
      <c r="T128" s="17">
        <v>2690</v>
      </c>
      <c r="U128" s="17">
        <v>2670</v>
      </c>
      <c r="V128" s="17">
        <v>0</v>
      </c>
      <c r="W128" s="38">
        <v>24.861137308025501</v>
      </c>
      <c r="X128" s="25">
        <v>30.490538785439391</v>
      </c>
      <c r="Y128" s="25">
        <v>1.2598552584098459</v>
      </c>
      <c r="Z128" s="25">
        <v>3.4329144954681396</v>
      </c>
      <c r="AA128" s="17">
        <v>0</v>
      </c>
      <c r="AB128" s="17">
        <f>SUM(Raw_Data[[#This Row],[IC1_Inv1]:[IC2_Inv2]])</f>
        <v>21842</v>
      </c>
      <c r="AC128" s="17">
        <f>IF((Raw_Data[[#This Row],[66 kV ABT Main Meter Reading (Export)]]-Q127)*1000&lt;0,0,(Raw_Data[[#This Row],[66 kV ABT Main Meter Reading (Export)]]-Q127)*1000)</f>
        <v>21610.599999999977</v>
      </c>
      <c r="AD128" s="17">
        <f>IF((Raw_Data[[#This Row],[66 kV CRP MFM Reading (Import)]]-R127)*60000&lt;0,0,(Raw_Data[[#This Row],[66 kV CRP MFM Reading (Import)]]-R127)*60000)</f>
        <v>344.39999999996473</v>
      </c>
      <c r="AE128" s="17">
        <f>Raw_Data[[#This Row],[Export  (kWh)]]-Raw_Data[[#This Row],[Import (kWh)]]</f>
        <v>21266.200000000012</v>
      </c>
      <c r="AF128" s="17">
        <f>IFERROR(AVERAGE(Raw_Data[[#This Row],[POA1(Wh/m2)]:[POA2(Wh/m2)]]),"")</f>
        <v>2680</v>
      </c>
      <c r="AG128" s="17">
        <f>IFERROR(Raw_Data[[#This Row],[Avg. POA without Exclusion (W/m2)2]]-Raw_Data[[#This Row],[Avg. POA Lost (W/m2)]],"")</f>
        <v>2680</v>
      </c>
      <c r="AH128" s="17">
        <v>120746.6577</v>
      </c>
      <c r="AI128" s="28">
        <f t="shared" ref="AI128:AI130" si="14">(J128-I128)*24</f>
        <v>12.233333333333333</v>
      </c>
    </row>
    <row r="129" spans="1:36">
      <c r="A129" s="17" t="s">
        <v>4</v>
      </c>
      <c r="B129" s="17">
        <v>2025</v>
      </c>
      <c r="C129" s="134" t="s">
        <v>211</v>
      </c>
      <c r="D129" s="134" t="s">
        <v>213</v>
      </c>
      <c r="E129" s="37">
        <v>45870</v>
      </c>
      <c r="F129" s="17">
        <f>DAY(EOMONTH(Raw_Data[[#This Row],[Month Year]],0))</f>
        <v>31</v>
      </c>
      <c r="G129" s="66">
        <v>45870</v>
      </c>
      <c r="H129" s="25">
        <f>_xlfn.XLOOKUP(Raw_Data[[#This Row],[Month Year]],'Modelling New'!D:D,'Modelling New'!N:N)</f>
        <v>10.507</v>
      </c>
      <c r="I129" s="26">
        <v>0.26041666666666669</v>
      </c>
      <c r="J129" s="26">
        <v>0.77847222222222223</v>
      </c>
      <c r="K129" s="17">
        <v>4770</v>
      </c>
      <c r="L129" s="17">
        <v>5220</v>
      </c>
      <c r="M129" s="17">
        <v>5192</v>
      </c>
      <c r="N129" s="17">
        <v>4970</v>
      </c>
      <c r="O129" s="17">
        <v>4881</v>
      </c>
      <c r="P129" s="17">
        <v>4540</v>
      </c>
      <c r="Q129" s="17">
        <v>120969.0963</v>
      </c>
      <c r="R129" s="17">
        <v>16.112355999999998</v>
      </c>
      <c r="S129" s="17">
        <v>3690</v>
      </c>
      <c r="T129" s="17">
        <v>3850</v>
      </c>
      <c r="U129" s="17">
        <v>3840</v>
      </c>
      <c r="V129" s="17">
        <v>0</v>
      </c>
      <c r="W129" s="38">
        <v>25.453637110809307</v>
      </c>
      <c r="X129" s="25">
        <v>34.600852832853825</v>
      </c>
      <c r="Y129" s="25">
        <v>0.84527492234745183</v>
      </c>
      <c r="Z129" s="25">
        <v>3.9557331403096518</v>
      </c>
      <c r="AA129" s="17">
        <v>0</v>
      </c>
      <c r="AB129" s="17">
        <f>SUM(Raw_Data[[#This Row],[IC1_Inv1]:[IC2_Inv2]])</f>
        <v>29573</v>
      </c>
      <c r="AC129" s="17">
        <f>IF((Raw_Data[[#This Row],[66 kV ABT Main Meter Reading (Export)]]-Q128)*1000&lt;0,0,(Raw_Data[[#This Row],[66 kV ABT Main Meter Reading (Export)]]-Q128)*1000)</f>
        <v>29335.500000001048</v>
      </c>
      <c r="AD129" s="17">
        <f>IF((Raw_Data[[#This Row],[66 kV CRP MFM Reading (Import)]]-R128)*60000&lt;0,0,(Raw_Data[[#This Row],[66 kV CRP MFM Reading (Import)]]-R128)*60000)</f>
        <v>241.55999999997846</v>
      </c>
      <c r="AE129" s="17">
        <f>Raw_Data[[#This Row],[Export  (kWh)]]-Raw_Data[[#This Row],[Import (kWh)]]</f>
        <v>29093.940000001068</v>
      </c>
      <c r="AF129" s="17">
        <f>IFERROR(AVERAGE(Raw_Data[[#This Row],[POA1(Wh/m2)]:[POA2(Wh/m2)]]),"")</f>
        <v>3845</v>
      </c>
      <c r="AG129" s="17">
        <f>IFERROR(Raw_Data[[#This Row],[Avg. POA without Exclusion (W/m2)2]]-Raw_Data[[#This Row],[Avg. POA Lost (W/m2)]],"")</f>
        <v>3845</v>
      </c>
      <c r="AH129" s="17">
        <v>120775.95299999999</v>
      </c>
      <c r="AI129" s="28">
        <f t="shared" si="14"/>
        <v>12.433333333333332</v>
      </c>
    </row>
    <row r="130" spans="1:36">
      <c r="A130" s="17" t="s">
        <v>4</v>
      </c>
      <c r="B130" s="17">
        <v>2025</v>
      </c>
      <c r="C130" s="134" t="s">
        <v>211</v>
      </c>
      <c r="D130" s="134" t="s">
        <v>213</v>
      </c>
      <c r="E130" s="37">
        <v>45870</v>
      </c>
      <c r="F130" s="17">
        <f>DAY(EOMONTH(Raw_Data[[#This Row],[Month Year]],0))</f>
        <v>31</v>
      </c>
      <c r="G130" s="66">
        <v>45871</v>
      </c>
      <c r="H130" s="25">
        <f>_xlfn.XLOOKUP(Raw_Data[[#This Row],[Month Year]],'Modelling New'!D:D,'Modelling New'!N:N)</f>
        <v>10.507</v>
      </c>
      <c r="I130" s="26">
        <v>0.26180555555555557</v>
      </c>
      <c r="J130" s="26">
        <v>0.77013888888888893</v>
      </c>
      <c r="K130" s="17">
        <v>6680</v>
      </c>
      <c r="L130" s="17">
        <v>7542</v>
      </c>
      <c r="M130" s="17">
        <v>7453</v>
      </c>
      <c r="N130" s="17">
        <v>7250</v>
      </c>
      <c r="O130" s="17">
        <v>7220</v>
      </c>
      <c r="P130" s="17">
        <v>6744</v>
      </c>
      <c r="Q130" s="17">
        <v>121011.67080000001</v>
      </c>
      <c r="R130" s="17">
        <v>16.116364000000001</v>
      </c>
      <c r="S130" s="17">
        <v>5380</v>
      </c>
      <c r="T130" s="17">
        <v>5640</v>
      </c>
      <c r="U130" s="17">
        <v>5630</v>
      </c>
      <c r="V130" s="17">
        <v>0</v>
      </c>
      <c r="W130" s="38">
        <v>26.793818419648606</v>
      </c>
      <c r="X130" s="25">
        <v>39.362695685816455</v>
      </c>
      <c r="Y130" s="25">
        <v>0.67056341117189455</v>
      </c>
      <c r="Z130" s="25">
        <v>1.9223519762357075</v>
      </c>
      <c r="AA130" s="17">
        <v>1.1000000000000001</v>
      </c>
      <c r="AB130" s="17">
        <f>SUM(Raw_Data[[#This Row],[IC1_Inv1]:[IC2_Inv2]])</f>
        <v>42889</v>
      </c>
      <c r="AC130" s="17">
        <f>IF((Raw_Data[[#This Row],[66 kV ABT Main Meter Reading (Export)]]-Q129)*1000&lt;0,0,(Raw_Data[[#This Row],[66 kV ABT Main Meter Reading (Export)]]-Q129)*1000)</f>
        <v>42574.500000002445</v>
      </c>
      <c r="AD130" s="17">
        <f>IF((Raw_Data[[#This Row],[66 kV CRP MFM Reading (Import)]]-R129)*60000&lt;0,0,(Raw_Data[[#This Row],[66 kV CRP MFM Reading (Import)]]-R129)*60000)</f>
        <v>240.48000000014724</v>
      </c>
      <c r="AE130" s="17">
        <f>Raw_Data[[#This Row],[Export  (kWh)]]-Raw_Data[[#This Row],[Import (kWh)]]</f>
        <v>42334.020000002296</v>
      </c>
      <c r="AF130" s="17">
        <f>IFERROR(AVERAGE(Raw_Data[[#This Row],[POA1(Wh/m2)]:[POA2(Wh/m2)]]),"")</f>
        <v>5635</v>
      </c>
      <c r="AG130" s="17">
        <f>IFERROR(Raw_Data[[#This Row],[Avg. POA without Exclusion (W/m2)2]]-Raw_Data[[#This Row],[Avg. POA Lost (W/m2)]],"")</f>
        <v>5635</v>
      </c>
      <c r="AH130" s="17">
        <v>120818.4749</v>
      </c>
      <c r="AI130" s="28">
        <f t="shared" si="14"/>
        <v>12.2</v>
      </c>
    </row>
    <row r="131" spans="1:36">
      <c r="A131" s="17" t="s">
        <v>4</v>
      </c>
      <c r="B131" s="17">
        <v>2025</v>
      </c>
      <c r="C131" s="134" t="s">
        <v>211</v>
      </c>
      <c r="D131" s="134" t="s">
        <v>213</v>
      </c>
      <c r="E131" s="37">
        <v>45870</v>
      </c>
      <c r="F131" s="17">
        <f>DAY(EOMONTH(Raw_Data[[#This Row],[Month Year]],0))</f>
        <v>31</v>
      </c>
      <c r="G131" s="66">
        <v>45872</v>
      </c>
      <c r="H131" s="25">
        <f>_xlfn.XLOOKUP(Raw_Data[[#This Row],[Month Year]],'Modelling New'!D:D,'Modelling New'!N:N)</f>
        <v>10.507</v>
      </c>
      <c r="I131" s="26">
        <v>0.26597222222222222</v>
      </c>
      <c r="J131" s="26">
        <v>0.77013888888888893</v>
      </c>
      <c r="K131" s="17">
        <v>5860</v>
      </c>
      <c r="L131" s="17">
        <v>5844</v>
      </c>
      <c r="M131" s="17">
        <v>6142</v>
      </c>
      <c r="N131" s="17">
        <v>6020</v>
      </c>
      <c r="O131" s="17">
        <v>6090</v>
      </c>
      <c r="P131" s="17">
        <v>5690</v>
      </c>
      <c r="Q131" s="17">
        <v>121047.0943</v>
      </c>
      <c r="R131" s="17">
        <v>16.122503999999999</v>
      </c>
      <c r="S131" s="17">
        <v>4520</v>
      </c>
      <c r="T131" s="17">
        <v>4510</v>
      </c>
      <c r="U131" s="17">
        <v>4510</v>
      </c>
      <c r="V131" s="17">
        <v>0</v>
      </c>
      <c r="W131" s="38">
        <v>25.688179442018519</v>
      </c>
      <c r="X131" s="25">
        <v>37.208408508162186</v>
      </c>
      <c r="Y131" s="25">
        <v>0.65506575528217614</v>
      </c>
      <c r="Z131" s="25">
        <v>0.69990665713946021</v>
      </c>
      <c r="AA131" s="17">
        <v>8.1</v>
      </c>
      <c r="AB131" s="17">
        <f>SUM(Raw_Data[[#This Row],[IC1_Inv1]:[IC2_Inv2]])</f>
        <v>35646</v>
      </c>
      <c r="AC131" s="17">
        <f>IF((Raw_Data[[#This Row],[66 kV ABT Main Meter Reading (Export)]]-Q130)*1000&lt;0,0,(Raw_Data[[#This Row],[66 kV ABT Main Meter Reading (Export)]]-Q130)*1000)</f>
        <v>35423.499999989872</v>
      </c>
      <c r="AD131" s="17">
        <f>IF((Raw_Data[[#This Row],[66 kV CRP MFM Reading (Import)]]-R130)*60000&lt;0,0,(Raw_Data[[#This Row],[66 kV CRP MFM Reading (Import)]]-R130)*60000)</f>
        <v>368.3999999999088</v>
      </c>
      <c r="AE131" s="17">
        <f>Raw_Data[[#This Row],[Export  (kWh)]]-Raw_Data[[#This Row],[Import (kWh)]]</f>
        <v>35055.099999989965</v>
      </c>
      <c r="AF131" s="17">
        <f>IFERROR(AVERAGE(Raw_Data[[#This Row],[POA1(Wh/m2)]:[POA2(Wh/m2)]]),"")</f>
        <v>4510</v>
      </c>
      <c r="AG131" s="17">
        <f>IFERROR(Raw_Data[[#This Row],[Avg. POA without Exclusion (W/m2)2]]-Raw_Data[[#This Row],[Avg. POA Lost (W/m2)]],"")</f>
        <v>4510</v>
      </c>
      <c r="AH131" s="17">
        <v>120853.85400000001</v>
      </c>
      <c r="AI131" s="28">
        <f>(J131-I131)*24</f>
        <v>12.1</v>
      </c>
    </row>
    <row r="132" spans="1:36">
      <c r="A132" s="17" t="s">
        <v>4</v>
      </c>
      <c r="B132" s="17">
        <v>2025</v>
      </c>
      <c r="C132" s="134" t="s">
        <v>211</v>
      </c>
      <c r="D132" s="134" t="s">
        <v>213</v>
      </c>
      <c r="E132" s="37">
        <v>45870</v>
      </c>
      <c r="F132" s="355">
        <f>DAY(EOMONTH(Raw_Data[[#This Row],[Month Year]],0))</f>
        <v>31</v>
      </c>
      <c r="G132" s="66">
        <v>45873</v>
      </c>
      <c r="H132" s="25">
        <f>_xlfn.XLOOKUP(Raw_Data[[#This Row],[Month Year]],'Modelling New'!D:D,'Modelling New'!N:N)</f>
        <v>10.507</v>
      </c>
      <c r="I132" s="26">
        <v>0.27013888888888887</v>
      </c>
      <c r="J132" s="26">
        <v>0.7680555555555556</v>
      </c>
      <c r="K132" s="17">
        <v>7000</v>
      </c>
      <c r="L132" s="17">
        <v>7342</v>
      </c>
      <c r="M132" s="17">
        <v>7394</v>
      </c>
      <c r="N132" s="17">
        <v>7310</v>
      </c>
      <c r="O132" s="17">
        <v>7113</v>
      </c>
      <c r="P132" s="17">
        <v>6774</v>
      </c>
      <c r="Q132" s="17">
        <v>121089.7034</v>
      </c>
      <c r="R132" s="17">
        <v>16.127915000000002</v>
      </c>
      <c r="S132" s="17">
        <v>5500</v>
      </c>
      <c r="T132" s="17">
        <v>5650</v>
      </c>
      <c r="U132" s="17">
        <v>5650</v>
      </c>
      <c r="V132" s="17">
        <v>0</v>
      </c>
      <c r="W132" s="38">
        <v>26.703522956426657</v>
      </c>
      <c r="X132" s="25">
        <v>41.206289847217448</v>
      </c>
      <c r="Y132" s="25">
        <v>0.67251322340239494</v>
      </c>
      <c r="Z132" s="25">
        <v>0.74122503399848938</v>
      </c>
      <c r="AA132" s="17">
        <v>2.5</v>
      </c>
      <c r="AB132" s="355">
        <f>SUM(Raw_Data[[#This Row],[IC1_Inv1]:[IC2_Inv2]])</f>
        <v>42933</v>
      </c>
      <c r="AC132" s="355">
        <f>IF((Raw_Data[[#This Row],[66 kV ABT Main Meter Reading (Export)]]-Q131)*1000&lt;0,0,(Raw_Data[[#This Row],[66 kV ABT Main Meter Reading (Export)]]-Q131)*1000)</f>
        <v>42609.10000000149</v>
      </c>
      <c r="AD132" s="17">
        <f>IF((Raw_Data[[#This Row],[66 kV CRP MFM Reading (Import)]]-R131)*60000&lt;0,0,(Raw_Data[[#This Row],[66 kV CRP MFM Reading (Import)]]-R131)*60000)</f>
        <v>324.66000000013651</v>
      </c>
      <c r="AE132" s="355">
        <f>Raw_Data[[#This Row],[Export  (kWh)]]-Raw_Data[[#This Row],[Import (kWh)]]</f>
        <v>42284.440000001356</v>
      </c>
      <c r="AF132" s="355">
        <f>IFERROR(AVERAGE(Raw_Data[[#This Row],[POA1(Wh/m2)]:[POA2(Wh/m2)]]),"")</f>
        <v>5650</v>
      </c>
      <c r="AG132" s="355">
        <f>IFERROR(Raw_Data[[#This Row],[Avg. POA without Exclusion (W/m2)2]]-Raw_Data[[#This Row],[Avg. POA Lost (W/m2)]],"")</f>
        <v>5650</v>
      </c>
      <c r="AH132" s="355">
        <v>120896.4109</v>
      </c>
      <c r="AI132" s="28">
        <f>(J132-I132)*24</f>
        <v>11.950000000000001</v>
      </c>
      <c r="AJ132" s="355"/>
    </row>
  </sheetData>
  <phoneticPr fontId="7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3210-001E-49D1-8984-F06310B4FA45}">
  <sheetPr codeName="Sheet9"/>
  <dimension ref="A1:J13"/>
  <sheetViews>
    <sheetView workbookViewId="0">
      <selection activeCell="A6" sqref="A6:A13"/>
    </sheetView>
  </sheetViews>
  <sheetFormatPr defaultColWidth="8.7109375" defaultRowHeight="15"/>
  <cols>
    <col min="1" max="2" width="10.85546875" style="263" customWidth="1"/>
    <col min="3" max="3" width="11.85546875" style="263" customWidth="1"/>
    <col min="4" max="4" width="12.140625" style="263" customWidth="1"/>
    <col min="5" max="5" width="19.140625" style="263" customWidth="1"/>
    <col min="6" max="6" width="11.140625" style="263" customWidth="1"/>
    <col min="7" max="7" width="21.42578125" style="263" customWidth="1"/>
    <col min="8" max="8" width="9.85546875" style="263" customWidth="1"/>
    <col min="9" max="9" width="27.140625" style="263" customWidth="1"/>
    <col min="10" max="16384" width="8.7109375" style="263"/>
  </cols>
  <sheetData>
    <row r="1" spans="1:10" ht="23.45" customHeight="1">
      <c r="A1" s="261" t="s">
        <v>139</v>
      </c>
      <c r="B1" s="262" t="s">
        <v>1700</v>
      </c>
      <c r="C1" s="262" t="s">
        <v>1701</v>
      </c>
      <c r="D1" s="262" t="s">
        <v>203</v>
      </c>
      <c r="E1" s="262" t="s">
        <v>1702</v>
      </c>
      <c r="F1" s="262" t="s">
        <v>1703</v>
      </c>
      <c r="G1" s="262" t="s">
        <v>1704</v>
      </c>
      <c r="H1" s="262" t="s">
        <v>38</v>
      </c>
      <c r="I1" s="262" t="s">
        <v>1705</v>
      </c>
      <c r="J1" s="262" t="s">
        <v>1706</v>
      </c>
    </row>
    <row r="2" spans="1:10">
      <c r="A2" s="264">
        <v>45748</v>
      </c>
      <c r="B2" s="265"/>
      <c r="C2" s="265"/>
      <c r="D2" s="265"/>
      <c r="E2" s="265">
        <f>JMR[[#This Row],[Export (kWh)]]-(115%*JMR[[#This Row],[Import (kWh)]])</f>
        <v>0</v>
      </c>
      <c r="F2" s="265"/>
      <c r="G2" s="265">
        <f>SUMIF('Daily KPI'!$D:$D,$A2,'Daily KPI'!$Y:$Y)-SUMIF('Daily KPI'!$D:$D,$A2,'Daily KPI'!$Z:$Z)</f>
        <v>1460220.5199999921</v>
      </c>
      <c r="H2" s="265">
        <f>IF(C2="",0,JMR[[#This Row],[Net Export (JMR) (kWh)]]-JMR[[#This Row],[Net Export (Manual) (kWh)]])</f>
        <v>0</v>
      </c>
      <c r="I2" s="266">
        <f>SUMIF('Daily KPI'!$D:$D,$A2,'Daily KPI'!$AA:$AA)</f>
        <v>1460220.5199999923</v>
      </c>
      <c r="J2" s="267">
        <f>IF(C2="",0,(JMR[[#This Row],[Difference]]/JMR[[#This Row],[Net Export (Manual) (kWh)]]))</f>
        <v>0</v>
      </c>
    </row>
    <row r="3" spans="1:10">
      <c r="A3" s="264">
        <v>45778</v>
      </c>
      <c r="B3" s="265"/>
      <c r="C3" s="265"/>
      <c r="D3" s="265"/>
      <c r="E3" s="265">
        <f>JMR[[#This Row],[Export (kWh)]]-(115%*JMR[[#This Row],[Import (kWh)]])</f>
        <v>0</v>
      </c>
      <c r="F3" s="265"/>
      <c r="G3" s="265">
        <f>SUMIF('Daily KPI'!$D:$D,$A3,'Daily KPI'!$Y:$Y)-SUMIF('Daily KPI'!$D:$D,$A3,'Daily KPI'!$Z:$Z)</f>
        <v>1312183.1800000048</v>
      </c>
      <c r="H3" s="265">
        <f>IF(C3="",0,JMR[[#This Row],[Net Export (JMR) (kWh)]]-JMR[[#This Row],[Net Export (Manual) (kWh)]])</f>
        <v>0</v>
      </c>
      <c r="I3" s="266">
        <f>SUMIF('Daily KPI'!$D:$D,$A3,'Daily KPI'!$AA:$AA)</f>
        <v>1312183.1800000046</v>
      </c>
      <c r="J3" s="267">
        <f>IF(C3="",0,(JMR[[#This Row],[Difference]]/JMR[[#This Row],[Net Export (Manual) (kWh)]]))</f>
        <v>0</v>
      </c>
    </row>
    <row r="4" spans="1:10">
      <c r="A4" s="268">
        <v>45809</v>
      </c>
      <c r="B4" s="269"/>
      <c r="C4" s="269"/>
      <c r="D4" s="269"/>
      <c r="E4" s="269">
        <f>JMR[[#This Row],[Export (kWh)]]-(115%*JMR[[#This Row],[Import (kWh)]])</f>
        <v>0</v>
      </c>
      <c r="F4" s="269"/>
      <c r="G4" s="269">
        <f>SUMIF('Daily KPI'!$D:$D,$A4,'Daily KPI'!$Y:$Y)-SUMIF('Daily KPI'!$D:$D,$A4,'Daily KPI'!$Z:$Z)</f>
        <v>1169017.2799999986</v>
      </c>
      <c r="H4" s="269">
        <f>IF(C4="",0,JMR[[#This Row],[Net Export (JMR) (kWh)]]-JMR[[#This Row],[Net Export (Manual) (kWh)]])</f>
        <v>0</v>
      </c>
      <c r="I4" s="270">
        <f>SUMIF('Daily KPI'!$D:$D,$A4,'Daily KPI'!$AA:$AA)</f>
        <v>1169017.2799999984</v>
      </c>
      <c r="J4" s="271">
        <f>IF(C4="",0,(JMR[[#This Row],[Difference]]/JMR[[#This Row],[Net Export (Manual) (kWh)]]))</f>
        <v>0</v>
      </c>
    </row>
    <row r="5" spans="1:10">
      <c r="A5" s="268">
        <v>45839</v>
      </c>
      <c r="E5" s="263">
        <f>JMR[[#This Row],[Export (kWh)]]-(115%*JMR[[#This Row],[Import (kWh)]])</f>
        <v>0</v>
      </c>
      <c r="G5" s="263">
        <f>SUMIF('Daily KPI'!$D:$D,$A5,'Daily KPI'!$Y:$Y)-SUMIF('Daily KPI'!$D:$D,$A5,'Daily KPI'!$Z:$Z)</f>
        <v>920100.58000000741</v>
      </c>
      <c r="H5" s="263">
        <f>IF(C5="",0,JMR[[#This Row],[Net Export (JMR) (kWh)]]-JMR[[#This Row],[Net Export (Manual) (kWh)]])</f>
        <v>0</v>
      </c>
      <c r="I5" s="272">
        <f>SUMIF('Daily KPI'!$D:$D,$A5,'Daily KPI'!$AA:$AA)</f>
        <v>920100.58000000753</v>
      </c>
      <c r="J5" s="273">
        <f>IF(C5="",0,(JMR[[#This Row],[Difference]]/JMR[[#This Row],[Net Export (Manual) (kWh)]]))</f>
        <v>0</v>
      </c>
    </row>
    <row r="6" spans="1:10">
      <c r="A6" s="268">
        <v>45870</v>
      </c>
      <c r="E6" s="263">
        <f>JMR[[#This Row],[Export (kWh)]]-(115%*JMR[[#This Row],[Import (kWh)]])</f>
        <v>0</v>
      </c>
      <c r="G6" s="263">
        <f>SUMIF('Daily KPI'!$D:$D,$A6,'Daily KPI'!$Y:$Y)-SUMIF('Daily KPI'!$D:$D,$A6,'Daily KPI'!$Z:$Z)</f>
        <v>148767.49999999467</v>
      </c>
      <c r="H6" s="263">
        <f>IF(C6="",0,JMR[[#This Row],[Net Export (JMR) (kWh)]]-JMR[[#This Row],[Net Export (Manual) (kWh)]])</f>
        <v>0</v>
      </c>
      <c r="I6" s="272">
        <f>SUMIF('Daily KPI'!$D:$D,$A6,'Daily KPI'!$AA:$AA)</f>
        <v>148767.4999999947</v>
      </c>
      <c r="J6" s="273">
        <f>IF(C6="",0,(JMR[[#This Row],[Difference]]/JMR[[#This Row],[Net Export (Manual) (kWh)]]))</f>
        <v>0</v>
      </c>
    </row>
    <row r="7" spans="1:10">
      <c r="A7" s="268">
        <v>45901</v>
      </c>
      <c r="B7" s="351"/>
      <c r="C7" s="351"/>
      <c r="D7" s="351"/>
      <c r="E7" s="352">
        <f>JMR[[#This Row],[Export (kWh)]]-(115%*JMR[[#This Row],[Import (kWh)]])</f>
        <v>0</v>
      </c>
      <c r="F7" s="351"/>
      <c r="G7" s="352">
        <f>SUMIF('Daily KPI'!$D:$D,$A7,'Daily KPI'!$Y:$Y)-SUMIF('Daily KPI'!$D:$D,$A7,'Daily KPI'!$Z:$Z)</f>
        <v>0</v>
      </c>
      <c r="H7" s="352">
        <f>IF(C7="",0,JMR[[#This Row],[Net Export (JMR) (kWh)]]-JMR[[#This Row],[Net Export (Manual) (kWh)]])</f>
        <v>0</v>
      </c>
      <c r="I7" s="353">
        <f>SUMIF('Daily KPI'!$D:$D,$A7,'Daily KPI'!$AA:$AA)</f>
        <v>0</v>
      </c>
      <c r="J7" s="354">
        <f>IF(C7="",0,(JMR[[#This Row],[Difference]]/JMR[[#This Row],[Net Export (Manual) (kWh)]]))</f>
        <v>0</v>
      </c>
    </row>
    <row r="8" spans="1:10">
      <c r="A8" s="268">
        <v>45931</v>
      </c>
      <c r="B8" s="351"/>
      <c r="C8" s="351"/>
      <c r="D8" s="351"/>
      <c r="E8" s="352">
        <f>JMR[[#This Row],[Export (kWh)]]-(115%*JMR[[#This Row],[Import (kWh)]])</f>
        <v>0</v>
      </c>
      <c r="F8" s="351"/>
      <c r="G8" s="352">
        <f>SUMIF('Daily KPI'!$D:$D,$A8,'Daily KPI'!$Y:$Y)-SUMIF('Daily KPI'!$D:$D,$A8,'Daily KPI'!$Z:$Z)</f>
        <v>0</v>
      </c>
      <c r="H8" s="352">
        <f>IF(C8="",0,JMR[[#This Row],[Net Export (JMR) (kWh)]]-JMR[[#This Row],[Net Export (Manual) (kWh)]])</f>
        <v>0</v>
      </c>
      <c r="I8" s="353">
        <f>SUMIF('Daily KPI'!$D:$D,$A8,'Daily KPI'!$AA:$AA)</f>
        <v>0</v>
      </c>
      <c r="J8" s="354">
        <f>IF(C8="",0,(JMR[[#This Row],[Difference]]/JMR[[#This Row],[Net Export (Manual) (kWh)]]))</f>
        <v>0</v>
      </c>
    </row>
    <row r="9" spans="1:10">
      <c r="A9" s="268">
        <v>45962</v>
      </c>
      <c r="B9" s="351"/>
      <c r="C9" s="351"/>
      <c r="D9" s="351"/>
      <c r="E9" s="352">
        <f>JMR[[#This Row],[Export (kWh)]]-(115%*JMR[[#This Row],[Import (kWh)]])</f>
        <v>0</v>
      </c>
      <c r="F9" s="351"/>
      <c r="G9" s="352">
        <f>SUMIF('Daily KPI'!$D:$D,$A9,'Daily KPI'!$Y:$Y)-SUMIF('Daily KPI'!$D:$D,$A9,'Daily KPI'!$Z:$Z)</f>
        <v>0</v>
      </c>
      <c r="H9" s="352">
        <f>IF(C9="",0,JMR[[#This Row],[Net Export (JMR) (kWh)]]-JMR[[#This Row],[Net Export (Manual) (kWh)]])</f>
        <v>0</v>
      </c>
      <c r="I9" s="353">
        <f>SUMIF('Daily KPI'!$D:$D,$A9,'Daily KPI'!$AA:$AA)</f>
        <v>0</v>
      </c>
      <c r="J9" s="354">
        <f>IF(C9="",0,(JMR[[#This Row],[Difference]]/JMR[[#This Row],[Net Export (Manual) (kWh)]]))</f>
        <v>0</v>
      </c>
    </row>
    <row r="10" spans="1:10">
      <c r="A10" s="268">
        <v>45992</v>
      </c>
      <c r="B10" s="351"/>
      <c r="C10" s="351"/>
      <c r="D10" s="351"/>
      <c r="E10" s="352">
        <f>JMR[[#This Row],[Export (kWh)]]-(115%*JMR[[#This Row],[Import (kWh)]])</f>
        <v>0</v>
      </c>
      <c r="F10" s="351"/>
      <c r="G10" s="352">
        <f>SUMIF('Daily KPI'!$D:$D,$A10,'Daily KPI'!$Y:$Y)-SUMIF('Daily KPI'!$D:$D,$A10,'Daily KPI'!$Z:$Z)</f>
        <v>0</v>
      </c>
      <c r="H10" s="352">
        <f>IF(C10="",0,JMR[[#This Row],[Net Export (JMR) (kWh)]]-JMR[[#This Row],[Net Export (Manual) (kWh)]])</f>
        <v>0</v>
      </c>
      <c r="I10" s="353">
        <f>SUMIF('Daily KPI'!$D:$D,$A10,'Daily KPI'!$AA:$AA)</f>
        <v>0</v>
      </c>
      <c r="J10" s="354">
        <f>IF(C10="",0,(JMR[[#This Row],[Difference]]/JMR[[#This Row],[Net Export (Manual) (kWh)]]))</f>
        <v>0</v>
      </c>
    </row>
    <row r="11" spans="1:10">
      <c r="A11" s="268">
        <v>46023</v>
      </c>
      <c r="B11" s="351"/>
      <c r="C11" s="351"/>
      <c r="D11" s="351"/>
      <c r="E11" s="352">
        <f>JMR[[#This Row],[Export (kWh)]]-(115%*JMR[[#This Row],[Import (kWh)]])</f>
        <v>0</v>
      </c>
      <c r="F11" s="351"/>
      <c r="G11" s="352">
        <f>SUMIF('Daily KPI'!$D:$D,$A11,'Daily KPI'!$Y:$Y)-SUMIF('Daily KPI'!$D:$D,$A11,'Daily KPI'!$Z:$Z)</f>
        <v>0</v>
      </c>
      <c r="H11" s="352">
        <f>IF(C11="",0,JMR[[#This Row],[Net Export (JMR) (kWh)]]-JMR[[#This Row],[Net Export (Manual) (kWh)]])</f>
        <v>0</v>
      </c>
      <c r="I11" s="353">
        <f>SUMIF('Daily KPI'!$D:$D,$A11,'Daily KPI'!$AA:$AA)</f>
        <v>0</v>
      </c>
      <c r="J11" s="354">
        <f>IF(C11="",0,(JMR[[#This Row],[Difference]]/JMR[[#This Row],[Net Export (Manual) (kWh)]]))</f>
        <v>0</v>
      </c>
    </row>
    <row r="12" spans="1:10">
      <c r="A12" s="268">
        <v>46054</v>
      </c>
      <c r="B12" s="351"/>
      <c r="C12" s="351"/>
      <c r="D12" s="351"/>
      <c r="E12" s="352">
        <f>JMR[[#This Row],[Export (kWh)]]-(115%*JMR[[#This Row],[Import (kWh)]])</f>
        <v>0</v>
      </c>
      <c r="F12" s="351"/>
      <c r="G12" s="352">
        <f>SUMIF('Daily KPI'!$D:$D,$A12,'Daily KPI'!$Y:$Y)-SUMIF('Daily KPI'!$D:$D,$A12,'Daily KPI'!$Z:$Z)</f>
        <v>0</v>
      </c>
      <c r="H12" s="352">
        <f>IF(C12="",0,JMR[[#This Row],[Net Export (JMR) (kWh)]]-JMR[[#This Row],[Net Export (Manual) (kWh)]])</f>
        <v>0</v>
      </c>
      <c r="I12" s="353">
        <f>SUMIF('Daily KPI'!$D:$D,$A12,'Daily KPI'!$AA:$AA)</f>
        <v>0</v>
      </c>
      <c r="J12" s="354">
        <f>IF(C12="",0,(JMR[[#This Row],[Difference]]/JMR[[#This Row],[Net Export (Manual) (kWh)]]))</f>
        <v>0</v>
      </c>
    </row>
    <row r="13" spans="1:10">
      <c r="A13" s="268">
        <v>46082</v>
      </c>
      <c r="B13" s="351"/>
      <c r="C13" s="351"/>
      <c r="D13" s="351"/>
      <c r="E13" s="352">
        <f>JMR[[#This Row],[Export (kWh)]]-(115%*JMR[[#This Row],[Import (kWh)]])</f>
        <v>0</v>
      </c>
      <c r="F13" s="351"/>
      <c r="G13" s="352">
        <f>SUMIF('Daily KPI'!$D:$D,$A13,'Daily KPI'!$Y:$Y)-SUMIF('Daily KPI'!$D:$D,$A13,'Daily KPI'!$Z:$Z)</f>
        <v>0</v>
      </c>
      <c r="H13" s="352">
        <f>IF(C13="",0,JMR[[#This Row],[Net Export (JMR) (kWh)]]-JMR[[#This Row],[Net Export (Manual) (kWh)]])</f>
        <v>0</v>
      </c>
      <c r="I13" s="353">
        <f>SUMIF('Daily KPI'!$D:$D,$A13,'Daily KPI'!$AA:$AA)</f>
        <v>0</v>
      </c>
      <c r="J13" s="354">
        <f>IF(C13="",0,(JMR[[#This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sheetPr codeName="Sheet11"/>
  <dimension ref="A1:AX63"/>
  <sheetViews>
    <sheetView workbookViewId="0">
      <pane xSplit="4" ySplit="1" topLeftCell="E29" activePane="bottomRight" state="frozen"/>
      <selection pane="topRight" activeCell="C1" sqref="C1"/>
      <selection pane="bottomLeft" activeCell="C1" sqref="C1"/>
      <selection pane="bottomRight" activeCell="M38" sqref="M38:M49"/>
    </sheetView>
  </sheetViews>
  <sheetFormatPr defaultColWidth="8.5703125" defaultRowHeight="15"/>
  <cols>
    <col min="1" max="1" width="8.5703125" style="17"/>
    <col min="2" max="2" width="13.85546875" style="17" customWidth="1"/>
    <col min="3" max="3" width="15.85546875" style="17" customWidth="1"/>
    <col min="4" max="6" width="8.5703125" style="17"/>
    <col min="7" max="7" width="20.42578125" style="17" customWidth="1"/>
    <col min="8" max="8" width="8.5703125" style="17"/>
    <col min="9" max="9" width="9.42578125" style="17" bestFit="1" customWidth="1"/>
    <col min="10" max="13" width="8.5703125" style="17"/>
    <col min="14" max="14" width="14.5703125" style="17" customWidth="1"/>
    <col min="15" max="15" width="9.85546875" style="17" bestFit="1" customWidth="1"/>
    <col min="16" max="16" width="11" style="17" customWidth="1"/>
    <col min="17" max="17" width="15.42578125" style="17" customWidth="1"/>
    <col min="18" max="19" width="10.85546875" style="17" customWidth="1"/>
    <col min="20" max="20" width="13" style="17" customWidth="1"/>
    <col min="21" max="25" width="12.85546875" style="17" customWidth="1"/>
    <col min="26" max="27" width="14.42578125" style="17" customWidth="1"/>
    <col min="28" max="28" width="15.42578125" style="17" customWidth="1"/>
    <col min="29" max="37" width="9.85546875" style="17" customWidth="1"/>
    <col min="38" max="38" width="8.42578125" style="17" customWidth="1"/>
    <col min="39" max="39" width="7.85546875" style="17" customWidth="1"/>
    <col min="40" max="40" width="11.5703125" style="17" customWidth="1"/>
    <col min="41" max="41" width="27.42578125" style="17" bestFit="1" customWidth="1"/>
    <col min="42" max="16384" width="8.5703125" style="17"/>
  </cols>
  <sheetData>
    <row r="1" spans="1:50" ht="45">
      <c r="A1" s="149" t="s">
        <v>7</v>
      </c>
      <c r="B1" s="149" t="s">
        <v>81</v>
      </c>
      <c r="C1" s="149" t="s">
        <v>82</v>
      </c>
      <c r="D1" s="149" t="s">
        <v>83</v>
      </c>
      <c r="E1" s="149" t="s">
        <v>84</v>
      </c>
      <c r="F1" s="149" t="s">
        <v>85</v>
      </c>
      <c r="G1" s="149" t="s">
        <v>86</v>
      </c>
      <c r="H1" s="149" t="s">
        <v>87</v>
      </c>
      <c r="I1" s="149" t="s">
        <v>61</v>
      </c>
      <c r="J1" s="149" t="s">
        <v>88</v>
      </c>
      <c r="K1" s="149" t="s">
        <v>89</v>
      </c>
      <c r="L1" s="149" t="s">
        <v>90</v>
      </c>
      <c r="M1" s="149" t="s">
        <v>91</v>
      </c>
      <c r="N1" s="149" t="s">
        <v>92</v>
      </c>
      <c r="O1" s="149" t="s">
        <v>60</v>
      </c>
      <c r="P1" s="149" t="s">
        <v>93</v>
      </c>
      <c r="Q1" s="149" t="s">
        <v>94</v>
      </c>
      <c r="R1" s="149" t="s">
        <v>95</v>
      </c>
      <c r="S1" s="149" t="s">
        <v>96</v>
      </c>
      <c r="T1" s="149" t="s">
        <v>97</v>
      </c>
      <c r="U1" s="149" t="s">
        <v>98</v>
      </c>
      <c r="V1" s="149" t="s">
        <v>99</v>
      </c>
      <c r="W1" s="149" t="s">
        <v>100</v>
      </c>
      <c r="X1" s="149" t="s">
        <v>101</v>
      </c>
      <c r="Y1" s="149" t="s">
        <v>102</v>
      </c>
      <c r="Z1" s="149" t="s">
        <v>103</v>
      </c>
      <c r="AA1" s="149" t="s">
        <v>104</v>
      </c>
      <c r="AB1" s="149" t="s">
        <v>105</v>
      </c>
      <c r="AC1" s="149" t="s">
        <v>106</v>
      </c>
      <c r="AD1" s="149" t="s">
        <v>107</v>
      </c>
      <c r="AE1" s="149" t="s">
        <v>108</v>
      </c>
      <c r="AF1" s="149" t="s">
        <v>109</v>
      </c>
      <c r="AG1" s="149" t="s">
        <v>110</v>
      </c>
      <c r="AH1" s="149" t="s">
        <v>111</v>
      </c>
      <c r="AI1" s="149" t="s">
        <v>112</v>
      </c>
      <c r="AJ1" s="149" t="s">
        <v>113</v>
      </c>
      <c r="AK1" s="149" t="s">
        <v>114</v>
      </c>
      <c r="AL1" s="149" t="s">
        <v>115</v>
      </c>
      <c r="AM1" s="149" t="s">
        <v>116</v>
      </c>
      <c r="AN1" s="149" t="s">
        <v>1708</v>
      </c>
      <c r="AO1" s="17" t="s">
        <v>117</v>
      </c>
      <c r="AP1" s="25">
        <v>10.507</v>
      </c>
    </row>
    <row r="2" spans="1:50">
      <c r="A2" s="150">
        <v>1</v>
      </c>
      <c r="B2" s="150" t="s">
        <v>118</v>
      </c>
      <c r="C2" s="150">
        <v>4</v>
      </c>
      <c r="D2" s="151">
        <v>44652</v>
      </c>
      <c r="E2" s="152">
        <f>YEAR(D2)</f>
        <v>2022</v>
      </c>
      <c r="F2" s="152" t="s">
        <v>119</v>
      </c>
      <c r="G2" s="150">
        <f>DAY(EOMONTH(D2,0))</f>
        <v>30</v>
      </c>
      <c r="H2" s="153">
        <v>192.739203312</v>
      </c>
      <c r="I2" s="153">
        <v>227.68820475999999</v>
      </c>
      <c r="J2" s="150"/>
      <c r="K2" s="153">
        <v>27.499986111111099</v>
      </c>
      <c r="L2" s="150"/>
      <c r="M2" s="154">
        <v>1670.3636166773006</v>
      </c>
      <c r="N2" s="153">
        <v>10.507</v>
      </c>
      <c r="O2" s="155">
        <f t="shared" ref="O2:O39" si="0">M2/I2/N2</f>
        <v>0.69821915104582366</v>
      </c>
      <c r="P2" s="156">
        <f>I2/G2</f>
        <v>7.5896068253333331</v>
      </c>
      <c r="Q2" s="150">
        <f>COUNTIFS('Daily KPI'!D:D,D2,'Daily KPI'!K:K,"&gt;0")</f>
        <v>0</v>
      </c>
      <c r="R2" s="153">
        <f t="shared" ref="R2:R39" si="1">I2/G2*Q2</f>
        <v>0</v>
      </c>
      <c r="S2" s="154">
        <f>SUMIF($F$2:F2,F2,$R$2:R2)</f>
        <v>0</v>
      </c>
      <c r="T2" s="156">
        <f t="shared" ref="T2:T39" si="2">M2/G2</f>
        <v>55.678787222576688</v>
      </c>
      <c r="U2" s="154">
        <f t="shared" ref="U2:U39" si="3">M2/G2*Q2</f>
        <v>0</v>
      </c>
      <c r="V2" s="154">
        <f>SUMIF($F$2:F2,F2,$U$2:U2)</f>
        <v>0</v>
      </c>
      <c r="W2" s="155">
        <f t="shared" ref="W2:W39" si="4">T2/(24*N2)</f>
        <v>0.22080036809815951</v>
      </c>
      <c r="X2" s="155" t="str">
        <f t="shared" ref="X2:X49" si="5">IFERROR(U2/(24*N2*Q2),"")</f>
        <v/>
      </c>
      <c r="Y2" s="155" t="str">
        <f t="shared" ref="Y2:Y49" si="6">IFERROR(V2/(24*N2*SUMIFS($Q:$Q,$F:$F,$F2,$D:$D,"&lt;="&amp;D2)),"")</f>
        <v/>
      </c>
      <c r="Z2" s="156" t="str">
        <f>IFERROR(AVERAGEIF('Daily KPI'!D:D,Table14[[#This Row],[Month]],'Daily KPI'!AB:AB),"")</f>
        <v/>
      </c>
      <c r="AA2" s="153" t="str">
        <f>IFERROR(AVERAGEIF($F$2:F2,F2,$Z$2:Z2),"")</f>
        <v/>
      </c>
      <c r="AB2" s="154"/>
      <c r="AC2" s="150"/>
      <c r="AD2" s="155">
        <v>0.995</v>
      </c>
      <c r="AE2" s="155">
        <v>0.997</v>
      </c>
      <c r="AF2" s="155">
        <v>0.999</v>
      </c>
      <c r="AG2" s="155"/>
      <c r="AH2" s="155"/>
      <c r="AI2" s="155"/>
      <c r="AJ2" s="155"/>
      <c r="AK2" s="155"/>
      <c r="AL2" s="171"/>
      <c r="AM2" s="171"/>
      <c r="AN2" s="150">
        <v>10</v>
      </c>
      <c r="AW2" s="17">
        <v>1670363.6166773005</v>
      </c>
      <c r="AX2" s="17">
        <f>AW2/1000</f>
        <v>1670.3636166773006</v>
      </c>
    </row>
    <row r="3" spans="1:50">
      <c r="A3" s="157">
        <f>A2+1</f>
        <v>2</v>
      </c>
      <c r="B3" s="157" t="s">
        <v>120</v>
      </c>
      <c r="C3" s="157">
        <v>5</v>
      </c>
      <c r="D3" s="158">
        <v>44682</v>
      </c>
      <c r="E3" s="159">
        <f>YEAR(D3)</f>
        <v>2022</v>
      </c>
      <c r="F3" s="159" t="s">
        <v>119</v>
      </c>
      <c r="G3" s="157">
        <f>DAY(EOMONTH(D3,0))</f>
        <v>31</v>
      </c>
      <c r="H3" s="160">
        <v>184.493365135</v>
      </c>
      <c r="I3" s="160">
        <v>215.544309645</v>
      </c>
      <c r="J3" s="157"/>
      <c r="K3" s="160">
        <v>26.7000806451613</v>
      </c>
      <c r="L3" s="157"/>
      <c r="M3" s="161">
        <v>1602.1140817894905</v>
      </c>
      <c r="N3" s="160">
        <v>10.507</v>
      </c>
      <c r="O3" s="162">
        <f t="shared" si="0"/>
        <v>0.70742131859136659</v>
      </c>
      <c r="P3" s="163">
        <f>I3/G3</f>
        <v>6.9530422466129034</v>
      </c>
      <c r="Q3" s="157">
        <f>COUNTIFS('Daily KPI'!D:D,D3,'Daily KPI'!K:K,"&gt;0")</f>
        <v>0</v>
      </c>
      <c r="R3" s="161">
        <f t="shared" si="1"/>
        <v>0</v>
      </c>
      <c r="S3" s="161">
        <f>SUMIF($F$2:F3,F3,$R$2:R3)</f>
        <v>0</v>
      </c>
      <c r="T3" s="163">
        <f t="shared" si="2"/>
        <v>51.681099412564208</v>
      </c>
      <c r="U3" s="161">
        <f t="shared" si="3"/>
        <v>0</v>
      </c>
      <c r="V3" s="161">
        <f>SUMIF($F$2:F3,F3,$U$2:U3)</f>
        <v>0</v>
      </c>
      <c r="W3" s="162">
        <f t="shared" si="4"/>
        <v>0.20494709643001574</v>
      </c>
      <c r="X3" s="162" t="str">
        <f t="shared" si="5"/>
        <v/>
      </c>
      <c r="Y3" s="162" t="str">
        <f t="shared" si="6"/>
        <v/>
      </c>
      <c r="Z3" s="163" t="str">
        <f>IFERROR(AVERAGEIF('Daily KPI'!D:D,Table14[[#This Row],[Month]],'Daily KPI'!AB:AB),"")</f>
        <v/>
      </c>
      <c r="AA3" s="160" t="str">
        <f>IFERROR(AVERAGEIF($F$2:F3,F3,$Z$2:Z3),"")</f>
        <v/>
      </c>
      <c r="AB3" s="161"/>
      <c r="AC3" s="157"/>
      <c r="AD3" s="155">
        <v>0.995</v>
      </c>
      <c r="AE3" s="155">
        <v>0.997</v>
      </c>
      <c r="AF3" s="162">
        <v>0.999</v>
      </c>
      <c r="AG3" s="162"/>
      <c r="AH3" s="162"/>
      <c r="AI3" s="162"/>
      <c r="AJ3" s="162"/>
      <c r="AK3" s="162"/>
      <c r="AL3" s="170"/>
      <c r="AM3" s="170"/>
      <c r="AN3" s="150">
        <v>10</v>
      </c>
      <c r="AW3" s="17">
        <v>1602114.0817894905</v>
      </c>
      <c r="AX3" s="17">
        <f t="shared" ref="AX3:AX37" si="7">AW3/1000</f>
        <v>1602.1140817894905</v>
      </c>
    </row>
    <row r="4" spans="1:50">
      <c r="A4" s="157">
        <f t="shared" ref="A4:A49" si="8">A3+1</f>
        <v>3</v>
      </c>
      <c r="B4" s="157" t="s">
        <v>121</v>
      </c>
      <c r="C4" s="150">
        <v>6</v>
      </c>
      <c r="D4" s="151">
        <v>44713</v>
      </c>
      <c r="E4" s="152">
        <f t="shared" ref="E4:E23" si="9">YEAR(D4)</f>
        <v>2022</v>
      </c>
      <c r="F4" s="152" t="s">
        <v>119</v>
      </c>
      <c r="G4" s="150">
        <f t="shared" ref="G4:G23" si="10">DAY(EOMONTH(D4,0))</f>
        <v>30</v>
      </c>
      <c r="H4" s="153">
        <v>140.16509583600001</v>
      </c>
      <c r="I4" s="153">
        <v>157.11701856600001</v>
      </c>
      <c r="J4" s="150"/>
      <c r="K4" s="153">
        <v>24.6998888888889</v>
      </c>
      <c r="L4" s="150"/>
      <c r="M4" s="154">
        <v>1181.2419499813282</v>
      </c>
      <c r="N4" s="153">
        <v>10.507</v>
      </c>
      <c r="O4" s="155">
        <f t="shared" si="0"/>
        <v>0.71554491572655288</v>
      </c>
      <c r="P4" s="156">
        <f t="shared" ref="P4:P23" si="11">I4/G4</f>
        <v>5.2372339522000004</v>
      </c>
      <c r="Q4" s="150">
        <f>COUNTIFS('Daily KPI'!D:D,D4,'Daily KPI'!K:K,"&gt;0")</f>
        <v>0</v>
      </c>
      <c r="R4" s="154">
        <f t="shared" si="1"/>
        <v>0</v>
      </c>
      <c r="S4" s="154">
        <f>SUMIF($F$2:F4,F4,$R$2:R4)</f>
        <v>0</v>
      </c>
      <c r="T4" s="156">
        <f t="shared" si="2"/>
        <v>39.374731666044269</v>
      </c>
      <c r="U4" s="154">
        <f t="shared" si="3"/>
        <v>0</v>
      </c>
      <c r="V4" s="154">
        <f>SUMIF($F$2:F4,F4,$U$2:U4)</f>
        <v>0</v>
      </c>
      <c r="W4" s="155">
        <f t="shared" si="4"/>
        <v>0.15614483862363293</v>
      </c>
      <c r="X4" s="155" t="str">
        <f t="shared" si="5"/>
        <v/>
      </c>
      <c r="Y4" s="155" t="str">
        <f t="shared" si="6"/>
        <v/>
      </c>
      <c r="Z4" s="156" t="str">
        <f>IFERROR(AVERAGEIF('Daily KPI'!D:D,Table14[[#This Row],[Month]],'Daily KPI'!AB:AB),"")</f>
        <v/>
      </c>
      <c r="AA4" s="153" t="str">
        <f>IFERROR(AVERAGEIF($F$2:F4,F4,$Z$2:Z4),"")</f>
        <v/>
      </c>
      <c r="AB4" s="154"/>
      <c r="AC4" s="150"/>
      <c r="AD4" s="155">
        <v>0.995</v>
      </c>
      <c r="AE4" s="155">
        <v>0.997</v>
      </c>
      <c r="AF4" s="155">
        <v>0.999</v>
      </c>
      <c r="AG4" s="155"/>
      <c r="AH4" s="155"/>
      <c r="AI4" s="155"/>
      <c r="AJ4" s="155"/>
      <c r="AK4" s="155"/>
      <c r="AL4" s="170"/>
      <c r="AM4" s="170"/>
      <c r="AN4" s="150">
        <v>10</v>
      </c>
      <c r="AW4" s="17">
        <v>1181241.9499813281</v>
      </c>
      <c r="AX4" s="17">
        <f t="shared" si="7"/>
        <v>1181.2419499813282</v>
      </c>
    </row>
    <row r="5" spans="1:50">
      <c r="A5" s="157">
        <f t="shared" si="8"/>
        <v>4</v>
      </c>
      <c r="B5" s="157" t="s">
        <v>122</v>
      </c>
      <c r="C5" s="157">
        <v>7</v>
      </c>
      <c r="D5" s="158">
        <v>44743</v>
      </c>
      <c r="E5" s="159">
        <f t="shared" ref="E5:E17" si="12">YEAR(D5)</f>
        <v>2022</v>
      </c>
      <c r="F5" s="159" t="s">
        <v>119</v>
      </c>
      <c r="G5" s="157">
        <f t="shared" ref="G5:G17" si="13">DAY(EOMONTH(D5,0))</f>
        <v>31</v>
      </c>
      <c r="H5" s="160">
        <v>122.316202078</v>
      </c>
      <c r="I5" s="160">
        <v>132.35283340000001</v>
      </c>
      <c r="J5" s="157"/>
      <c r="K5" s="160">
        <v>23.799973118279599</v>
      </c>
      <c r="L5" s="157"/>
      <c r="M5" s="161">
        <v>991.36824394729251</v>
      </c>
      <c r="N5" s="160">
        <v>10.507</v>
      </c>
      <c r="O5" s="162">
        <f t="shared" si="0"/>
        <v>0.7128908292212448</v>
      </c>
      <c r="P5" s="163">
        <f t="shared" ref="P5:P17" si="14">I5/G5</f>
        <v>4.2694462387096781</v>
      </c>
      <c r="Q5" s="157">
        <f>COUNTIFS('Daily KPI'!D:D,D5,'Daily KPI'!K:K,"&gt;0")</f>
        <v>0</v>
      </c>
      <c r="R5" s="161">
        <f t="shared" si="1"/>
        <v>0</v>
      </c>
      <c r="S5" s="161">
        <f>SUMIF($F$2:F5,F5,$R$2:R5)</f>
        <v>0</v>
      </c>
      <c r="T5" s="163">
        <f t="shared" si="2"/>
        <v>31.979620772493305</v>
      </c>
      <c r="U5" s="161">
        <f t="shared" si="3"/>
        <v>0</v>
      </c>
      <c r="V5" s="161">
        <f>SUMIF($F$2:F5,F5,$U$2:U5)</f>
        <v>0</v>
      </c>
      <c r="W5" s="162">
        <f t="shared" si="4"/>
        <v>0.12681871122621943</v>
      </c>
      <c r="X5" s="162" t="str">
        <f t="shared" si="5"/>
        <v/>
      </c>
      <c r="Y5" s="162" t="str">
        <f t="shared" si="6"/>
        <v/>
      </c>
      <c r="Z5" s="163" t="str">
        <f>IFERROR(AVERAGEIF('Daily KPI'!D:D,Table14[[#This Row],[Month]],'Daily KPI'!AB:AB),"")</f>
        <v/>
      </c>
      <c r="AA5" s="160" t="str">
        <f>IFERROR(AVERAGEIF($F$2:F5,F5,$Z$2:Z5),"")</f>
        <v/>
      </c>
      <c r="AB5" s="161"/>
      <c r="AC5" s="157"/>
      <c r="AD5" s="155">
        <v>0.995</v>
      </c>
      <c r="AE5" s="155">
        <v>0.997</v>
      </c>
      <c r="AF5" s="162">
        <v>0.999</v>
      </c>
      <c r="AG5" s="162"/>
      <c r="AH5" s="162"/>
      <c r="AI5" s="162"/>
      <c r="AJ5" s="162"/>
      <c r="AK5" s="162"/>
      <c r="AL5" s="170"/>
      <c r="AM5" s="170"/>
      <c r="AN5" s="150">
        <v>10</v>
      </c>
      <c r="AW5" s="17">
        <v>991368.24394729256</v>
      </c>
      <c r="AX5" s="17">
        <f t="shared" si="7"/>
        <v>991.36824394729251</v>
      </c>
    </row>
    <row r="6" spans="1:50">
      <c r="A6" s="157">
        <f t="shared" si="8"/>
        <v>5</v>
      </c>
      <c r="B6" s="157" t="s">
        <v>123</v>
      </c>
      <c r="C6" s="150">
        <v>8</v>
      </c>
      <c r="D6" s="151">
        <v>44774</v>
      </c>
      <c r="E6" s="152">
        <f t="shared" si="12"/>
        <v>2022</v>
      </c>
      <c r="F6" s="152" t="s">
        <v>119</v>
      </c>
      <c r="G6" s="150">
        <f t="shared" si="13"/>
        <v>31</v>
      </c>
      <c r="H6" s="153">
        <v>126.292838231</v>
      </c>
      <c r="I6" s="153">
        <v>137.84953686200001</v>
      </c>
      <c r="J6" s="150"/>
      <c r="K6" s="153">
        <v>23.600053763440901</v>
      </c>
      <c r="L6" s="150"/>
      <c r="M6" s="154">
        <v>1037.7429279095225</v>
      </c>
      <c r="N6" s="153">
        <v>10.507</v>
      </c>
      <c r="O6" s="155">
        <f t="shared" si="0"/>
        <v>0.71648275000210249</v>
      </c>
      <c r="P6" s="156">
        <f t="shared" si="14"/>
        <v>4.4467592536129033</v>
      </c>
      <c r="Q6" s="150">
        <f>COUNTIFS('Daily KPI'!D:D,D6,'Daily KPI'!K:K,"&gt;0")</f>
        <v>0</v>
      </c>
      <c r="R6" s="154">
        <f t="shared" si="1"/>
        <v>0</v>
      </c>
      <c r="S6" s="154">
        <f>SUMIF($F$2:F6,F6,$R$2:R6)</f>
        <v>0</v>
      </c>
      <c r="T6" s="156">
        <f t="shared" si="2"/>
        <v>33.475578319662013</v>
      </c>
      <c r="U6" s="154">
        <f t="shared" si="3"/>
        <v>0</v>
      </c>
      <c r="V6" s="154">
        <f>SUMIF($F$2:F6,F6,$U$2:U6)</f>
        <v>0</v>
      </c>
      <c r="W6" s="155">
        <f t="shared" si="4"/>
        <v>0.13275109577607791</v>
      </c>
      <c r="X6" s="155" t="str">
        <f t="shared" si="5"/>
        <v/>
      </c>
      <c r="Y6" s="155" t="str">
        <f t="shared" si="6"/>
        <v/>
      </c>
      <c r="Z6" s="156" t="str">
        <f>IFERROR(AVERAGEIF('Daily KPI'!D:D,Table14[[#This Row],[Month]],'Daily KPI'!AB:AB),"")</f>
        <v/>
      </c>
      <c r="AA6" s="153" t="str">
        <f>IFERROR(AVERAGEIF($F$2:F6,F6,$Z$2:Z6),"")</f>
        <v/>
      </c>
      <c r="AB6" s="154"/>
      <c r="AC6" s="150"/>
      <c r="AD6" s="155">
        <v>0.995</v>
      </c>
      <c r="AE6" s="155">
        <v>0.997</v>
      </c>
      <c r="AF6" s="155">
        <v>0.999</v>
      </c>
      <c r="AG6" s="155"/>
      <c r="AH6" s="155"/>
      <c r="AI6" s="155"/>
      <c r="AJ6" s="155"/>
      <c r="AK6" s="155"/>
      <c r="AL6" s="170"/>
      <c r="AM6" s="170"/>
      <c r="AN6" s="150">
        <v>10</v>
      </c>
      <c r="AO6" s="17" t="s">
        <v>124</v>
      </c>
      <c r="AP6" s="138">
        <v>0.995</v>
      </c>
      <c r="AW6" s="17">
        <v>1037742.9279095224</v>
      </c>
      <c r="AX6" s="17">
        <f t="shared" si="7"/>
        <v>1037.7429279095225</v>
      </c>
    </row>
    <row r="7" spans="1:50">
      <c r="A7" s="157">
        <f t="shared" si="8"/>
        <v>6</v>
      </c>
      <c r="B7" s="157" t="s">
        <v>125</v>
      </c>
      <c r="C7" s="157">
        <v>9</v>
      </c>
      <c r="D7" s="158">
        <v>44805</v>
      </c>
      <c r="E7" s="159">
        <f t="shared" si="12"/>
        <v>2022</v>
      </c>
      <c r="F7" s="159" t="s">
        <v>119</v>
      </c>
      <c r="G7" s="157">
        <f t="shared" si="13"/>
        <v>30</v>
      </c>
      <c r="H7" s="160">
        <v>144.04474673300001</v>
      </c>
      <c r="I7" s="160">
        <v>163.040458202</v>
      </c>
      <c r="J7" s="157"/>
      <c r="K7" s="160">
        <v>23.700138888888901</v>
      </c>
      <c r="L7" s="157"/>
      <c r="M7" s="161">
        <v>1224.9916518324885</v>
      </c>
      <c r="N7" s="160">
        <v>10.507</v>
      </c>
      <c r="O7" s="162">
        <f t="shared" si="0"/>
        <v>0.71508720877038379</v>
      </c>
      <c r="P7" s="163">
        <f t="shared" si="14"/>
        <v>5.4346819400666666</v>
      </c>
      <c r="Q7" s="157">
        <f>COUNTIFS('Daily KPI'!D:D,D7,'Daily KPI'!K:K,"&gt;0")</f>
        <v>0</v>
      </c>
      <c r="R7" s="161">
        <f t="shared" si="1"/>
        <v>0</v>
      </c>
      <c r="S7" s="161">
        <f>SUMIF($F$2:F7,F7,$R$2:R7)</f>
        <v>0</v>
      </c>
      <c r="T7" s="163">
        <f t="shared" si="2"/>
        <v>40.833055061082952</v>
      </c>
      <c r="U7" s="161">
        <f t="shared" si="3"/>
        <v>0</v>
      </c>
      <c r="V7" s="161">
        <f>SUMIF($F$2:F7,F7,$U$2:U7)</f>
        <v>0</v>
      </c>
      <c r="W7" s="162">
        <f t="shared" si="4"/>
        <v>0.16192798079487861</v>
      </c>
      <c r="X7" s="162" t="str">
        <f t="shared" si="5"/>
        <v/>
      </c>
      <c r="Y7" s="162" t="str">
        <f t="shared" si="6"/>
        <v/>
      </c>
      <c r="Z7" s="163" t="str">
        <f>IFERROR(AVERAGEIF('Daily KPI'!D:D,Table14[[#This Row],[Month]],'Daily KPI'!AB:AB),"")</f>
        <v/>
      </c>
      <c r="AA7" s="160" t="str">
        <f>IFERROR(AVERAGEIF($F$2:F7,F7,$Z$2:Z7),"")</f>
        <v/>
      </c>
      <c r="AB7" s="161"/>
      <c r="AC7" s="157"/>
      <c r="AD7" s="155">
        <v>0.995</v>
      </c>
      <c r="AE7" s="155">
        <v>0.997</v>
      </c>
      <c r="AF7" s="162">
        <v>0.999</v>
      </c>
      <c r="AG7" s="162"/>
      <c r="AH7" s="162"/>
      <c r="AI7" s="162"/>
      <c r="AJ7" s="162"/>
      <c r="AK7" s="162"/>
      <c r="AL7" s="170"/>
      <c r="AM7" s="170"/>
      <c r="AN7" s="150">
        <v>10</v>
      </c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57">
        <f t="shared" si="8"/>
        <v>7</v>
      </c>
      <c r="B8" s="157" t="s">
        <v>127</v>
      </c>
      <c r="C8" s="150">
        <v>10</v>
      </c>
      <c r="D8" s="151">
        <v>44835</v>
      </c>
      <c r="E8" s="152">
        <f t="shared" si="12"/>
        <v>2022</v>
      </c>
      <c r="F8" s="152" t="s">
        <v>119</v>
      </c>
      <c r="G8" s="150">
        <f t="shared" si="13"/>
        <v>31</v>
      </c>
      <c r="H8" s="153">
        <v>146.56699049400001</v>
      </c>
      <c r="I8" s="153">
        <v>169.41865188</v>
      </c>
      <c r="J8" s="150"/>
      <c r="K8" s="153">
        <v>23.399852150537601</v>
      </c>
      <c r="L8" s="150"/>
      <c r="M8" s="154">
        <v>1279.2412821279272</v>
      </c>
      <c r="N8" s="153">
        <v>10.507</v>
      </c>
      <c r="O8" s="155">
        <f t="shared" si="0"/>
        <v>0.71864186234369143</v>
      </c>
      <c r="P8" s="156">
        <f t="shared" si="14"/>
        <v>5.4651178025806448</v>
      </c>
      <c r="Q8" s="150">
        <f>COUNTIFS('Daily KPI'!D:D,D8,'Daily KPI'!K:K,"&gt;0")</f>
        <v>0</v>
      </c>
      <c r="R8" s="154">
        <f t="shared" si="1"/>
        <v>0</v>
      </c>
      <c r="S8" s="154">
        <f>SUMIF($F$2:F8,F8,$R$2:R8)</f>
        <v>0</v>
      </c>
      <c r="T8" s="156">
        <f t="shared" si="2"/>
        <v>41.2658478105783</v>
      </c>
      <c r="U8" s="154">
        <f t="shared" si="3"/>
        <v>0</v>
      </c>
      <c r="V8" s="154">
        <f>SUMIF($F$2:F8,F8,$U$2:U8)</f>
        <v>0</v>
      </c>
      <c r="W8" s="155">
        <f t="shared" si="4"/>
        <v>0.16364426814892571</v>
      </c>
      <c r="X8" s="155" t="str">
        <f t="shared" si="5"/>
        <v/>
      </c>
      <c r="Y8" s="155" t="str">
        <f t="shared" si="6"/>
        <v/>
      </c>
      <c r="Z8" s="156" t="str">
        <f>IFERROR(AVERAGEIF('Daily KPI'!D:D,Table14[[#This Row],[Month]],'Daily KPI'!AB:AB),"")</f>
        <v/>
      </c>
      <c r="AA8" s="153" t="str">
        <f>IFERROR(AVERAGEIF($F$2:F8,F8,$Z$2:Z8),"")</f>
        <v/>
      </c>
      <c r="AB8" s="154"/>
      <c r="AC8" s="150"/>
      <c r="AD8" s="155">
        <v>0.995</v>
      </c>
      <c r="AE8" s="155">
        <v>0.997</v>
      </c>
      <c r="AF8" s="155">
        <v>0.999</v>
      </c>
      <c r="AG8" s="155"/>
      <c r="AH8" s="155"/>
      <c r="AI8" s="155"/>
      <c r="AJ8" s="155"/>
      <c r="AK8" s="155"/>
      <c r="AL8" s="170"/>
      <c r="AM8" s="170"/>
      <c r="AN8" s="150">
        <v>10</v>
      </c>
      <c r="AW8" s="17">
        <v>1279241.2821279273</v>
      </c>
      <c r="AX8" s="17">
        <f t="shared" si="7"/>
        <v>1279.2412821279272</v>
      </c>
    </row>
    <row r="9" spans="1:50">
      <c r="A9" s="157">
        <f t="shared" si="8"/>
        <v>8</v>
      </c>
      <c r="B9" s="157" t="s">
        <v>128</v>
      </c>
      <c r="C9" s="157">
        <v>11</v>
      </c>
      <c r="D9" s="158">
        <v>44866</v>
      </c>
      <c r="E9" s="159">
        <f t="shared" si="12"/>
        <v>2022</v>
      </c>
      <c r="F9" s="159" t="s">
        <v>119</v>
      </c>
      <c r="G9" s="157">
        <f t="shared" si="13"/>
        <v>30</v>
      </c>
      <c r="H9" s="160">
        <v>136.383007733</v>
      </c>
      <c r="I9" s="160">
        <v>157.92065503000001</v>
      </c>
      <c r="J9" s="157"/>
      <c r="K9" s="160">
        <v>22.4999583333333</v>
      </c>
      <c r="L9" s="157"/>
      <c r="M9" s="161">
        <v>1206.6167770550012</v>
      </c>
      <c r="N9" s="160">
        <v>10.507</v>
      </c>
      <c r="O9" s="162">
        <f t="shared" si="0"/>
        <v>0.72719635033119656</v>
      </c>
      <c r="P9" s="163">
        <f t="shared" si="14"/>
        <v>5.2640218343333336</v>
      </c>
      <c r="Q9" s="157">
        <f>COUNTIFS('Daily KPI'!D:D,D9,'Daily KPI'!K:K,"&gt;0")</f>
        <v>0</v>
      </c>
      <c r="R9" s="161">
        <f t="shared" si="1"/>
        <v>0</v>
      </c>
      <c r="S9" s="161">
        <f>SUMIF($F$2:F9,F9,$R$2:R9)</f>
        <v>0</v>
      </c>
      <c r="T9" s="163">
        <f t="shared" si="2"/>
        <v>40.220559235166704</v>
      </c>
      <c r="U9" s="161">
        <f t="shared" si="3"/>
        <v>0</v>
      </c>
      <c r="V9" s="161">
        <f>SUMIF($F$2:F9,F9,$U$2:U9)</f>
        <v>0</v>
      </c>
      <c r="W9" s="162">
        <f t="shared" si="4"/>
        <v>0.15949906108295542</v>
      </c>
      <c r="X9" s="162" t="str">
        <f t="shared" si="5"/>
        <v/>
      </c>
      <c r="Y9" s="162" t="str">
        <f t="shared" si="6"/>
        <v/>
      </c>
      <c r="Z9" s="163" t="str">
        <f>IFERROR(AVERAGEIF('Daily KPI'!D:D,Table14[[#This Row],[Month]],'Daily KPI'!AB:AB),"")</f>
        <v/>
      </c>
      <c r="AA9" s="160" t="str">
        <f>IFERROR(AVERAGEIF($F$2:F9,F9,$Z$2:Z9),"")</f>
        <v/>
      </c>
      <c r="AB9" s="161"/>
      <c r="AC9" s="157"/>
      <c r="AD9" s="155">
        <v>0.995</v>
      </c>
      <c r="AE9" s="155">
        <v>0.997</v>
      </c>
      <c r="AF9" s="162">
        <v>0.999</v>
      </c>
      <c r="AG9" s="162"/>
      <c r="AH9" s="162"/>
      <c r="AI9" s="162"/>
      <c r="AJ9" s="162"/>
      <c r="AK9" s="162"/>
      <c r="AL9" s="170"/>
      <c r="AM9" s="170"/>
      <c r="AN9" s="150">
        <v>10</v>
      </c>
      <c r="AW9" s="17">
        <v>1206616.7770550011</v>
      </c>
      <c r="AX9" s="17">
        <f t="shared" si="7"/>
        <v>1206.6167770550012</v>
      </c>
    </row>
    <row r="10" spans="1:50">
      <c r="A10" s="157">
        <f t="shared" si="8"/>
        <v>9</v>
      </c>
      <c r="B10" s="157" t="s">
        <v>129</v>
      </c>
      <c r="C10" s="150">
        <v>12</v>
      </c>
      <c r="D10" s="151">
        <v>44896</v>
      </c>
      <c r="E10" s="152">
        <f t="shared" si="12"/>
        <v>2022</v>
      </c>
      <c r="F10" s="152" t="s">
        <v>119</v>
      </c>
      <c r="G10" s="150">
        <f t="shared" si="13"/>
        <v>31</v>
      </c>
      <c r="H10" s="153">
        <v>149.379282394</v>
      </c>
      <c r="I10" s="153">
        <v>175.80240230000001</v>
      </c>
      <c r="J10" s="150"/>
      <c r="K10" s="153">
        <v>21.492970430107501</v>
      </c>
      <c r="L10" s="150"/>
      <c r="M10" s="154">
        <v>1343.1158468306214</v>
      </c>
      <c r="N10" s="153">
        <v>10.507</v>
      </c>
      <c r="O10" s="155">
        <f t="shared" si="0"/>
        <v>0.7271264378690131</v>
      </c>
      <c r="P10" s="156">
        <f t="shared" si="14"/>
        <v>5.671045235483871</v>
      </c>
      <c r="Q10" s="150">
        <f>COUNTIFS('Daily KPI'!D:D,D10,'Daily KPI'!K:K,"&gt;0")</f>
        <v>0</v>
      </c>
      <c r="R10" s="154">
        <f t="shared" si="1"/>
        <v>0</v>
      </c>
      <c r="S10" s="154">
        <f>SUMIF($F$2:F10,F10,$R$2:R10)</f>
        <v>0</v>
      </c>
      <c r="T10" s="156">
        <f t="shared" si="2"/>
        <v>43.326317639697464</v>
      </c>
      <c r="U10" s="154">
        <f t="shared" si="3"/>
        <v>0</v>
      </c>
      <c r="V10" s="154">
        <f>SUMIF($F$2:F10,F10,$U$2:U10)</f>
        <v>0</v>
      </c>
      <c r="W10" s="155">
        <f t="shared" si="4"/>
        <v>0.17181528837797605</v>
      </c>
      <c r="X10" s="155" t="str">
        <f t="shared" si="5"/>
        <v/>
      </c>
      <c r="Y10" s="155" t="str">
        <f t="shared" si="6"/>
        <v/>
      </c>
      <c r="Z10" s="156" t="str">
        <f>IFERROR(AVERAGEIF('Daily KPI'!D:D,Table14[[#This Row],[Month]],'Daily KPI'!AB:AB),"")</f>
        <v/>
      </c>
      <c r="AA10" s="153" t="str">
        <f>IFERROR(AVERAGEIF($F$2:F10,F10,$Z$2:Z10),"")</f>
        <v/>
      </c>
      <c r="AB10" s="154"/>
      <c r="AC10" s="150"/>
      <c r="AD10" s="155">
        <v>0.995</v>
      </c>
      <c r="AE10" s="155">
        <v>0.997</v>
      </c>
      <c r="AF10" s="155">
        <v>0.999</v>
      </c>
      <c r="AG10" s="155"/>
      <c r="AH10" s="155"/>
      <c r="AI10" s="155"/>
      <c r="AJ10" s="155"/>
      <c r="AK10" s="155"/>
      <c r="AL10" s="170"/>
      <c r="AM10" s="170"/>
      <c r="AN10" s="150">
        <v>10</v>
      </c>
      <c r="AW10" s="17">
        <v>1343115.8468306214</v>
      </c>
      <c r="AX10" s="17">
        <f t="shared" si="7"/>
        <v>1343.1158468306214</v>
      </c>
    </row>
    <row r="11" spans="1:50">
      <c r="A11" s="157">
        <f t="shared" si="8"/>
        <v>10</v>
      </c>
      <c r="B11" s="157" t="s">
        <v>130</v>
      </c>
      <c r="C11" s="157">
        <v>1</v>
      </c>
      <c r="D11" s="158">
        <v>44927</v>
      </c>
      <c r="E11" s="159">
        <f t="shared" si="12"/>
        <v>2023</v>
      </c>
      <c r="F11" s="159" t="s">
        <v>119</v>
      </c>
      <c r="G11" s="157">
        <f t="shared" si="13"/>
        <v>31</v>
      </c>
      <c r="H11" s="160">
        <v>172.65914562399999</v>
      </c>
      <c r="I11" s="160">
        <v>210.74158696000001</v>
      </c>
      <c r="J11" s="157"/>
      <c r="K11" s="160">
        <v>22.099986559139801</v>
      </c>
      <c r="L11" s="157"/>
      <c r="M11" s="161">
        <v>1607.3640460116296</v>
      </c>
      <c r="N11" s="160">
        <v>10.507</v>
      </c>
      <c r="O11" s="162">
        <f t="shared" si="0"/>
        <v>0.72591416546827037</v>
      </c>
      <c r="P11" s="163">
        <f t="shared" si="14"/>
        <v>6.7981157083870967</v>
      </c>
      <c r="Q11" s="157">
        <f>COUNTIFS('Daily KPI'!D:D,D11,'Daily KPI'!K:K,"&gt;0")</f>
        <v>0</v>
      </c>
      <c r="R11" s="161">
        <f t="shared" si="1"/>
        <v>0</v>
      </c>
      <c r="S11" s="161">
        <f>SUMIF($F$2:F11,F11,$R$2:R11)</f>
        <v>0</v>
      </c>
      <c r="T11" s="163">
        <f t="shared" si="2"/>
        <v>51.850453097149341</v>
      </c>
      <c r="U11" s="161">
        <f t="shared" si="3"/>
        <v>0</v>
      </c>
      <c r="V11" s="161">
        <f>SUMIF($F$2:F11,F11,$U$2:U11)</f>
        <v>0</v>
      </c>
      <c r="W11" s="162">
        <f t="shared" si="4"/>
        <v>0.20561868713377326</v>
      </c>
      <c r="X11" s="162" t="str">
        <f t="shared" si="5"/>
        <v/>
      </c>
      <c r="Y11" s="162" t="str">
        <f t="shared" si="6"/>
        <v/>
      </c>
      <c r="Z11" s="163" t="str">
        <f>IFERROR(AVERAGEIF('Daily KPI'!D:D,Table14[[#This Row],[Month]],'Daily KPI'!AB:AB),"")</f>
        <v/>
      </c>
      <c r="AA11" s="160" t="str">
        <f>IFERROR(AVERAGEIF($F$2:F11,F11,$Z$2:Z11),"")</f>
        <v/>
      </c>
      <c r="AB11" s="161"/>
      <c r="AC11" s="157"/>
      <c r="AD11" s="155">
        <v>0.995</v>
      </c>
      <c r="AE11" s="155">
        <v>0.997</v>
      </c>
      <c r="AF11" s="162">
        <v>0.999</v>
      </c>
      <c r="AG11" s="162"/>
      <c r="AH11" s="162"/>
      <c r="AI11" s="162"/>
      <c r="AJ11" s="162"/>
      <c r="AK11" s="162"/>
      <c r="AL11" s="170"/>
      <c r="AM11" s="170"/>
      <c r="AN11" s="150">
        <v>10</v>
      </c>
      <c r="AW11" s="17">
        <v>1607364.0460116295</v>
      </c>
      <c r="AX11" s="17">
        <f t="shared" si="7"/>
        <v>1607.3640460116296</v>
      </c>
    </row>
    <row r="12" spans="1:50">
      <c r="A12" s="157">
        <f t="shared" si="8"/>
        <v>11</v>
      </c>
      <c r="B12" s="157" t="s">
        <v>131</v>
      </c>
      <c r="C12" s="150">
        <v>2</v>
      </c>
      <c r="D12" s="151">
        <v>44958</v>
      </c>
      <c r="E12" s="152">
        <f t="shared" si="12"/>
        <v>2023</v>
      </c>
      <c r="F12" s="152" t="s">
        <v>119</v>
      </c>
      <c r="G12" s="150">
        <f t="shared" si="13"/>
        <v>28</v>
      </c>
      <c r="H12" s="153">
        <v>174.40611465399999</v>
      </c>
      <c r="I12" s="153">
        <v>212.78878262999999</v>
      </c>
      <c r="J12" s="150"/>
      <c r="K12" s="153">
        <v>24.199895833333301</v>
      </c>
      <c r="L12" s="150"/>
      <c r="M12" s="154">
        <v>1596.8641175673511</v>
      </c>
      <c r="N12" s="153">
        <v>10.507</v>
      </c>
      <c r="O12" s="155">
        <f t="shared" si="0"/>
        <v>0.71423396657427496</v>
      </c>
      <c r="P12" s="156">
        <f t="shared" si="14"/>
        <v>7.5995993796428563</v>
      </c>
      <c r="Q12" s="150">
        <f>COUNTIFS('Daily KPI'!D:D,D12,'Daily KPI'!K:K,"&gt;0")</f>
        <v>0</v>
      </c>
      <c r="R12" s="154">
        <f t="shared" si="1"/>
        <v>0</v>
      </c>
      <c r="S12" s="154">
        <f>SUMIF($F$2:F12,F12,$R$2:R12)</f>
        <v>0</v>
      </c>
      <c r="T12" s="156">
        <f t="shared" si="2"/>
        <v>57.030861341691107</v>
      </c>
      <c r="U12" s="154">
        <f t="shared" si="3"/>
        <v>0</v>
      </c>
      <c r="V12" s="154">
        <f>SUMIF($F$2:F12,F12,$U$2:U12)</f>
        <v>0</v>
      </c>
      <c r="W12" s="155">
        <f t="shared" si="4"/>
        <v>0.22616216705407152</v>
      </c>
      <c r="X12" s="155" t="str">
        <f t="shared" si="5"/>
        <v/>
      </c>
      <c r="Y12" s="155" t="str">
        <f t="shared" si="6"/>
        <v/>
      </c>
      <c r="Z12" s="156" t="str">
        <f>IFERROR(AVERAGEIF('Daily KPI'!D:D,Table14[[#This Row],[Month]],'Daily KPI'!AB:AB),"")</f>
        <v/>
      </c>
      <c r="AA12" s="153" t="str">
        <f>IFERROR(AVERAGEIF($F$2:F12,F12,$Z$2:Z12),"")</f>
        <v/>
      </c>
      <c r="AB12" s="154"/>
      <c r="AC12" s="150"/>
      <c r="AD12" s="155">
        <v>0.995</v>
      </c>
      <c r="AE12" s="155">
        <v>0.997</v>
      </c>
      <c r="AF12" s="155">
        <v>0.999</v>
      </c>
      <c r="AG12" s="155"/>
      <c r="AH12" s="155"/>
      <c r="AI12" s="155"/>
      <c r="AJ12" s="155"/>
      <c r="AK12" s="155"/>
      <c r="AL12" s="170"/>
      <c r="AM12" s="170"/>
      <c r="AN12" s="150">
        <v>10</v>
      </c>
      <c r="AW12" s="17">
        <v>1596864.1175673511</v>
      </c>
      <c r="AX12" s="17">
        <f t="shared" si="7"/>
        <v>1596.8641175673511</v>
      </c>
    </row>
    <row r="13" spans="1:50">
      <c r="A13" s="157">
        <f t="shared" si="8"/>
        <v>12</v>
      </c>
      <c r="B13" s="157" t="s">
        <v>132</v>
      </c>
      <c r="C13" s="157">
        <v>3</v>
      </c>
      <c r="D13" s="158">
        <v>44986</v>
      </c>
      <c r="E13" s="159">
        <f t="shared" si="12"/>
        <v>2023</v>
      </c>
      <c r="F13" s="159" t="s">
        <v>119</v>
      </c>
      <c r="G13" s="157">
        <f t="shared" si="13"/>
        <v>31</v>
      </c>
      <c r="H13" s="160">
        <v>205.44670140700001</v>
      </c>
      <c r="I13" s="160">
        <v>247.38205597800001</v>
      </c>
      <c r="J13" s="157"/>
      <c r="K13" s="160">
        <v>26.700255376344099</v>
      </c>
      <c r="L13" s="157"/>
      <c r="M13" s="161">
        <v>1826.9875493044542</v>
      </c>
      <c r="N13" s="160">
        <v>10.507</v>
      </c>
      <c r="O13" s="162">
        <f t="shared" si="0"/>
        <v>0.70289209782758566</v>
      </c>
      <c r="P13" s="163">
        <f t="shared" si="14"/>
        <v>7.980066321870968</v>
      </c>
      <c r="Q13" s="157">
        <f>COUNTIFS('Daily KPI'!D:D,D13,'Daily KPI'!K:K,"&gt;0")</f>
        <v>0</v>
      </c>
      <c r="R13" s="161">
        <f t="shared" si="1"/>
        <v>0</v>
      </c>
      <c r="S13" s="161">
        <f>SUMIF($F$2:F13,F13,$R$2:R13)</f>
        <v>0</v>
      </c>
      <c r="T13" s="163">
        <f t="shared" si="2"/>
        <v>58.935082235627554</v>
      </c>
      <c r="U13" s="161">
        <f t="shared" si="3"/>
        <v>0</v>
      </c>
      <c r="V13" s="161">
        <f>SUMIF($F$2:F13,F13,$U$2:U13)</f>
        <v>0</v>
      </c>
      <c r="W13" s="162">
        <f t="shared" si="4"/>
        <v>0.23371356490763123</v>
      </c>
      <c r="X13" s="162" t="str">
        <f t="shared" si="5"/>
        <v/>
      </c>
      <c r="Y13" s="162" t="str">
        <f t="shared" si="6"/>
        <v/>
      </c>
      <c r="Z13" s="163" t="str">
        <f>IFERROR(AVERAGEIF('Daily KPI'!D:D,Table14[[#This Row],[Month]],'Daily KPI'!AB:AB),"")</f>
        <v/>
      </c>
      <c r="AA13" s="160" t="str">
        <f>IFERROR(AVERAGEIF($F$2:F13,F13,$Z$2:Z13),"")</f>
        <v/>
      </c>
      <c r="AB13" s="161"/>
      <c r="AC13" s="157"/>
      <c r="AD13" s="155">
        <v>0.995</v>
      </c>
      <c r="AE13" s="155">
        <v>0.997</v>
      </c>
      <c r="AF13" s="162">
        <v>0.999</v>
      </c>
      <c r="AG13" s="162"/>
      <c r="AH13" s="162"/>
      <c r="AI13" s="162"/>
      <c r="AJ13" s="162"/>
      <c r="AK13" s="162"/>
      <c r="AL13" s="170"/>
      <c r="AM13" s="170"/>
      <c r="AN13" s="150">
        <v>10</v>
      </c>
      <c r="AW13" s="17">
        <v>1826987.5493044541</v>
      </c>
      <c r="AX13" s="17">
        <f t="shared" si="7"/>
        <v>1826.9875493044542</v>
      </c>
    </row>
    <row r="14" spans="1:50">
      <c r="A14" s="157">
        <f t="shared" si="8"/>
        <v>13</v>
      </c>
      <c r="B14" s="157" t="str">
        <f>B2</f>
        <v>April</v>
      </c>
      <c r="C14" s="150">
        <f>C2</f>
        <v>4</v>
      </c>
      <c r="D14" s="151">
        <v>45017</v>
      </c>
      <c r="E14" s="152">
        <f t="shared" si="12"/>
        <v>2023</v>
      </c>
      <c r="F14" s="152" t="s">
        <v>133</v>
      </c>
      <c r="G14" s="150">
        <f t="shared" si="13"/>
        <v>30</v>
      </c>
      <c r="H14" s="153">
        <f>H2</f>
        <v>192.739203312</v>
      </c>
      <c r="I14" s="153">
        <f>I2</f>
        <v>227.68820475999999</v>
      </c>
      <c r="J14" s="150"/>
      <c r="K14" s="153">
        <f>K2</f>
        <v>27.499986111111099</v>
      </c>
      <c r="L14" s="150"/>
      <c r="M14" s="154">
        <v>1610</v>
      </c>
      <c r="N14" s="153">
        <v>10.507</v>
      </c>
      <c r="O14" s="155">
        <f t="shared" si="0"/>
        <v>0.67298690055277255</v>
      </c>
      <c r="P14" s="156">
        <f t="shared" si="14"/>
        <v>7.5896068253333331</v>
      </c>
      <c r="Q14" s="150">
        <f>COUNTIFS('Daily KPI'!D:D,D14,'Daily KPI'!K:K,"&gt;0")</f>
        <v>0</v>
      </c>
      <c r="R14" s="154">
        <f t="shared" si="1"/>
        <v>0</v>
      </c>
      <c r="S14" s="154">
        <f>SUMIF($F$2:F14,F14,$R$2:R14)</f>
        <v>0</v>
      </c>
      <c r="T14" s="156">
        <f t="shared" si="2"/>
        <v>53.666666666666664</v>
      </c>
      <c r="U14" s="154">
        <f t="shared" si="3"/>
        <v>0</v>
      </c>
      <c r="V14" s="154">
        <f>SUMIF($F$2:F14,F14,$U$2:U14)</f>
        <v>0</v>
      </c>
      <c r="W14" s="155">
        <f t="shared" si="4"/>
        <v>0.21282108224146865</v>
      </c>
      <c r="X14" s="155" t="str">
        <f t="shared" si="5"/>
        <v/>
      </c>
      <c r="Y14" s="155" t="str">
        <f t="shared" si="6"/>
        <v/>
      </c>
      <c r="Z14" s="156" t="str">
        <f>IFERROR(AVERAGEIF('Daily KPI'!D:D,Table14[[#This Row],[Month]],'Daily KPI'!AB:AB),"")</f>
        <v/>
      </c>
      <c r="AA14" s="153" t="str">
        <f>IFERROR(AVERAGEIF($F$2:F14,F14,$Z$2:Z14),"")</f>
        <v/>
      </c>
      <c r="AB14" s="154"/>
      <c r="AC14" s="150"/>
      <c r="AD14" s="155">
        <v>0.995</v>
      </c>
      <c r="AE14" s="155">
        <v>0.997</v>
      </c>
      <c r="AF14" s="155">
        <v>0.999</v>
      </c>
      <c r="AG14" s="155"/>
      <c r="AH14" s="155"/>
      <c r="AI14" s="155"/>
      <c r="AJ14" s="155"/>
      <c r="AK14" s="155"/>
      <c r="AL14" s="170"/>
      <c r="AM14" s="170"/>
      <c r="AN14" s="150">
        <v>10</v>
      </c>
      <c r="AW14" s="17">
        <v>1610000</v>
      </c>
      <c r="AX14" s="17">
        <f t="shared" si="7"/>
        <v>1610</v>
      </c>
    </row>
    <row r="15" spans="1:50">
      <c r="A15" s="157">
        <f t="shared" si="8"/>
        <v>14</v>
      </c>
      <c r="B15" s="157" t="str">
        <f t="shared" ref="B15:C49" si="15">B3</f>
        <v>May</v>
      </c>
      <c r="C15" s="157">
        <f t="shared" ref="C15:C25" si="16">C3</f>
        <v>5</v>
      </c>
      <c r="D15" s="158">
        <v>45047</v>
      </c>
      <c r="E15" s="159">
        <f t="shared" si="12"/>
        <v>2023</v>
      </c>
      <c r="F15" s="159" t="s">
        <v>133</v>
      </c>
      <c r="G15" s="157">
        <f t="shared" si="13"/>
        <v>31</v>
      </c>
      <c r="H15" s="160">
        <f t="shared" ref="H15:I39" si="17">H3</f>
        <v>184.493365135</v>
      </c>
      <c r="I15" s="160">
        <f t="shared" si="17"/>
        <v>215.544309645</v>
      </c>
      <c r="J15" s="157"/>
      <c r="K15" s="160">
        <f t="shared" ref="K15:K49" si="18">K3</f>
        <v>26.7000806451613</v>
      </c>
      <c r="L15" s="157"/>
      <c r="M15" s="161">
        <v>1600</v>
      </c>
      <c r="N15" s="160">
        <v>10.507</v>
      </c>
      <c r="O15" s="162">
        <f t="shared" si="0"/>
        <v>0.70648783542426219</v>
      </c>
      <c r="P15" s="163">
        <f t="shared" si="14"/>
        <v>6.9530422466129034</v>
      </c>
      <c r="Q15" s="157">
        <f>COUNTIFS('Daily KPI'!D:D,D15,'Daily KPI'!K:K,"&gt;0")</f>
        <v>0</v>
      </c>
      <c r="R15" s="161">
        <f t="shared" si="1"/>
        <v>0</v>
      </c>
      <c r="S15" s="161">
        <f>SUMIF($F$2:F15,F15,$R$2:R15)</f>
        <v>0</v>
      </c>
      <c r="T15" s="163">
        <f t="shared" si="2"/>
        <v>51.612903225806448</v>
      </c>
      <c r="U15" s="161">
        <f t="shared" si="3"/>
        <v>0</v>
      </c>
      <c r="V15" s="161">
        <f>SUMIF($F$2:F15,F15,$U$2:U15)</f>
        <v>0</v>
      </c>
      <c r="W15" s="162">
        <f t="shared" si="4"/>
        <v>0.2046766569342916</v>
      </c>
      <c r="X15" s="162" t="str">
        <f t="shared" si="5"/>
        <v/>
      </c>
      <c r="Y15" s="162" t="str">
        <f t="shared" si="6"/>
        <v/>
      </c>
      <c r="Z15" s="163" t="str">
        <f>IFERROR(AVERAGEIF('Daily KPI'!D:D,Table14[[#This Row],[Month]],'Daily KPI'!AB:AB),"")</f>
        <v/>
      </c>
      <c r="AA15" s="160" t="str">
        <f>IFERROR(AVERAGEIF($F$2:F15,F15,$Z$2:Z15),"")</f>
        <v/>
      </c>
      <c r="AB15" s="161"/>
      <c r="AC15" s="157"/>
      <c r="AD15" s="155">
        <v>0.995</v>
      </c>
      <c r="AE15" s="155">
        <v>0.997</v>
      </c>
      <c r="AF15" s="162">
        <v>0.999</v>
      </c>
      <c r="AG15" s="162"/>
      <c r="AH15" s="162"/>
      <c r="AI15" s="162"/>
      <c r="AJ15" s="162"/>
      <c r="AK15" s="162"/>
      <c r="AL15" s="170"/>
      <c r="AM15" s="170"/>
      <c r="AN15" s="150">
        <v>10</v>
      </c>
      <c r="AW15" s="17">
        <v>1600000</v>
      </c>
      <c r="AX15" s="17">
        <f t="shared" si="7"/>
        <v>1600</v>
      </c>
    </row>
    <row r="16" spans="1:50">
      <c r="A16" s="157">
        <f t="shared" si="8"/>
        <v>15</v>
      </c>
      <c r="B16" s="157" t="str">
        <f t="shared" si="15"/>
        <v>June</v>
      </c>
      <c r="C16" s="150">
        <f t="shared" si="16"/>
        <v>6</v>
      </c>
      <c r="D16" s="151">
        <v>45078</v>
      </c>
      <c r="E16" s="152">
        <f t="shared" si="12"/>
        <v>2023</v>
      </c>
      <c r="F16" s="152" t="s">
        <v>133</v>
      </c>
      <c r="G16" s="150">
        <f t="shared" si="13"/>
        <v>30</v>
      </c>
      <c r="H16" s="153">
        <f t="shared" si="17"/>
        <v>140.16509583600001</v>
      </c>
      <c r="I16" s="153">
        <f t="shared" si="17"/>
        <v>157.11701856600001</v>
      </c>
      <c r="J16" s="150"/>
      <c r="K16" s="153">
        <f t="shared" si="18"/>
        <v>24.6998888888889</v>
      </c>
      <c r="L16" s="150"/>
      <c r="M16" s="154">
        <v>1140</v>
      </c>
      <c r="N16" s="153">
        <v>10.507</v>
      </c>
      <c r="O16" s="155">
        <f t="shared" si="0"/>
        <v>0.69056233902052355</v>
      </c>
      <c r="P16" s="156">
        <f t="shared" si="14"/>
        <v>5.2372339522000004</v>
      </c>
      <c r="Q16" s="150">
        <f>COUNTIFS('Daily KPI'!D:D,D16,'Daily KPI'!K:K,"&gt;0")</f>
        <v>0</v>
      </c>
      <c r="R16" s="154">
        <f t="shared" si="1"/>
        <v>0</v>
      </c>
      <c r="S16" s="154">
        <f>SUMIF($F$2:F16,F16,$R$2:R16)</f>
        <v>0</v>
      </c>
      <c r="T16" s="156">
        <f t="shared" si="2"/>
        <v>38</v>
      </c>
      <c r="U16" s="154">
        <f t="shared" si="3"/>
        <v>0</v>
      </c>
      <c r="V16" s="154">
        <f>SUMIF($F$2:F16,F16,$U$2:U16)</f>
        <v>0</v>
      </c>
      <c r="W16" s="155">
        <f t="shared" si="4"/>
        <v>0.15069318866787221</v>
      </c>
      <c r="X16" s="155" t="str">
        <f t="shared" si="5"/>
        <v/>
      </c>
      <c r="Y16" s="155" t="str">
        <f t="shared" si="6"/>
        <v/>
      </c>
      <c r="Z16" s="156" t="str">
        <f>IFERROR(AVERAGEIF('Daily KPI'!D:D,Table14[[#This Row],[Month]],'Daily KPI'!AB:AB),"")</f>
        <v/>
      </c>
      <c r="AA16" s="153" t="str">
        <f>IFERROR(AVERAGEIF($F$2:F16,F16,$Z$2:Z16),"")</f>
        <v/>
      </c>
      <c r="AB16" s="154"/>
      <c r="AC16" s="150"/>
      <c r="AD16" s="155">
        <v>0.995</v>
      </c>
      <c r="AE16" s="155">
        <v>0.997</v>
      </c>
      <c r="AF16" s="155">
        <v>0.999</v>
      </c>
      <c r="AG16" s="155"/>
      <c r="AH16" s="155"/>
      <c r="AI16" s="155"/>
      <c r="AJ16" s="155"/>
      <c r="AK16" s="155"/>
      <c r="AL16" s="170"/>
      <c r="AM16" s="170"/>
      <c r="AN16" s="150">
        <v>10</v>
      </c>
      <c r="AW16" s="17">
        <v>1140000</v>
      </c>
      <c r="AX16" s="17">
        <f t="shared" si="7"/>
        <v>1140</v>
      </c>
    </row>
    <row r="17" spans="1:50">
      <c r="A17" s="157">
        <f t="shared" si="8"/>
        <v>16</v>
      </c>
      <c r="B17" s="157" t="str">
        <f t="shared" si="15"/>
        <v>July</v>
      </c>
      <c r="C17" s="157">
        <f t="shared" si="16"/>
        <v>7</v>
      </c>
      <c r="D17" s="158">
        <v>45108</v>
      </c>
      <c r="E17" s="159">
        <f t="shared" si="12"/>
        <v>2023</v>
      </c>
      <c r="F17" s="159" t="s">
        <v>133</v>
      </c>
      <c r="G17" s="157">
        <f t="shared" si="13"/>
        <v>31</v>
      </c>
      <c r="H17" s="160">
        <f t="shared" si="17"/>
        <v>122.316202078</v>
      </c>
      <c r="I17" s="160">
        <f t="shared" si="17"/>
        <v>132.35283340000001</v>
      </c>
      <c r="J17" s="157"/>
      <c r="K17" s="160">
        <f t="shared" si="18"/>
        <v>23.799973118279599</v>
      </c>
      <c r="L17" s="157"/>
      <c r="M17" s="161">
        <v>990</v>
      </c>
      <c r="N17" s="160">
        <v>10.507</v>
      </c>
      <c r="O17" s="162">
        <f t="shared" si="0"/>
        <v>0.71190692786257448</v>
      </c>
      <c r="P17" s="163">
        <f t="shared" si="14"/>
        <v>4.2694462387096781</v>
      </c>
      <c r="Q17" s="157">
        <f>COUNTIFS('Daily KPI'!D:D,D17,'Daily KPI'!K:K,"&gt;0")</f>
        <v>0</v>
      </c>
      <c r="R17" s="161">
        <f t="shared" si="1"/>
        <v>0</v>
      </c>
      <c r="S17" s="161">
        <f>SUMIF($F$2:F17,F17,$R$2:R17)</f>
        <v>0</v>
      </c>
      <c r="T17" s="163">
        <f t="shared" si="2"/>
        <v>31.93548387096774</v>
      </c>
      <c r="U17" s="161">
        <f t="shared" si="3"/>
        <v>0</v>
      </c>
      <c r="V17" s="161">
        <f>SUMIF($F$2:F17,F17,$U$2:U17)</f>
        <v>0</v>
      </c>
      <c r="W17" s="162">
        <f t="shared" si="4"/>
        <v>0.12664368147809293</v>
      </c>
      <c r="X17" s="162" t="str">
        <f t="shared" si="5"/>
        <v/>
      </c>
      <c r="Y17" s="162" t="str">
        <f t="shared" si="6"/>
        <v/>
      </c>
      <c r="Z17" s="163" t="str">
        <f>IFERROR(AVERAGEIF('Daily KPI'!D:D,Table14[[#This Row],[Month]],'Daily KPI'!AB:AB),"")</f>
        <v/>
      </c>
      <c r="AA17" s="160" t="str">
        <f>IFERROR(AVERAGEIF($F$2:F17,F17,$Z$2:Z17),"")</f>
        <v/>
      </c>
      <c r="AB17" s="161"/>
      <c r="AC17" s="157"/>
      <c r="AD17" s="155">
        <v>0.995</v>
      </c>
      <c r="AE17" s="155">
        <v>0.997</v>
      </c>
      <c r="AF17" s="162">
        <v>0.999</v>
      </c>
      <c r="AG17" s="162"/>
      <c r="AH17" s="162"/>
      <c r="AI17" s="162"/>
      <c r="AJ17" s="162"/>
      <c r="AK17" s="162"/>
      <c r="AL17" s="170"/>
      <c r="AM17" s="170"/>
      <c r="AN17" s="150">
        <v>10</v>
      </c>
      <c r="AW17" s="17">
        <v>990000</v>
      </c>
      <c r="AX17" s="17">
        <f t="shared" si="7"/>
        <v>990</v>
      </c>
    </row>
    <row r="18" spans="1:50">
      <c r="A18" s="157">
        <f t="shared" si="8"/>
        <v>17</v>
      </c>
      <c r="B18" s="157" t="str">
        <f t="shared" si="15"/>
        <v>August</v>
      </c>
      <c r="C18" s="150">
        <f t="shared" si="16"/>
        <v>8</v>
      </c>
      <c r="D18" s="151">
        <v>45139</v>
      </c>
      <c r="E18" s="152">
        <f t="shared" si="9"/>
        <v>2023</v>
      </c>
      <c r="F18" s="152" t="s">
        <v>133</v>
      </c>
      <c r="G18" s="150">
        <f t="shared" si="10"/>
        <v>31</v>
      </c>
      <c r="H18" s="153">
        <f t="shared" si="17"/>
        <v>126.292838231</v>
      </c>
      <c r="I18" s="153">
        <f t="shared" si="17"/>
        <v>137.84953686200001</v>
      </c>
      <c r="J18" s="150"/>
      <c r="K18" s="153">
        <f t="shared" si="18"/>
        <v>23.600053763440901</v>
      </c>
      <c r="L18" s="150"/>
      <c r="M18" s="154">
        <v>1040</v>
      </c>
      <c r="N18" s="153">
        <v>10.507</v>
      </c>
      <c r="O18" s="155">
        <f t="shared" si="0"/>
        <v>0.71804108701876235</v>
      </c>
      <c r="P18" s="156">
        <f t="shared" si="11"/>
        <v>4.4467592536129033</v>
      </c>
      <c r="Q18" s="150">
        <f>COUNTIFS('Daily KPI'!D:D,D18,'Daily KPI'!K:K,"&gt;0")</f>
        <v>0</v>
      </c>
      <c r="R18" s="154">
        <f t="shared" si="1"/>
        <v>0</v>
      </c>
      <c r="S18" s="154">
        <f>SUMIF($F$2:F18,F18,$R$2:R18)</f>
        <v>0</v>
      </c>
      <c r="T18" s="156">
        <f t="shared" si="2"/>
        <v>33.548387096774192</v>
      </c>
      <c r="U18" s="154">
        <f t="shared" si="3"/>
        <v>0</v>
      </c>
      <c r="V18" s="154">
        <f>SUMIF($F$2:F18,F18,$U$2:U18)</f>
        <v>0</v>
      </c>
      <c r="W18" s="155">
        <f t="shared" si="4"/>
        <v>0.13303982700728956</v>
      </c>
      <c r="X18" s="155" t="str">
        <f t="shared" si="5"/>
        <v/>
      </c>
      <c r="Y18" s="155" t="str">
        <f t="shared" si="6"/>
        <v/>
      </c>
      <c r="Z18" s="156" t="str">
        <f>IFERROR(AVERAGEIF('Daily KPI'!D:D,Table14[[#This Row],[Month]],'Daily KPI'!AB:AB),"")</f>
        <v/>
      </c>
      <c r="AA18" s="153" t="str">
        <f>IFERROR(AVERAGEIF($F$2:F18,F18,$Z$2:Z18),"")</f>
        <v/>
      </c>
      <c r="AB18" s="154"/>
      <c r="AC18" s="150"/>
      <c r="AD18" s="155">
        <v>0.995</v>
      </c>
      <c r="AE18" s="155">
        <v>0.997</v>
      </c>
      <c r="AF18" s="155">
        <v>0.999</v>
      </c>
      <c r="AG18" s="155"/>
      <c r="AH18" s="155"/>
      <c r="AI18" s="155"/>
      <c r="AJ18" s="155"/>
      <c r="AK18" s="155"/>
      <c r="AL18" s="170"/>
      <c r="AM18" s="170"/>
      <c r="AN18" s="150">
        <v>10</v>
      </c>
      <c r="AW18" s="17">
        <v>1040000</v>
      </c>
      <c r="AX18" s="17">
        <f t="shared" si="7"/>
        <v>1040</v>
      </c>
    </row>
    <row r="19" spans="1:50">
      <c r="A19" s="157">
        <f t="shared" si="8"/>
        <v>18</v>
      </c>
      <c r="B19" s="157" t="str">
        <f t="shared" si="15"/>
        <v>September</v>
      </c>
      <c r="C19" s="157">
        <f t="shared" si="16"/>
        <v>9</v>
      </c>
      <c r="D19" s="158">
        <v>45170</v>
      </c>
      <c r="E19" s="159">
        <f t="shared" si="9"/>
        <v>2023</v>
      </c>
      <c r="F19" s="159" t="s">
        <v>133</v>
      </c>
      <c r="G19" s="157">
        <f t="shared" si="10"/>
        <v>30</v>
      </c>
      <c r="H19" s="160">
        <f t="shared" si="17"/>
        <v>144.04474673300001</v>
      </c>
      <c r="I19" s="160">
        <f t="shared" si="17"/>
        <v>163.040458202</v>
      </c>
      <c r="J19" s="157"/>
      <c r="K19" s="160">
        <f t="shared" si="18"/>
        <v>23.700138888888901</v>
      </c>
      <c r="L19" s="157"/>
      <c r="M19" s="161">
        <v>1180</v>
      </c>
      <c r="N19" s="160">
        <v>10.507</v>
      </c>
      <c r="O19" s="162">
        <f t="shared" si="0"/>
        <v>0.6888233932752047</v>
      </c>
      <c r="P19" s="163">
        <f t="shared" si="11"/>
        <v>5.4346819400666666</v>
      </c>
      <c r="Q19" s="157">
        <f>COUNTIFS('Daily KPI'!D:D,D19,'Daily KPI'!K:K,"&gt;0")</f>
        <v>0</v>
      </c>
      <c r="R19" s="161">
        <f t="shared" si="1"/>
        <v>0</v>
      </c>
      <c r="S19" s="161">
        <f>SUMIF($F$2:F19,F19,$R$2:R19)</f>
        <v>0</v>
      </c>
      <c r="T19" s="163">
        <f t="shared" si="2"/>
        <v>39.333333333333336</v>
      </c>
      <c r="U19" s="161">
        <f t="shared" si="3"/>
        <v>0</v>
      </c>
      <c r="V19" s="161">
        <f>SUMIF($F$2:F19,F19,$U$2:U19)</f>
        <v>0</v>
      </c>
      <c r="W19" s="162">
        <f t="shared" si="4"/>
        <v>0.15598066897200807</v>
      </c>
      <c r="X19" s="162" t="str">
        <f t="shared" si="5"/>
        <v/>
      </c>
      <c r="Y19" s="162" t="str">
        <f t="shared" si="6"/>
        <v/>
      </c>
      <c r="Z19" s="163" t="str">
        <f>IFERROR(AVERAGEIF('Daily KPI'!D:D,Table14[[#This Row],[Month]],'Daily KPI'!AB:AB),"")</f>
        <v/>
      </c>
      <c r="AA19" s="160" t="str">
        <f>IFERROR(AVERAGEIF($F$2:F19,F19,$Z$2:Z19),"")</f>
        <v/>
      </c>
      <c r="AB19" s="161"/>
      <c r="AC19" s="157"/>
      <c r="AD19" s="155">
        <v>0.995</v>
      </c>
      <c r="AE19" s="155">
        <v>0.997</v>
      </c>
      <c r="AF19" s="162">
        <v>0.999</v>
      </c>
      <c r="AG19" s="162"/>
      <c r="AH19" s="162"/>
      <c r="AI19" s="162"/>
      <c r="AJ19" s="162"/>
      <c r="AK19" s="162"/>
      <c r="AL19" s="170"/>
      <c r="AM19" s="170"/>
      <c r="AN19" s="150">
        <v>10</v>
      </c>
      <c r="AW19" s="17">
        <v>1180000</v>
      </c>
      <c r="AX19" s="17">
        <f t="shared" si="7"/>
        <v>1180</v>
      </c>
    </row>
    <row r="20" spans="1:50">
      <c r="A20" s="157">
        <f t="shared" si="8"/>
        <v>19</v>
      </c>
      <c r="B20" s="157" t="str">
        <f t="shared" si="15"/>
        <v>October</v>
      </c>
      <c r="C20" s="150">
        <f t="shared" si="16"/>
        <v>10</v>
      </c>
      <c r="D20" s="151">
        <v>45200</v>
      </c>
      <c r="E20" s="152">
        <f t="shared" si="9"/>
        <v>2023</v>
      </c>
      <c r="F20" s="152" t="s">
        <v>133</v>
      </c>
      <c r="G20" s="150">
        <f t="shared" si="10"/>
        <v>31</v>
      </c>
      <c r="H20" s="153">
        <f t="shared" si="17"/>
        <v>146.56699049400001</v>
      </c>
      <c r="I20" s="153">
        <f t="shared" si="17"/>
        <v>169.41865188</v>
      </c>
      <c r="J20" s="150"/>
      <c r="K20" s="153">
        <f t="shared" si="18"/>
        <v>23.399852150537601</v>
      </c>
      <c r="L20" s="150"/>
      <c r="M20" s="154">
        <v>1680</v>
      </c>
      <c r="N20" s="153">
        <v>10.507</v>
      </c>
      <c r="O20" s="155">
        <f t="shared" si="0"/>
        <v>0.94377686649473425</v>
      </c>
      <c r="P20" s="156">
        <f t="shared" si="11"/>
        <v>5.4651178025806448</v>
      </c>
      <c r="Q20" s="150">
        <f>COUNTIFS('Daily KPI'!D:D,D20,'Daily KPI'!K:K,"&gt;0")</f>
        <v>0</v>
      </c>
      <c r="R20" s="154">
        <f t="shared" si="1"/>
        <v>0</v>
      </c>
      <c r="S20" s="154">
        <f>SUMIF($F$2:F20,F20,$R$2:R20)</f>
        <v>0</v>
      </c>
      <c r="T20" s="156">
        <f t="shared" si="2"/>
        <v>54.193548387096776</v>
      </c>
      <c r="U20" s="154">
        <f t="shared" si="3"/>
        <v>0</v>
      </c>
      <c r="V20" s="154">
        <f>SUMIF($F$2:F20,F20,$U$2:U20)</f>
        <v>0</v>
      </c>
      <c r="W20" s="155">
        <f t="shared" si="4"/>
        <v>0.21491048978100621</v>
      </c>
      <c r="X20" s="155" t="str">
        <f t="shared" si="5"/>
        <v/>
      </c>
      <c r="Y20" s="155" t="str">
        <f t="shared" si="6"/>
        <v/>
      </c>
      <c r="Z20" s="156" t="str">
        <f>IFERROR(AVERAGEIF('Daily KPI'!D:D,Table14[[#This Row],[Month]],'Daily KPI'!AB:AB),"")</f>
        <v/>
      </c>
      <c r="AA20" s="153" t="str">
        <f>IFERROR(AVERAGEIF($F$2:F20,F20,$Z$2:Z20),"")</f>
        <v/>
      </c>
      <c r="AB20" s="154"/>
      <c r="AC20" s="150"/>
      <c r="AD20" s="155">
        <v>0.995</v>
      </c>
      <c r="AE20" s="155">
        <v>0.997</v>
      </c>
      <c r="AF20" s="155">
        <v>0.999</v>
      </c>
      <c r="AG20" s="155"/>
      <c r="AH20" s="155"/>
      <c r="AI20" s="155"/>
      <c r="AJ20" s="155"/>
      <c r="AK20" s="155"/>
      <c r="AL20" s="170"/>
      <c r="AM20" s="170"/>
      <c r="AN20" s="150">
        <v>10</v>
      </c>
      <c r="AW20" s="17">
        <v>1680000</v>
      </c>
      <c r="AX20" s="17">
        <f t="shared" si="7"/>
        <v>1680</v>
      </c>
    </row>
    <row r="21" spans="1:50">
      <c r="A21" s="157">
        <f t="shared" si="8"/>
        <v>20</v>
      </c>
      <c r="B21" s="157" t="str">
        <f t="shared" si="15"/>
        <v>November</v>
      </c>
      <c r="C21" s="157">
        <f t="shared" si="16"/>
        <v>11</v>
      </c>
      <c r="D21" s="158">
        <v>45231</v>
      </c>
      <c r="E21" s="159">
        <f t="shared" si="9"/>
        <v>2023</v>
      </c>
      <c r="F21" s="159" t="s">
        <v>133</v>
      </c>
      <c r="G21" s="157">
        <f t="shared" si="10"/>
        <v>30</v>
      </c>
      <c r="H21" s="160">
        <f t="shared" si="17"/>
        <v>136.383007733</v>
      </c>
      <c r="I21" s="160">
        <f t="shared" si="17"/>
        <v>157.92065503000001</v>
      </c>
      <c r="J21" s="157"/>
      <c r="K21" s="160">
        <f t="shared" si="18"/>
        <v>22.4999583333333</v>
      </c>
      <c r="L21" s="157"/>
      <c r="M21" s="161">
        <v>1530</v>
      </c>
      <c r="N21" s="160">
        <v>10.507</v>
      </c>
      <c r="O21" s="162">
        <f t="shared" si="0"/>
        <v>0.92209095477877201</v>
      </c>
      <c r="P21" s="163">
        <f t="shared" si="11"/>
        <v>5.2640218343333336</v>
      </c>
      <c r="Q21" s="157">
        <f>COUNTIFS('Daily KPI'!D:D,D21,'Daily KPI'!K:K,"&gt;0")</f>
        <v>0</v>
      </c>
      <c r="R21" s="161">
        <f t="shared" si="1"/>
        <v>0</v>
      </c>
      <c r="S21" s="161">
        <f>SUMIF($F$2:F21,F21,$R$2:R21)</f>
        <v>0</v>
      </c>
      <c r="T21" s="163">
        <f t="shared" si="2"/>
        <v>51</v>
      </c>
      <c r="U21" s="161">
        <f t="shared" si="3"/>
        <v>0</v>
      </c>
      <c r="V21" s="161">
        <f>SUMIF($F$2:F21,F21,$U$2:U21)</f>
        <v>0</v>
      </c>
      <c r="W21" s="162">
        <f t="shared" si="4"/>
        <v>0.20224612163319691</v>
      </c>
      <c r="X21" s="162" t="str">
        <f t="shared" si="5"/>
        <v/>
      </c>
      <c r="Y21" s="162" t="str">
        <f t="shared" si="6"/>
        <v/>
      </c>
      <c r="Z21" s="163" t="str">
        <f>IFERROR(AVERAGEIF('Daily KPI'!D:D,Table14[[#This Row],[Month]],'Daily KPI'!AB:AB),"")</f>
        <v/>
      </c>
      <c r="AA21" s="160" t="str">
        <f>IFERROR(AVERAGEIF($F$2:F21,F21,$Z$2:Z21),"")</f>
        <v/>
      </c>
      <c r="AB21" s="161"/>
      <c r="AC21" s="157"/>
      <c r="AD21" s="155">
        <v>0.995</v>
      </c>
      <c r="AE21" s="155">
        <v>0.997</v>
      </c>
      <c r="AF21" s="162">
        <v>0.999</v>
      </c>
      <c r="AG21" s="162"/>
      <c r="AH21" s="162"/>
      <c r="AI21" s="162"/>
      <c r="AJ21" s="162"/>
      <c r="AK21" s="162"/>
      <c r="AL21" s="170"/>
      <c r="AM21" s="170"/>
      <c r="AN21" s="150">
        <v>10</v>
      </c>
      <c r="AW21" s="17">
        <v>1530000</v>
      </c>
      <c r="AX21" s="17">
        <f t="shared" si="7"/>
        <v>1530</v>
      </c>
    </row>
    <row r="22" spans="1:50">
      <c r="A22" s="157">
        <f t="shared" si="8"/>
        <v>21</v>
      </c>
      <c r="B22" s="157" t="str">
        <f t="shared" si="15"/>
        <v>December</v>
      </c>
      <c r="C22" s="150">
        <f t="shared" si="16"/>
        <v>12</v>
      </c>
      <c r="D22" s="151">
        <v>45261</v>
      </c>
      <c r="E22" s="152">
        <f t="shared" si="9"/>
        <v>2023</v>
      </c>
      <c r="F22" s="152" t="s">
        <v>133</v>
      </c>
      <c r="G22" s="150">
        <f t="shared" si="10"/>
        <v>31</v>
      </c>
      <c r="H22" s="153">
        <f t="shared" si="17"/>
        <v>149.379282394</v>
      </c>
      <c r="I22" s="153">
        <f t="shared" si="17"/>
        <v>175.80240230000001</v>
      </c>
      <c r="J22" s="150"/>
      <c r="K22" s="153">
        <f t="shared" si="18"/>
        <v>21.492970430107501</v>
      </c>
      <c r="L22" s="150"/>
      <c r="M22" s="154">
        <v>1760</v>
      </c>
      <c r="N22" s="153">
        <v>10.507</v>
      </c>
      <c r="O22" s="155">
        <f t="shared" si="0"/>
        <v>0.95281619502092707</v>
      </c>
      <c r="P22" s="156">
        <f t="shared" si="11"/>
        <v>5.671045235483871</v>
      </c>
      <c r="Q22" s="150">
        <f>COUNTIFS('Daily KPI'!D:D,D22,'Daily KPI'!K:K,"&gt;0")</f>
        <v>0</v>
      </c>
      <c r="R22" s="154">
        <f t="shared" si="1"/>
        <v>0</v>
      </c>
      <c r="S22" s="154">
        <f>SUMIF($F$2:F22,F22,$R$2:R22)</f>
        <v>0</v>
      </c>
      <c r="T22" s="156">
        <f t="shared" si="2"/>
        <v>56.774193548387096</v>
      </c>
      <c r="U22" s="154">
        <f t="shared" si="3"/>
        <v>0</v>
      </c>
      <c r="V22" s="154">
        <f>SUMIF($F$2:F22,F22,$U$2:U22)</f>
        <v>0</v>
      </c>
      <c r="W22" s="155">
        <f t="shared" si="4"/>
        <v>0.22514432262772077</v>
      </c>
      <c r="X22" s="155" t="str">
        <f t="shared" si="5"/>
        <v/>
      </c>
      <c r="Y22" s="155" t="str">
        <f t="shared" si="6"/>
        <v/>
      </c>
      <c r="Z22" s="156" t="str">
        <f>IFERROR(AVERAGEIF('Daily KPI'!D:D,Table14[[#This Row],[Month]],'Daily KPI'!AB:AB),"")</f>
        <v/>
      </c>
      <c r="AA22" s="153" t="str">
        <f>IFERROR(AVERAGEIF($F$2:F22,F22,$Z$2:Z22),"")</f>
        <v/>
      </c>
      <c r="AB22" s="154"/>
      <c r="AC22" s="150"/>
      <c r="AD22" s="155">
        <v>0.995</v>
      </c>
      <c r="AE22" s="155">
        <v>0.997</v>
      </c>
      <c r="AF22" s="155">
        <v>0.999</v>
      </c>
      <c r="AG22" s="155"/>
      <c r="AH22" s="155"/>
      <c r="AI22" s="155"/>
      <c r="AJ22" s="155"/>
      <c r="AK22" s="155"/>
      <c r="AL22" s="170"/>
      <c r="AM22" s="170"/>
      <c r="AN22" s="150">
        <v>10</v>
      </c>
      <c r="AW22" s="17">
        <v>1760000</v>
      </c>
      <c r="AX22" s="17">
        <f t="shared" si="7"/>
        <v>1760</v>
      </c>
    </row>
    <row r="23" spans="1:50">
      <c r="A23" s="157">
        <f t="shared" si="8"/>
        <v>22</v>
      </c>
      <c r="B23" s="157" t="str">
        <f t="shared" si="15"/>
        <v>January</v>
      </c>
      <c r="C23" s="157">
        <f t="shared" si="16"/>
        <v>1</v>
      </c>
      <c r="D23" s="158">
        <v>45292</v>
      </c>
      <c r="E23" s="159">
        <f t="shared" si="9"/>
        <v>2024</v>
      </c>
      <c r="F23" s="159" t="s">
        <v>133</v>
      </c>
      <c r="G23" s="157">
        <f t="shared" si="10"/>
        <v>31</v>
      </c>
      <c r="H23" s="160">
        <f t="shared" si="17"/>
        <v>172.65914562399999</v>
      </c>
      <c r="I23" s="160">
        <f t="shared" si="17"/>
        <v>210.74158696000001</v>
      </c>
      <c r="J23" s="157"/>
      <c r="K23" s="160">
        <f t="shared" si="18"/>
        <v>22.099986559139801</v>
      </c>
      <c r="L23" s="157"/>
      <c r="M23" s="161">
        <v>2110</v>
      </c>
      <c r="N23" s="160">
        <v>10.507</v>
      </c>
      <c r="O23" s="162">
        <f t="shared" si="0"/>
        <v>0.9529134939521775</v>
      </c>
      <c r="P23" s="163">
        <f t="shared" si="11"/>
        <v>6.7981157083870967</v>
      </c>
      <c r="Q23" s="157">
        <f>COUNTIFS('Daily KPI'!D:D,D23,'Daily KPI'!K:K,"&gt;0")</f>
        <v>0</v>
      </c>
      <c r="R23" s="161">
        <f t="shared" si="1"/>
        <v>0</v>
      </c>
      <c r="S23" s="161">
        <f>SUMIF($F$2:F23,F23,$R$2:R23)</f>
        <v>0</v>
      </c>
      <c r="T23" s="163">
        <f t="shared" si="2"/>
        <v>68.064516129032256</v>
      </c>
      <c r="U23" s="161">
        <f t="shared" si="3"/>
        <v>0</v>
      </c>
      <c r="V23" s="161">
        <f>SUMIF($F$2:F23,F23,$U$2:U23)</f>
        <v>0</v>
      </c>
      <c r="W23" s="162">
        <f t="shared" si="4"/>
        <v>0.26991734133209705</v>
      </c>
      <c r="X23" s="162" t="str">
        <f t="shared" si="5"/>
        <v/>
      </c>
      <c r="Y23" s="162" t="str">
        <f t="shared" si="6"/>
        <v/>
      </c>
      <c r="Z23" s="163" t="str">
        <f>IFERROR(AVERAGEIF('Daily KPI'!D:D,Table14[[#This Row],[Month]],'Daily KPI'!AB:AB),"")</f>
        <v/>
      </c>
      <c r="AA23" s="160" t="str">
        <f>IFERROR(AVERAGEIF($F$2:F23,F23,$Z$2:Z23),"")</f>
        <v/>
      </c>
      <c r="AB23" s="161"/>
      <c r="AC23" s="157"/>
      <c r="AD23" s="155">
        <v>0.995</v>
      </c>
      <c r="AE23" s="155">
        <v>0.997</v>
      </c>
      <c r="AF23" s="162">
        <v>0.999</v>
      </c>
      <c r="AG23" s="162"/>
      <c r="AH23" s="162"/>
      <c r="AI23" s="162"/>
      <c r="AJ23" s="162"/>
      <c r="AK23" s="162"/>
      <c r="AL23" s="170"/>
      <c r="AM23" s="170"/>
      <c r="AN23" s="150">
        <v>10</v>
      </c>
      <c r="AW23" s="17">
        <v>2110000</v>
      </c>
      <c r="AX23" s="17">
        <f t="shared" si="7"/>
        <v>2110</v>
      </c>
    </row>
    <row r="24" spans="1:50">
      <c r="A24" s="157">
        <f t="shared" si="8"/>
        <v>23</v>
      </c>
      <c r="B24" s="157" t="str">
        <f t="shared" si="15"/>
        <v>February</v>
      </c>
      <c r="C24" s="150">
        <f t="shared" si="16"/>
        <v>2</v>
      </c>
      <c r="D24" s="151">
        <v>45323</v>
      </c>
      <c r="E24" s="152">
        <f>YEAR(D24)</f>
        <v>2024</v>
      </c>
      <c r="F24" s="152" t="s">
        <v>133</v>
      </c>
      <c r="G24" s="150">
        <f>DAY(EOMONTH(D24,0))</f>
        <v>29</v>
      </c>
      <c r="H24" s="153">
        <f t="shared" si="17"/>
        <v>174.40611465399999</v>
      </c>
      <c r="I24" s="153">
        <f t="shared" si="17"/>
        <v>212.78878262999999</v>
      </c>
      <c r="J24" s="150"/>
      <c r="K24" s="153">
        <f t="shared" si="18"/>
        <v>24.199895833333301</v>
      </c>
      <c r="L24" s="150"/>
      <c r="M24" s="154">
        <v>1960</v>
      </c>
      <c r="N24" s="153">
        <v>10.507</v>
      </c>
      <c r="O24" s="155">
        <f t="shared" si="0"/>
        <v>0.87665478802177133</v>
      </c>
      <c r="P24" s="156">
        <f>I24/G24</f>
        <v>7.3375442286206889</v>
      </c>
      <c r="Q24" s="150">
        <f>COUNTIFS('Daily KPI'!D:D,D24,'Daily KPI'!K:K,"&gt;0")</f>
        <v>0</v>
      </c>
      <c r="R24" s="154">
        <f t="shared" si="1"/>
        <v>0</v>
      </c>
      <c r="S24" s="154">
        <f>SUMIF($F$2:F24,F24,$R$2:R24)</f>
        <v>0</v>
      </c>
      <c r="T24" s="156">
        <f t="shared" si="2"/>
        <v>67.58620689655173</v>
      </c>
      <c r="U24" s="154">
        <f t="shared" si="3"/>
        <v>0</v>
      </c>
      <c r="V24" s="154">
        <f>SUMIF($F$2:F24,F24,$U$2:U24)</f>
        <v>0</v>
      </c>
      <c r="W24" s="155">
        <f t="shared" si="4"/>
        <v>0.26802055334757674</v>
      </c>
      <c r="X24" s="155" t="str">
        <f t="shared" si="5"/>
        <v/>
      </c>
      <c r="Y24" s="155" t="str">
        <f t="shared" si="6"/>
        <v/>
      </c>
      <c r="Z24" s="156" t="str">
        <f>IFERROR(AVERAGEIF('Daily KPI'!D:D,Table14[[#This Row],[Month]],'Daily KPI'!AB:AB),"")</f>
        <v/>
      </c>
      <c r="AA24" s="153" t="str">
        <f>IFERROR(AVERAGEIF($F$2:F24,F24,$Z$2:Z24),"")</f>
        <v/>
      </c>
      <c r="AB24" s="154"/>
      <c r="AC24" s="150"/>
      <c r="AD24" s="155">
        <v>0.995</v>
      </c>
      <c r="AE24" s="155">
        <v>0.997</v>
      </c>
      <c r="AF24" s="155">
        <v>0.999</v>
      </c>
      <c r="AG24" s="155"/>
      <c r="AH24" s="155"/>
      <c r="AI24" s="155"/>
      <c r="AJ24" s="155"/>
      <c r="AK24" s="155"/>
      <c r="AL24" s="170"/>
      <c r="AM24" s="170"/>
      <c r="AN24" s="150">
        <v>10</v>
      </c>
      <c r="AW24" s="17">
        <v>1960000</v>
      </c>
      <c r="AX24" s="17">
        <f t="shared" si="7"/>
        <v>1960</v>
      </c>
    </row>
    <row r="25" spans="1:50">
      <c r="A25" s="157">
        <f t="shared" si="8"/>
        <v>24</v>
      </c>
      <c r="B25" s="157" t="str">
        <f t="shared" si="15"/>
        <v>March</v>
      </c>
      <c r="C25" s="157">
        <f t="shared" si="16"/>
        <v>3</v>
      </c>
      <c r="D25" s="158">
        <v>45352</v>
      </c>
      <c r="E25" s="159">
        <f>YEAR(D25)</f>
        <v>2024</v>
      </c>
      <c r="F25" s="159" t="s">
        <v>133</v>
      </c>
      <c r="G25" s="157">
        <f>DAY(EOMONTH(D25,0))</f>
        <v>31</v>
      </c>
      <c r="H25" s="160">
        <f t="shared" si="17"/>
        <v>205.44670140700001</v>
      </c>
      <c r="I25" s="160">
        <f t="shared" si="17"/>
        <v>247.38205597800001</v>
      </c>
      <c r="J25" s="157"/>
      <c r="K25" s="160">
        <f t="shared" si="18"/>
        <v>26.700255376344099</v>
      </c>
      <c r="L25" s="157"/>
      <c r="M25" s="161">
        <v>2400</v>
      </c>
      <c r="N25" s="160">
        <v>10.507</v>
      </c>
      <c r="O25" s="162">
        <f t="shared" si="0"/>
        <v>0.92334566561684284</v>
      </c>
      <c r="P25" s="163">
        <f>I25/G25</f>
        <v>7.980066321870968</v>
      </c>
      <c r="Q25" s="157">
        <f>COUNTIFS('Daily KPI'!D:D,D25,'Daily KPI'!K:K,"&gt;0")</f>
        <v>0</v>
      </c>
      <c r="R25" s="161">
        <f t="shared" si="1"/>
        <v>0</v>
      </c>
      <c r="S25" s="161">
        <f>SUMIF($F$2:F25,F25,$R$2:R25)</f>
        <v>0</v>
      </c>
      <c r="T25" s="163">
        <f t="shared" si="2"/>
        <v>77.41935483870968</v>
      </c>
      <c r="U25" s="161">
        <f t="shared" si="3"/>
        <v>0</v>
      </c>
      <c r="V25" s="161">
        <f>SUMIF($F$2:F25,F25,$U$2:U25)</f>
        <v>0</v>
      </c>
      <c r="W25" s="162">
        <f t="shared" si="4"/>
        <v>0.30701498540143746</v>
      </c>
      <c r="X25" s="162" t="str">
        <f t="shared" si="5"/>
        <v/>
      </c>
      <c r="Y25" s="162" t="str">
        <f t="shared" si="6"/>
        <v/>
      </c>
      <c r="Z25" s="163" t="str">
        <f>IFERROR(AVERAGEIF('Daily KPI'!D:D,Table14[[#This Row],[Month]],'Daily KPI'!AB:AB),"")</f>
        <v/>
      </c>
      <c r="AA25" s="160" t="str">
        <f>IFERROR(AVERAGEIF($F$2:F25,F25,$Z$2:Z25),"")</f>
        <v/>
      </c>
      <c r="AB25" s="161"/>
      <c r="AC25" s="157"/>
      <c r="AD25" s="155">
        <v>0.995</v>
      </c>
      <c r="AE25" s="155">
        <v>0.997</v>
      </c>
      <c r="AF25" s="162">
        <v>0.999</v>
      </c>
      <c r="AG25" s="162"/>
      <c r="AH25" s="162"/>
      <c r="AI25" s="162"/>
      <c r="AJ25" s="162"/>
      <c r="AK25" s="162"/>
      <c r="AL25" s="170"/>
      <c r="AM25" s="170"/>
      <c r="AN25" s="150">
        <v>10</v>
      </c>
      <c r="AW25" s="17">
        <v>2400000</v>
      </c>
      <c r="AX25" s="17">
        <f t="shared" si="7"/>
        <v>2400</v>
      </c>
    </row>
    <row r="26" spans="1:50">
      <c r="A26" s="157">
        <f t="shared" si="8"/>
        <v>25</v>
      </c>
      <c r="B26" s="157" t="str">
        <f t="shared" si="15"/>
        <v>April</v>
      </c>
      <c r="C26" s="150">
        <v>4</v>
      </c>
      <c r="D26" s="151">
        <v>45383</v>
      </c>
      <c r="E26" s="152">
        <f t="shared" ref="E26:E39" si="19">YEAR(D26)</f>
        <v>2024</v>
      </c>
      <c r="F26" s="152" t="s">
        <v>134</v>
      </c>
      <c r="G26" s="150">
        <f t="shared" ref="G26:G39" si="20">DAY(EOMONTH(D26,0))</f>
        <v>30</v>
      </c>
      <c r="H26" s="153">
        <f t="shared" si="17"/>
        <v>192.739203312</v>
      </c>
      <c r="I26" s="153">
        <f t="shared" si="17"/>
        <v>227.68820475999999</v>
      </c>
      <c r="J26" s="150"/>
      <c r="K26" s="153">
        <f t="shared" si="18"/>
        <v>27.499986111111099</v>
      </c>
      <c r="L26" s="150"/>
      <c r="M26" s="154">
        <v>1598.2</v>
      </c>
      <c r="N26" s="153">
        <v>10.507</v>
      </c>
      <c r="O26" s="155">
        <f t="shared" si="0"/>
        <v>0.66805444997729269</v>
      </c>
      <c r="P26" s="156">
        <f t="shared" ref="P26:P39" si="21">I26/G26</f>
        <v>7.5896068253333331</v>
      </c>
      <c r="Q26" s="150">
        <f>COUNTIFS('Daily KPI'!D:D,D26,'Daily KPI'!K:K,"&gt;0")</f>
        <v>0</v>
      </c>
      <c r="R26" s="154">
        <f t="shared" si="1"/>
        <v>0</v>
      </c>
      <c r="S26" s="154">
        <f>SUMIF($F$2:F26,F26,$R$2:R26)</f>
        <v>0</v>
      </c>
      <c r="T26" s="156">
        <f t="shared" si="2"/>
        <v>53.273333333333333</v>
      </c>
      <c r="U26" s="154">
        <f t="shared" si="3"/>
        <v>0</v>
      </c>
      <c r="V26" s="154">
        <f>SUMIF($F$2:F26,F26,$U$2:U26)</f>
        <v>0</v>
      </c>
      <c r="W26" s="155">
        <f t="shared" si="4"/>
        <v>0.21126127555174856</v>
      </c>
      <c r="X26" s="155" t="str">
        <f t="shared" si="5"/>
        <v/>
      </c>
      <c r="Y26" s="155" t="str">
        <f t="shared" si="6"/>
        <v/>
      </c>
      <c r="Z26" s="156" t="str">
        <f>IFERROR(AVERAGEIF('Daily KPI'!D:D,Table14[[#This Row],[Month]],'Daily KPI'!AB:AB),"")</f>
        <v/>
      </c>
      <c r="AA26" s="153" t="str">
        <f>IFERROR(AVERAGEIF($F$2:F26,F26,$Z$2:Z26),"")</f>
        <v/>
      </c>
      <c r="AB26" s="154"/>
      <c r="AC26" s="150"/>
      <c r="AD26" s="155">
        <v>0.995</v>
      </c>
      <c r="AE26" s="155">
        <v>0.997</v>
      </c>
      <c r="AF26" s="155">
        <v>0.999</v>
      </c>
      <c r="AG26" s="155"/>
      <c r="AH26" s="155"/>
      <c r="AI26" s="155"/>
      <c r="AJ26" s="155"/>
      <c r="AK26" s="155"/>
      <c r="AL26" s="170"/>
      <c r="AM26" s="170"/>
      <c r="AN26" s="150">
        <v>10</v>
      </c>
      <c r="AW26" s="17">
        <v>1598200</v>
      </c>
      <c r="AX26" s="17">
        <f t="shared" si="7"/>
        <v>1598.2</v>
      </c>
    </row>
    <row r="27" spans="1:50">
      <c r="A27" s="157">
        <f t="shared" si="8"/>
        <v>26</v>
      </c>
      <c r="B27" s="157" t="str">
        <f t="shared" si="15"/>
        <v>May</v>
      </c>
      <c r="C27" s="157">
        <v>5</v>
      </c>
      <c r="D27" s="158">
        <v>45413</v>
      </c>
      <c r="E27" s="159">
        <f t="shared" si="19"/>
        <v>2024</v>
      </c>
      <c r="F27" s="159" t="s">
        <v>134</v>
      </c>
      <c r="G27" s="157">
        <f t="shared" si="20"/>
        <v>31</v>
      </c>
      <c r="H27" s="160">
        <f t="shared" si="17"/>
        <v>184.493365135</v>
      </c>
      <c r="I27" s="160">
        <f t="shared" si="17"/>
        <v>215.544309645</v>
      </c>
      <c r="J27" s="157"/>
      <c r="K27" s="160">
        <f t="shared" si="18"/>
        <v>26.7000806451613</v>
      </c>
      <c r="L27" s="157"/>
      <c r="M27" s="161">
        <v>1587.9</v>
      </c>
      <c r="N27" s="160">
        <v>10.507</v>
      </c>
      <c r="O27" s="162">
        <f t="shared" si="0"/>
        <v>0.70114502116886623</v>
      </c>
      <c r="P27" s="163">
        <f t="shared" si="21"/>
        <v>6.9530422466129034</v>
      </c>
      <c r="Q27" s="157">
        <f>COUNTIFS('Daily KPI'!D:D,D27,'Daily KPI'!K:K,"&gt;0")</f>
        <v>0</v>
      </c>
      <c r="R27" s="161">
        <f t="shared" si="1"/>
        <v>0</v>
      </c>
      <c r="S27" s="161">
        <f>SUMIF($F$2:F27,F27,$R$2:R27)</f>
        <v>0</v>
      </c>
      <c r="T27" s="163">
        <f t="shared" si="2"/>
        <v>51.222580645161294</v>
      </c>
      <c r="U27" s="161">
        <f t="shared" si="3"/>
        <v>0</v>
      </c>
      <c r="V27" s="161">
        <f>SUMIF($F$2:F27,F27,$U$2:U27)</f>
        <v>0</v>
      </c>
      <c r="W27" s="162">
        <f t="shared" si="4"/>
        <v>0.20312878971622605</v>
      </c>
      <c r="X27" s="162" t="str">
        <f t="shared" si="5"/>
        <v/>
      </c>
      <c r="Y27" s="162" t="str">
        <f t="shared" si="6"/>
        <v/>
      </c>
      <c r="Z27" s="163" t="str">
        <f>IFERROR(AVERAGEIF('Daily KPI'!D:D,Table14[[#This Row],[Month]],'Daily KPI'!AB:AB),"")</f>
        <v/>
      </c>
      <c r="AA27" s="160" t="str">
        <f>IFERROR(AVERAGEIF($F$2:F27,F27,$Z$2:Z27),"")</f>
        <v/>
      </c>
      <c r="AB27" s="161"/>
      <c r="AC27" s="157"/>
      <c r="AD27" s="155">
        <v>0.995</v>
      </c>
      <c r="AE27" s="155">
        <v>0.997</v>
      </c>
      <c r="AF27" s="162">
        <v>0.999</v>
      </c>
      <c r="AG27" s="162"/>
      <c r="AH27" s="162"/>
      <c r="AI27" s="162"/>
      <c r="AJ27" s="162"/>
      <c r="AK27" s="162"/>
      <c r="AL27" s="170"/>
      <c r="AM27" s="170"/>
      <c r="AN27" s="150">
        <v>10</v>
      </c>
      <c r="AW27" s="17">
        <v>1587900</v>
      </c>
      <c r="AX27" s="17">
        <f t="shared" si="7"/>
        <v>1587.9</v>
      </c>
    </row>
    <row r="28" spans="1:50">
      <c r="A28" s="157">
        <f t="shared" si="8"/>
        <v>27</v>
      </c>
      <c r="B28" s="157" t="str">
        <f t="shared" si="15"/>
        <v>June</v>
      </c>
      <c r="C28" s="157">
        <v>6</v>
      </c>
      <c r="D28" s="158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53">
        <f t="shared" si="17"/>
        <v>140.16509583600001</v>
      </c>
      <c r="I28" s="153">
        <f t="shared" si="17"/>
        <v>157.11701856600001</v>
      </c>
      <c r="K28" s="153">
        <f t="shared" si="18"/>
        <v>24.6998888888889</v>
      </c>
      <c r="M28" s="38">
        <v>1131.5999999999999</v>
      </c>
      <c r="N28" s="25">
        <v>10.507</v>
      </c>
      <c r="O28" s="138">
        <f t="shared" si="0"/>
        <v>0.68547398494353018</v>
      </c>
      <c r="P28" s="24">
        <f t="shared" si="21"/>
        <v>5.2372339522000004</v>
      </c>
      <c r="Q28" s="17">
        <f>COUNTIFS('Daily KPI'!D:D,D28,'Daily KPI'!K:K,"&gt;0")</f>
        <v>0</v>
      </c>
      <c r="R28" s="38">
        <f t="shared" si="1"/>
        <v>0</v>
      </c>
      <c r="S28" s="38">
        <f>SUMIF($F$2:F28,F28,$R$2:R28)</f>
        <v>0</v>
      </c>
      <c r="T28" s="24">
        <f t="shared" si="2"/>
        <v>37.72</v>
      </c>
      <c r="U28" s="38">
        <f t="shared" si="3"/>
        <v>0</v>
      </c>
      <c r="V28" s="38">
        <f>SUMIF($F$2:F28,F28,$U$2:U28)</f>
        <v>0</v>
      </c>
      <c r="W28" s="164">
        <f t="shared" si="4"/>
        <v>0.14958281780400368</v>
      </c>
      <c r="X28" s="164" t="str">
        <f t="shared" si="5"/>
        <v/>
      </c>
      <c r="Y28" s="164" t="str">
        <f t="shared" si="6"/>
        <v/>
      </c>
      <c r="Z28" s="24" t="str">
        <f>IFERROR(AVERAGEIF('Daily KPI'!D:D,Table14[[#This Row],[Month]],'Daily KPI'!AB:AB),"")</f>
        <v/>
      </c>
      <c r="AA28" s="25" t="str">
        <f>IFERROR(AVERAGEIF($F$2:F28,F28,$Z$2:Z28),"")</f>
        <v/>
      </c>
      <c r="AD28" s="155">
        <v>0.995</v>
      </c>
      <c r="AE28" s="155">
        <v>0.997</v>
      </c>
      <c r="AF28" s="164">
        <v>0.999</v>
      </c>
      <c r="AG28" s="164"/>
      <c r="AH28" s="164"/>
      <c r="AI28" s="164"/>
      <c r="AJ28" s="164"/>
      <c r="AK28" s="164"/>
      <c r="AL28" s="170"/>
      <c r="AM28" s="170"/>
      <c r="AN28" s="150">
        <v>10</v>
      </c>
      <c r="AW28" s="17">
        <v>1131600</v>
      </c>
      <c r="AX28" s="17">
        <f t="shared" si="7"/>
        <v>1131.5999999999999</v>
      </c>
    </row>
    <row r="29" spans="1:50">
      <c r="A29" s="157">
        <f t="shared" si="8"/>
        <v>28</v>
      </c>
      <c r="B29" s="157" t="str">
        <f t="shared" si="15"/>
        <v>July</v>
      </c>
      <c r="C29" s="157">
        <v>7</v>
      </c>
      <c r="D29" s="158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60">
        <f t="shared" si="17"/>
        <v>122.316202078</v>
      </c>
      <c r="I29" s="160">
        <f t="shared" si="17"/>
        <v>132.35283340000001</v>
      </c>
      <c r="K29" s="160">
        <f t="shared" si="18"/>
        <v>23.799973118279599</v>
      </c>
      <c r="M29" s="38">
        <v>982.5</v>
      </c>
      <c r="N29" s="25">
        <v>10.507</v>
      </c>
      <c r="O29" s="138">
        <f t="shared" si="0"/>
        <v>0.70651369356058535</v>
      </c>
      <c r="P29" s="24">
        <f t="shared" si="21"/>
        <v>4.2694462387096781</v>
      </c>
      <c r="Q29" s="17">
        <f>COUNTIFS('Daily KPI'!D:D,D29,'Daily KPI'!K:K,"&gt;0")</f>
        <v>0</v>
      </c>
      <c r="R29" s="38">
        <f t="shared" si="1"/>
        <v>0</v>
      </c>
      <c r="S29" s="38">
        <f>SUMIF($F$2:F29,F29,$R$2:R29)</f>
        <v>0</v>
      </c>
      <c r="T29" s="24">
        <f t="shared" si="2"/>
        <v>31.693548387096776</v>
      </c>
      <c r="U29" s="38">
        <f t="shared" si="3"/>
        <v>0</v>
      </c>
      <c r="V29" s="38">
        <f>SUMIF($F$2:F29,F29,$U$2:U29)</f>
        <v>0</v>
      </c>
      <c r="W29" s="164">
        <f t="shared" si="4"/>
        <v>0.12568425964871346</v>
      </c>
      <c r="X29" s="164" t="str">
        <f t="shared" si="5"/>
        <v/>
      </c>
      <c r="Y29" s="164" t="str">
        <f t="shared" si="6"/>
        <v/>
      </c>
      <c r="Z29" s="24" t="str">
        <f>IFERROR(AVERAGEIF('Daily KPI'!D:D,Table14[[#This Row],[Month]],'Daily KPI'!AB:AB),"")</f>
        <v/>
      </c>
      <c r="AA29" s="25" t="str">
        <f>IFERROR(AVERAGEIF($F$2:F29,F29,$Z$2:Z29),"")</f>
        <v/>
      </c>
      <c r="AD29" s="155">
        <v>0.995</v>
      </c>
      <c r="AE29" s="155">
        <v>0.997</v>
      </c>
      <c r="AF29" s="164">
        <v>0.999</v>
      </c>
      <c r="AG29" s="164"/>
      <c r="AH29" s="164"/>
      <c r="AI29" s="164"/>
      <c r="AJ29" s="164"/>
      <c r="AK29" s="164"/>
      <c r="AL29" s="170"/>
      <c r="AM29" s="170"/>
      <c r="AN29" s="150">
        <v>10</v>
      </c>
      <c r="AW29" s="17">
        <v>982500</v>
      </c>
      <c r="AX29" s="17">
        <f t="shared" si="7"/>
        <v>982.5</v>
      </c>
    </row>
    <row r="30" spans="1:50">
      <c r="A30" s="157">
        <f t="shared" si="8"/>
        <v>29</v>
      </c>
      <c r="B30" s="157" t="str">
        <f t="shared" si="15"/>
        <v>August</v>
      </c>
      <c r="C30" s="157">
        <v>8</v>
      </c>
      <c r="D30" s="158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53">
        <f t="shared" si="17"/>
        <v>126.292838231</v>
      </c>
      <c r="I30" s="153">
        <f t="shared" si="17"/>
        <v>137.84953686200001</v>
      </c>
      <c r="K30" s="153">
        <f t="shared" si="18"/>
        <v>23.600053763440901</v>
      </c>
      <c r="M30" s="38">
        <v>1032.2</v>
      </c>
      <c r="N30" s="25">
        <v>10.507</v>
      </c>
      <c r="O30" s="138">
        <f t="shared" si="0"/>
        <v>0.71265577886612175</v>
      </c>
      <c r="P30" s="24">
        <f t="shared" si="21"/>
        <v>4.4467592536129033</v>
      </c>
      <c r="Q30" s="17">
        <f>COUNTIFS('Daily KPI'!D:D,D30,'Daily KPI'!K:K,"&gt;0")</f>
        <v>0</v>
      </c>
      <c r="R30" s="38">
        <f t="shared" si="1"/>
        <v>0</v>
      </c>
      <c r="S30" s="38">
        <f>SUMIF($F$2:F30,F30,$R$2:R30)</f>
        <v>0</v>
      </c>
      <c r="T30" s="24">
        <f t="shared" si="2"/>
        <v>33.296774193548387</v>
      </c>
      <c r="U30" s="38">
        <f t="shared" si="3"/>
        <v>0</v>
      </c>
      <c r="V30" s="38">
        <f>SUMIF($F$2:F30,F30,$U$2:U30)</f>
        <v>0</v>
      </c>
      <c r="W30" s="164">
        <f t="shared" si="4"/>
        <v>0.13204202830473488</v>
      </c>
      <c r="X30" s="164" t="str">
        <f t="shared" si="5"/>
        <v/>
      </c>
      <c r="Y30" s="164" t="str">
        <f t="shared" si="6"/>
        <v/>
      </c>
      <c r="Z30" s="24" t="str">
        <f>IFERROR(AVERAGEIF('Daily KPI'!D:D,Table14[[#This Row],[Month]],'Daily KPI'!AB:AB),"")</f>
        <v/>
      </c>
      <c r="AA30" s="25" t="str">
        <f>IFERROR(AVERAGEIF($F$2:F30,F30,$Z$2:Z30),"")</f>
        <v/>
      </c>
      <c r="AD30" s="155">
        <v>0.995</v>
      </c>
      <c r="AE30" s="155">
        <v>0.997</v>
      </c>
      <c r="AF30" s="164">
        <v>0.999</v>
      </c>
      <c r="AG30" s="164"/>
      <c r="AH30" s="164"/>
      <c r="AI30" s="164"/>
      <c r="AJ30" s="164"/>
      <c r="AK30" s="164"/>
      <c r="AL30" s="170"/>
      <c r="AM30" s="170"/>
      <c r="AN30" s="150">
        <v>10</v>
      </c>
      <c r="AW30" s="17">
        <v>1032200</v>
      </c>
      <c r="AX30" s="17">
        <f t="shared" si="7"/>
        <v>1032.2</v>
      </c>
    </row>
    <row r="31" spans="1:50">
      <c r="A31" s="157">
        <f t="shared" si="8"/>
        <v>30</v>
      </c>
      <c r="B31" s="157" t="str">
        <f t="shared" si="15"/>
        <v>September</v>
      </c>
      <c r="C31" s="157">
        <v>9</v>
      </c>
      <c r="D31" s="158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60">
        <f t="shared" si="17"/>
        <v>144.04474673300001</v>
      </c>
      <c r="I31" s="160">
        <f t="shared" si="17"/>
        <v>163.040458202</v>
      </c>
      <c r="K31" s="160">
        <f t="shared" si="18"/>
        <v>23.700138888888901</v>
      </c>
      <c r="M31" s="38">
        <v>1171.3</v>
      </c>
      <c r="N31" s="25">
        <v>10.507</v>
      </c>
      <c r="O31" s="138">
        <f t="shared" si="0"/>
        <v>0.68374478012139595</v>
      </c>
      <c r="P31" s="24">
        <f t="shared" si="21"/>
        <v>5.4346819400666666</v>
      </c>
      <c r="Q31" s="17">
        <f>COUNTIFS('Daily KPI'!D:D,D31,'Daily KPI'!K:K,"&gt;0")</f>
        <v>0</v>
      </c>
      <c r="R31" s="38">
        <f t="shared" si="1"/>
        <v>0</v>
      </c>
      <c r="S31" s="38">
        <f>SUMIF($F$2:F31,F31,$R$2:R31)</f>
        <v>0</v>
      </c>
      <c r="T31" s="24">
        <f t="shared" si="2"/>
        <v>39.043333333333329</v>
      </c>
      <c r="U31" s="38">
        <f t="shared" si="3"/>
        <v>0</v>
      </c>
      <c r="V31" s="38">
        <f>SUMIF($F$2:F31,F31,$U$2:U31)</f>
        <v>0</v>
      </c>
      <c r="W31" s="164">
        <f t="shared" si="4"/>
        <v>0.1548306420058585</v>
      </c>
      <c r="X31" s="164" t="str">
        <f t="shared" si="5"/>
        <v/>
      </c>
      <c r="Y31" s="164" t="str">
        <f t="shared" si="6"/>
        <v/>
      </c>
      <c r="Z31" s="24" t="str">
        <f>IFERROR(AVERAGEIF('Daily KPI'!D:D,Table14[[#This Row],[Month]],'Daily KPI'!AB:AB),"")</f>
        <v/>
      </c>
      <c r="AA31" s="25" t="str">
        <f>IFERROR(AVERAGEIF($F$2:F31,F31,$Z$2:Z31),"")</f>
        <v/>
      </c>
      <c r="AD31" s="155">
        <v>0.995</v>
      </c>
      <c r="AE31" s="155">
        <v>0.997</v>
      </c>
      <c r="AF31" s="164">
        <v>0.999</v>
      </c>
      <c r="AG31" s="164"/>
      <c r="AH31" s="164"/>
      <c r="AI31" s="164"/>
      <c r="AJ31" s="164"/>
      <c r="AK31" s="164"/>
      <c r="AL31" s="170"/>
      <c r="AM31" s="170"/>
      <c r="AN31" s="150">
        <v>10</v>
      </c>
      <c r="AW31" s="17">
        <v>1171300</v>
      </c>
      <c r="AX31" s="17">
        <f t="shared" si="7"/>
        <v>1171.3</v>
      </c>
    </row>
    <row r="32" spans="1:50">
      <c r="A32" s="157">
        <f t="shared" si="8"/>
        <v>31</v>
      </c>
      <c r="B32" s="157" t="str">
        <f t="shared" si="15"/>
        <v>October</v>
      </c>
      <c r="C32" s="157">
        <v>10</v>
      </c>
      <c r="D32" s="158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53">
        <f t="shared" si="17"/>
        <v>146.56699049400001</v>
      </c>
      <c r="I32" s="153">
        <f t="shared" si="17"/>
        <v>169.41865188</v>
      </c>
      <c r="K32" s="153">
        <f t="shared" si="18"/>
        <v>23.399852150537601</v>
      </c>
      <c r="M32" s="38">
        <v>1280.3</v>
      </c>
      <c r="N32" s="25">
        <v>10.507</v>
      </c>
      <c r="O32" s="138">
        <f t="shared" si="0"/>
        <v>0.7192366203411954</v>
      </c>
      <c r="P32" s="24">
        <f t="shared" si="21"/>
        <v>5.4651178025806448</v>
      </c>
      <c r="Q32" s="17">
        <f>COUNTIFS('Daily KPI'!D:D,D32,'Daily KPI'!K:K,"&gt;0")</f>
        <v>0</v>
      </c>
      <c r="R32" s="38">
        <f t="shared" si="1"/>
        <v>0</v>
      </c>
      <c r="S32" s="38">
        <f>SUMIF($F$2:F32,F32,$R$2:R32)</f>
        <v>0</v>
      </c>
      <c r="T32" s="24">
        <f t="shared" si="2"/>
        <v>41.3</v>
      </c>
      <c r="U32" s="38">
        <f t="shared" si="3"/>
        <v>0</v>
      </c>
      <c r="V32" s="38">
        <f>SUMIF($F$2:F32,F32,$U$2:U32)</f>
        <v>0</v>
      </c>
      <c r="W32" s="164">
        <f t="shared" si="4"/>
        <v>0.16377970242060846</v>
      </c>
      <c r="X32" s="164" t="str">
        <f t="shared" si="5"/>
        <v/>
      </c>
      <c r="Y32" s="164" t="str">
        <f t="shared" si="6"/>
        <v/>
      </c>
      <c r="Z32" s="24" t="str">
        <f>IFERROR(AVERAGEIF('Daily KPI'!D:D,Table14[[#This Row],[Month]],'Daily KPI'!AB:AB),"")</f>
        <v/>
      </c>
      <c r="AA32" s="25" t="str">
        <f>IFERROR(AVERAGEIF($F$2:F32,F32,$Z$2:Z32),"")</f>
        <v/>
      </c>
      <c r="AD32" s="155">
        <v>0.995</v>
      </c>
      <c r="AE32" s="155">
        <v>0.997</v>
      </c>
      <c r="AF32" s="164">
        <v>0.999</v>
      </c>
      <c r="AG32" s="164"/>
      <c r="AH32" s="164"/>
      <c r="AI32" s="164"/>
      <c r="AJ32" s="164"/>
      <c r="AK32" s="164"/>
      <c r="AL32" s="170"/>
      <c r="AM32" s="170"/>
      <c r="AN32" s="150">
        <v>10</v>
      </c>
      <c r="AW32" s="17">
        <v>1280300</v>
      </c>
      <c r="AX32" s="17">
        <f t="shared" si="7"/>
        <v>1280.3</v>
      </c>
    </row>
    <row r="33" spans="1:50">
      <c r="A33" s="157">
        <f t="shared" si="8"/>
        <v>32</v>
      </c>
      <c r="B33" s="157" t="str">
        <f t="shared" si="15"/>
        <v>November</v>
      </c>
      <c r="C33" s="157">
        <v>11</v>
      </c>
      <c r="D33" s="158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60">
        <f t="shared" si="17"/>
        <v>136.383007733</v>
      </c>
      <c r="I33" s="160">
        <f t="shared" si="17"/>
        <v>157.92065503000001</v>
      </c>
      <c r="K33" s="160">
        <f t="shared" si="18"/>
        <v>22.4999583333333</v>
      </c>
      <c r="M33" s="38">
        <v>1171.3</v>
      </c>
      <c r="N33" s="25">
        <v>10.507</v>
      </c>
      <c r="O33" s="138">
        <f t="shared" si="0"/>
        <v>0.70591185315841543</v>
      </c>
      <c r="P33" s="24">
        <f t="shared" si="21"/>
        <v>5.2640218343333336</v>
      </c>
      <c r="Q33" s="17">
        <f>COUNTIFS('Daily KPI'!D:D,D33,'Daily KPI'!K:K,"&gt;0")</f>
        <v>0</v>
      </c>
      <c r="R33" s="38">
        <f t="shared" si="1"/>
        <v>0</v>
      </c>
      <c r="S33" s="38">
        <f>SUMIF($F$2:F33,F33,$R$2:R33)</f>
        <v>0</v>
      </c>
      <c r="T33" s="24">
        <f t="shared" si="2"/>
        <v>39.043333333333329</v>
      </c>
      <c r="U33" s="38">
        <f t="shared" si="3"/>
        <v>0</v>
      </c>
      <c r="V33" s="38">
        <f>SUMIF($F$2:F33,F33,$U$2:U33)</f>
        <v>0</v>
      </c>
      <c r="W33" s="164">
        <f t="shared" si="4"/>
        <v>0.1548306420058585</v>
      </c>
      <c r="X33" s="164" t="str">
        <f t="shared" si="5"/>
        <v/>
      </c>
      <c r="Y33" s="164" t="str">
        <f t="shared" si="6"/>
        <v/>
      </c>
      <c r="Z33" s="24" t="str">
        <f>IFERROR(AVERAGEIF('Daily KPI'!D:D,Table14[[#This Row],[Month]],'Daily KPI'!AB:AB),"")</f>
        <v/>
      </c>
      <c r="AA33" s="25" t="str">
        <f>IFERROR(AVERAGEIF($F$2:F33,F33,$Z$2:Z33),"")</f>
        <v/>
      </c>
      <c r="AD33" s="155">
        <v>0.995</v>
      </c>
      <c r="AE33" s="155">
        <v>0.997</v>
      </c>
      <c r="AF33" s="164">
        <v>0.999</v>
      </c>
      <c r="AG33" s="164"/>
      <c r="AH33" s="164"/>
      <c r="AI33" s="164"/>
      <c r="AJ33" s="164"/>
      <c r="AK33" s="164"/>
      <c r="AL33" s="170"/>
      <c r="AM33" s="170"/>
      <c r="AN33" s="150">
        <v>10</v>
      </c>
      <c r="AW33" s="17">
        <v>1171300</v>
      </c>
      <c r="AX33" s="17">
        <f t="shared" si="7"/>
        <v>1171.3</v>
      </c>
    </row>
    <row r="34" spans="1:50">
      <c r="A34" s="157">
        <f t="shared" si="8"/>
        <v>33</v>
      </c>
      <c r="B34" s="157" t="str">
        <f t="shared" si="15"/>
        <v>December</v>
      </c>
      <c r="C34" s="157">
        <v>12</v>
      </c>
      <c r="D34" s="158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53">
        <f t="shared" si="17"/>
        <v>149.379282394</v>
      </c>
      <c r="I34" s="153">
        <f t="shared" si="17"/>
        <v>175.80240230000001</v>
      </c>
      <c r="K34" s="153">
        <f t="shared" si="18"/>
        <v>21.492970430107501</v>
      </c>
      <c r="M34" s="38">
        <v>1349.6999999999998</v>
      </c>
      <c r="N34" s="25">
        <v>10.507</v>
      </c>
      <c r="O34" s="138">
        <f t="shared" si="0"/>
        <v>0.73069091955667331</v>
      </c>
      <c r="P34" s="24">
        <f t="shared" si="21"/>
        <v>5.671045235483871</v>
      </c>
      <c r="Q34" s="17">
        <f>COUNTIFS('Daily KPI'!D:D,D34,'Daily KPI'!K:K,"&gt;0")</f>
        <v>0</v>
      </c>
      <c r="R34" s="38">
        <f t="shared" si="1"/>
        <v>0</v>
      </c>
      <c r="S34" s="38">
        <f>SUMIF($F$2:F34,F34,$R$2:R34)</f>
        <v>0</v>
      </c>
      <c r="T34" s="24">
        <f t="shared" si="2"/>
        <v>43.538709677419348</v>
      </c>
      <c r="U34" s="38">
        <f t="shared" si="3"/>
        <v>0</v>
      </c>
      <c r="V34" s="38">
        <f>SUMIF($F$2:F34,F34,$U$2:U34)</f>
        <v>0</v>
      </c>
      <c r="W34" s="164">
        <f t="shared" si="4"/>
        <v>0.17265755241513336</v>
      </c>
      <c r="X34" s="164" t="str">
        <f t="shared" si="5"/>
        <v/>
      </c>
      <c r="Y34" s="164" t="str">
        <f t="shared" si="6"/>
        <v/>
      </c>
      <c r="Z34" s="24" t="str">
        <f>IFERROR(AVERAGEIF('Daily KPI'!D:D,Table14[[#This Row],[Month]],'Daily KPI'!AB:AB),"")</f>
        <v/>
      </c>
      <c r="AA34" s="25" t="str">
        <f>IFERROR(AVERAGEIF($F$2:F34,F34,$Z$2:Z34),"")</f>
        <v/>
      </c>
      <c r="AD34" s="155">
        <v>0.995</v>
      </c>
      <c r="AE34" s="155">
        <v>0.997</v>
      </c>
      <c r="AF34" s="164">
        <v>0.999</v>
      </c>
      <c r="AG34" s="164"/>
      <c r="AH34" s="164"/>
      <c r="AI34" s="164"/>
      <c r="AJ34" s="164"/>
      <c r="AK34" s="164"/>
      <c r="AL34" s="170"/>
      <c r="AM34" s="170"/>
      <c r="AN34" s="150">
        <v>10</v>
      </c>
      <c r="AW34" s="17">
        <v>1349699.9999999998</v>
      </c>
      <c r="AX34" s="17">
        <f t="shared" si="7"/>
        <v>1349.6999999999998</v>
      </c>
    </row>
    <row r="35" spans="1:50">
      <c r="A35" s="157">
        <f t="shared" si="8"/>
        <v>34</v>
      </c>
      <c r="B35" s="157" t="str">
        <f t="shared" si="15"/>
        <v>January</v>
      </c>
      <c r="C35" s="17">
        <v>1</v>
      </c>
      <c r="D35" s="158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60">
        <f t="shared" si="17"/>
        <v>172.65914562399999</v>
      </c>
      <c r="I35" s="160">
        <f t="shared" si="17"/>
        <v>210.74158696000001</v>
      </c>
      <c r="K35" s="160">
        <f t="shared" si="18"/>
        <v>22.099986559139801</v>
      </c>
      <c r="M35" s="38">
        <v>1607.8</v>
      </c>
      <c r="N35" s="25">
        <v>10.507</v>
      </c>
      <c r="O35" s="138">
        <f t="shared" si="0"/>
        <v>0.72611105003616627</v>
      </c>
      <c r="P35" s="24">
        <f t="shared" si="21"/>
        <v>6.7981157083870967</v>
      </c>
      <c r="Q35" s="17">
        <f>COUNTIFS('Daily KPI'!D:D,D35,'Daily KPI'!K:K,"&gt;0")</f>
        <v>0</v>
      </c>
      <c r="R35" s="38">
        <f t="shared" si="1"/>
        <v>0</v>
      </c>
      <c r="S35" s="38">
        <f>SUMIF($F$2:F35,F35,$R$2:R35)</f>
        <v>0</v>
      </c>
      <c r="T35" s="24">
        <f t="shared" si="2"/>
        <v>51.864516129032253</v>
      </c>
      <c r="U35" s="38">
        <f t="shared" si="3"/>
        <v>0</v>
      </c>
      <c r="V35" s="38">
        <f>SUMIF($F$2:F35,F35,$U$2:U35)</f>
        <v>0</v>
      </c>
      <c r="W35" s="164">
        <f t="shared" si="4"/>
        <v>0.20567445563684628</v>
      </c>
      <c r="X35" s="164" t="str">
        <f t="shared" si="5"/>
        <v/>
      </c>
      <c r="Y35" s="164" t="str">
        <f t="shared" si="6"/>
        <v/>
      </c>
      <c r="Z35" s="24" t="str">
        <f>IFERROR(AVERAGEIF('Daily KPI'!D:D,Table14[[#This Row],[Month]],'Daily KPI'!AB:AB),"")</f>
        <v/>
      </c>
      <c r="AA35" s="25" t="str">
        <f>IFERROR(AVERAGEIF($F$2:F35,F35,$Z$2:Z35),"")</f>
        <v/>
      </c>
      <c r="AD35" s="155">
        <v>0.995</v>
      </c>
      <c r="AE35" s="155">
        <v>0.997</v>
      </c>
      <c r="AF35" s="164">
        <v>0.999</v>
      </c>
      <c r="AG35" s="164"/>
      <c r="AH35" s="164"/>
      <c r="AI35" s="164"/>
      <c r="AJ35" s="164"/>
      <c r="AK35" s="164"/>
      <c r="AL35" s="170"/>
      <c r="AM35" s="170"/>
      <c r="AN35" s="150">
        <v>10</v>
      </c>
      <c r="AW35" s="17">
        <v>1607800</v>
      </c>
      <c r="AX35" s="17">
        <f t="shared" si="7"/>
        <v>1607.8</v>
      </c>
    </row>
    <row r="36" spans="1:50">
      <c r="A36" s="157">
        <f t="shared" si="8"/>
        <v>35</v>
      </c>
      <c r="B36" s="157" t="str">
        <f t="shared" si="15"/>
        <v>February</v>
      </c>
      <c r="C36" s="17">
        <v>2</v>
      </c>
      <c r="D36" s="158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53">
        <f t="shared" si="17"/>
        <v>174.40611465399999</v>
      </c>
      <c r="I36" s="153">
        <f t="shared" si="17"/>
        <v>212.78878262999999</v>
      </c>
      <c r="K36" s="153">
        <f t="shared" si="18"/>
        <v>24.199895833333301</v>
      </c>
      <c r="M36" s="38">
        <v>1479.9</v>
      </c>
      <c r="N36" s="25">
        <v>10.507</v>
      </c>
      <c r="O36" s="138">
        <f t="shared" si="0"/>
        <v>0.66191909224154055</v>
      </c>
      <c r="P36" s="24">
        <f t="shared" si="21"/>
        <v>7.5995993796428563</v>
      </c>
      <c r="Q36" s="17">
        <f>COUNTIFS('Daily KPI'!D:D,D36,'Daily KPI'!K:K,"&gt;0")</f>
        <v>0</v>
      </c>
      <c r="R36" s="38">
        <f t="shared" si="1"/>
        <v>0</v>
      </c>
      <c r="S36" s="38">
        <f>SUMIF($F$2:F36,F36,$R$2:R36)</f>
        <v>0</v>
      </c>
      <c r="T36" s="24">
        <f t="shared" si="2"/>
        <v>52.853571428571435</v>
      </c>
      <c r="U36" s="38">
        <f t="shared" si="3"/>
        <v>0</v>
      </c>
      <c r="V36" s="38">
        <f>SUMIF($F$2:F36,F36,$U$2:U36)</f>
        <v>0</v>
      </c>
      <c r="W36" s="164">
        <f t="shared" si="4"/>
        <v>0.20959666344885725</v>
      </c>
      <c r="X36" s="164" t="str">
        <f t="shared" si="5"/>
        <v/>
      </c>
      <c r="Y36" s="164" t="str">
        <f t="shared" si="6"/>
        <v/>
      </c>
      <c r="Z36" s="24" t="str">
        <f>IFERROR(AVERAGEIF('Daily KPI'!D:D,Table14[[#This Row],[Month]],'Daily KPI'!AB:AB),"")</f>
        <v/>
      </c>
      <c r="AA36" s="25" t="str">
        <f>IFERROR(AVERAGEIF($F$2:F36,F36,$Z$2:Z36),"")</f>
        <v/>
      </c>
      <c r="AD36" s="155">
        <v>0.995</v>
      </c>
      <c r="AE36" s="155">
        <v>0.997</v>
      </c>
      <c r="AF36" s="164">
        <v>0.999</v>
      </c>
      <c r="AG36" s="164"/>
      <c r="AH36" s="164"/>
      <c r="AI36" s="164"/>
      <c r="AJ36" s="164"/>
      <c r="AK36" s="164"/>
      <c r="AL36" s="170"/>
      <c r="AM36" s="170"/>
      <c r="AN36" s="150">
        <v>10</v>
      </c>
      <c r="AW36" s="17">
        <v>1479900</v>
      </c>
      <c r="AX36" s="17">
        <f t="shared" si="7"/>
        <v>1479.9</v>
      </c>
    </row>
    <row r="37" spans="1:50">
      <c r="A37" s="157">
        <f t="shared" si="8"/>
        <v>36</v>
      </c>
      <c r="B37" s="157" t="str">
        <f t="shared" si="15"/>
        <v>March</v>
      </c>
      <c r="C37" s="17">
        <v>3</v>
      </c>
      <c r="D37" s="158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60">
        <f t="shared" si="17"/>
        <v>205.44670140700001</v>
      </c>
      <c r="I37" s="160">
        <f t="shared" si="17"/>
        <v>247.38205597800001</v>
      </c>
      <c r="K37" s="160">
        <f t="shared" si="18"/>
        <v>26.700255376344099</v>
      </c>
      <c r="M37" s="38">
        <v>1826.1000000000001</v>
      </c>
      <c r="N37" s="25">
        <v>10.507</v>
      </c>
      <c r="O37" s="138">
        <f t="shared" si="0"/>
        <v>0.70255063332621526</v>
      </c>
      <c r="P37" s="24">
        <f t="shared" si="21"/>
        <v>7.980066321870968</v>
      </c>
      <c r="Q37" s="17">
        <f>COUNTIFS('Daily KPI'!D:D,D37,'Daily KPI'!K:K,"&gt;0")</f>
        <v>3</v>
      </c>
      <c r="R37" s="38">
        <f t="shared" si="1"/>
        <v>23.940198965612904</v>
      </c>
      <c r="S37" s="38">
        <f>SUMIF($F$2:F37,F37,$R$2:R37)</f>
        <v>23.940198965612904</v>
      </c>
      <c r="T37" s="24">
        <f t="shared" si="2"/>
        <v>58.906451612903233</v>
      </c>
      <c r="U37" s="38">
        <f t="shared" si="3"/>
        <v>176.71935483870971</v>
      </c>
      <c r="V37" s="38">
        <f>SUMIF($F$2:F37,F37,$U$2:U37)</f>
        <v>176.71935483870971</v>
      </c>
      <c r="W37" s="164">
        <f t="shared" si="4"/>
        <v>0.23360002701731875</v>
      </c>
      <c r="X37" s="164">
        <f t="shared" si="5"/>
        <v>0.23360002701731875</v>
      </c>
      <c r="Y37" s="164">
        <f t="shared" si="6"/>
        <v>0.23360002701731875</v>
      </c>
      <c r="Z37" s="24">
        <f>IFERROR(AVERAGEIF('Daily KPI'!D:D,Table14[[#This Row],[Month]],'Daily KPI'!AB:AB),"")</f>
        <v>10.507</v>
      </c>
      <c r="AA37" s="25">
        <f>IFERROR(AVERAGEIF($F$2:F37,F37,$Z$2:Z37),"")</f>
        <v>10.507</v>
      </c>
      <c r="AD37" s="155">
        <v>0.995</v>
      </c>
      <c r="AE37" s="155">
        <v>0.997</v>
      </c>
      <c r="AF37" s="164">
        <v>0.999</v>
      </c>
      <c r="AG37" s="164"/>
      <c r="AH37" s="164"/>
      <c r="AI37" s="164"/>
      <c r="AJ37" s="164"/>
      <c r="AK37" s="164"/>
      <c r="AL37" s="170"/>
      <c r="AM37" s="170"/>
      <c r="AN37" s="150">
        <v>10</v>
      </c>
      <c r="AW37" s="17">
        <v>1826100.0000000002</v>
      </c>
      <c r="AX37" s="17">
        <f t="shared" si="7"/>
        <v>1826.1000000000001</v>
      </c>
    </row>
    <row r="38" spans="1:50">
      <c r="A38" s="157">
        <f t="shared" si="8"/>
        <v>37</v>
      </c>
      <c r="B38" s="157" t="str">
        <f t="shared" si="15"/>
        <v>April</v>
      </c>
      <c r="C38" s="17">
        <f>C26</f>
        <v>4</v>
      </c>
      <c r="D38" s="158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53">
        <f t="shared" si="17"/>
        <v>192.739203312</v>
      </c>
      <c r="I38" s="153">
        <f t="shared" si="17"/>
        <v>227.68820475999999</v>
      </c>
      <c r="K38" s="153">
        <f t="shared" si="18"/>
        <v>27.499986111111099</v>
      </c>
      <c r="M38" s="38">
        <v>1584.5716867700794</v>
      </c>
      <c r="N38" s="25">
        <v>10.507</v>
      </c>
      <c r="O38" s="138">
        <f t="shared" si="0"/>
        <v>0.66235775663544993</v>
      </c>
      <c r="P38" s="24">
        <f t="shared" si="21"/>
        <v>7.5896068253333331</v>
      </c>
      <c r="Q38" s="17">
        <f>COUNTIFS('Daily KPI'!D:D,D38,'Daily KPI'!K:K,"&gt;0")</f>
        <v>30</v>
      </c>
      <c r="R38" s="38">
        <f t="shared" si="1"/>
        <v>227.68820475999999</v>
      </c>
      <c r="S38" s="38">
        <f>SUMIF($F$2:F38,F38,$R$2:R38)</f>
        <v>227.68820475999999</v>
      </c>
      <c r="T38" s="24">
        <f t="shared" si="2"/>
        <v>52.819056225669314</v>
      </c>
      <c r="U38" s="38">
        <f t="shared" si="3"/>
        <v>1584.5716867700794</v>
      </c>
      <c r="V38" s="38">
        <f>SUMIF($F$2:F38,F38,$U$2:U38)</f>
        <v>1584.5716867700794</v>
      </c>
      <c r="W38" s="164">
        <f t="shared" si="4"/>
        <v>0.20945978960720357</v>
      </c>
      <c r="X38" s="164">
        <f t="shared" si="5"/>
        <v>0.20945978960720357</v>
      </c>
      <c r="Y38" s="164">
        <f t="shared" si="6"/>
        <v>0.20945978960720357</v>
      </c>
      <c r="Z38" s="24">
        <f>IFERROR(AVERAGEIF('Daily KPI'!D:D,Table14[[#This Row],[Month]],'Daily KPI'!AB:AB),"")</f>
        <v>10.507000000000003</v>
      </c>
      <c r="AA38" s="25">
        <f>IFERROR(AVERAGEIF($F$2:F38,F38,$Z$2:Z38),"")</f>
        <v>10.507000000000003</v>
      </c>
      <c r="AD38" s="155">
        <v>0.995</v>
      </c>
      <c r="AE38" s="155">
        <v>0.997</v>
      </c>
      <c r="AF38" s="164">
        <v>0.999</v>
      </c>
      <c r="AG38" s="164"/>
      <c r="AH38" s="164"/>
      <c r="AI38" s="164"/>
      <c r="AJ38" s="164"/>
      <c r="AK38" s="164"/>
      <c r="AL38" s="170"/>
      <c r="AM38" s="170"/>
      <c r="AN38" s="150">
        <v>10</v>
      </c>
    </row>
    <row r="39" spans="1:50">
      <c r="A39" s="157">
        <f t="shared" si="8"/>
        <v>38</v>
      </c>
      <c r="B39" s="157" t="str">
        <f t="shared" si="15"/>
        <v>May</v>
      </c>
      <c r="C39" s="17">
        <f>C27</f>
        <v>5</v>
      </c>
      <c r="D39" s="158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60">
        <f t="shared" si="17"/>
        <v>184.493365135</v>
      </c>
      <c r="I39" s="160">
        <f t="shared" si="17"/>
        <v>215.544309645</v>
      </c>
      <c r="K39" s="160">
        <f t="shared" si="18"/>
        <v>26.7000806451613</v>
      </c>
      <c r="M39" s="38">
        <v>1574.4307077294884</v>
      </c>
      <c r="N39" s="25">
        <v>10.507</v>
      </c>
      <c r="O39" s="138">
        <f t="shared" si="0"/>
        <v>0.69519758920580965</v>
      </c>
      <c r="P39" s="24">
        <f t="shared" si="21"/>
        <v>6.9530422466129034</v>
      </c>
      <c r="Q39" s="17">
        <f>COUNTIFS('Daily KPI'!D:D,D39,'Daily KPI'!K:K,"&gt;0")</f>
        <v>31</v>
      </c>
      <c r="R39" s="38">
        <f t="shared" si="1"/>
        <v>215.544309645</v>
      </c>
      <c r="S39" s="38">
        <f>SUMIF($F$2:F49,F39,$R$2:R49)</f>
        <v>750.48940338545151</v>
      </c>
      <c r="T39" s="24">
        <f t="shared" si="2"/>
        <v>50.788087346112526</v>
      </c>
      <c r="U39" s="38">
        <f t="shared" si="3"/>
        <v>1574.4307077294884</v>
      </c>
      <c r="V39" s="38">
        <f>SUMIF($F$2:F49,F39,$U$2:U49)</f>
        <v>5387.2252809622933</v>
      </c>
      <c r="W39" s="164">
        <f t="shared" si="4"/>
        <v>0.20140575864547652</v>
      </c>
      <c r="X39" s="164">
        <f t="shared" si="5"/>
        <v>0.20140575864547652</v>
      </c>
      <c r="Y39" s="164">
        <f t="shared" si="6"/>
        <v>0.35022353566021647</v>
      </c>
      <c r="Z39" s="24">
        <f>IFERROR(AVERAGEIF('Daily KPI'!D:D,Table14[[#This Row],[Month]],'Daily KPI'!AB:AB),"")</f>
        <v>10.507000000000003</v>
      </c>
      <c r="AA39" s="25">
        <f>IFERROR(AVERAGEIF($F$2:F39,F39,$Z$2:Z39),"")</f>
        <v>10.507000000000003</v>
      </c>
      <c r="AD39" s="155">
        <v>0.995</v>
      </c>
      <c r="AE39" s="155">
        <v>0.997</v>
      </c>
      <c r="AF39" s="164">
        <v>0.999</v>
      </c>
      <c r="AG39" s="164"/>
      <c r="AH39" s="164"/>
      <c r="AI39" s="164"/>
      <c r="AJ39" s="164"/>
      <c r="AK39" s="164"/>
      <c r="AL39" s="170"/>
      <c r="AM39" s="170"/>
      <c r="AN39" s="150">
        <v>10</v>
      </c>
    </row>
    <row r="40" spans="1:50">
      <c r="A40" s="157">
        <f t="shared" si="8"/>
        <v>39</v>
      </c>
      <c r="B40" s="157" t="str">
        <f t="shared" si="15"/>
        <v>June</v>
      </c>
      <c r="C40" s="17">
        <f t="shared" si="15"/>
        <v>6</v>
      </c>
      <c r="D40" s="158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60">
        <f t="shared" ref="H40:I40" si="24">H28</f>
        <v>140.16509583600001</v>
      </c>
      <c r="I40" s="160">
        <f t="shared" si="24"/>
        <v>157.11701856600001</v>
      </c>
      <c r="K40" s="160">
        <f t="shared" si="18"/>
        <v>24.6998888888889</v>
      </c>
      <c r="M40" s="38">
        <v>1121.9948589552118</v>
      </c>
      <c r="N40" s="25">
        <v>10.507</v>
      </c>
      <c r="O40" s="138">
        <f t="shared" ref="O40:O49" si="25">M40/I40/N40</f>
        <v>0.67965560892027499</v>
      </c>
      <c r="P40" s="24">
        <f t="shared" ref="P40:P49" si="26">I40/G40</f>
        <v>5.2372339522000004</v>
      </c>
      <c r="Q40" s="17">
        <f>COUNTIFS('Daily KPI'!D:D,D40,'Daily KPI'!K:K,"&gt;0")</f>
        <v>30</v>
      </c>
      <c r="R40" s="38">
        <f t="shared" ref="R40:R49" si="27">I40/G40*Q40</f>
        <v>157.11701856600001</v>
      </c>
      <c r="S40" s="38">
        <f>SUMIF($F$2:F40,F40,$R$2:R40)</f>
        <v>600.34953297099992</v>
      </c>
      <c r="T40" s="24">
        <f t="shared" ref="T40:T49" si="28">M40/G40</f>
        <v>37.399828631840393</v>
      </c>
      <c r="U40" s="38">
        <f t="shared" ref="U40:U49" si="29">M40/G40*Q40</f>
        <v>1121.9948589552118</v>
      </c>
      <c r="V40" s="38">
        <f>SUMIF($F$2:F40,F40,$U$2:U40)</f>
        <v>4280.9972534547796</v>
      </c>
      <c r="W40" s="164">
        <f t="shared" ref="W40:W49" si="30">T40/(24*N40)</f>
        <v>0.14831314295168455</v>
      </c>
      <c r="X40" s="164">
        <f t="shared" si="5"/>
        <v>0.14831314295168457</v>
      </c>
      <c r="Y40" s="164">
        <f t="shared" si="6"/>
        <v>0.18655787356897161</v>
      </c>
      <c r="Z40" s="24">
        <f>IFERROR(AVERAGEIF('Daily KPI'!D:D,Table14[[#This Row],[Month]],'Daily KPI'!AB:AB),"")</f>
        <v>10.507000000000003</v>
      </c>
      <c r="AA40" s="25">
        <f>IFERROR(AVERAGEIF($F$2:F40,F40,$Z$2:Z40),"")</f>
        <v>10.507000000000003</v>
      </c>
      <c r="AD40" s="155">
        <v>0.995</v>
      </c>
      <c r="AE40" s="155">
        <v>0.997</v>
      </c>
      <c r="AF40" s="164">
        <v>0.999</v>
      </c>
      <c r="AG40" s="164"/>
      <c r="AH40" s="164"/>
      <c r="AI40" s="164"/>
      <c r="AJ40" s="164"/>
      <c r="AK40" s="164"/>
      <c r="AL40" s="170"/>
      <c r="AM40" s="170"/>
      <c r="AN40" s="150">
        <v>10</v>
      </c>
    </row>
    <row r="41" spans="1:50">
      <c r="A41" s="157">
        <f t="shared" si="8"/>
        <v>40</v>
      </c>
      <c r="B41" s="157" t="str">
        <f t="shared" si="15"/>
        <v>July</v>
      </c>
      <c r="C41" s="17">
        <f t="shared" si="15"/>
        <v>7</v>
      </c>
      <c r="D41" s="158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60">
        <f t="shared" ref="H41:I41" si="31">H29</f>
        <v>122.316202078</v>
      </c>
      <c r="I41" s="160">
        <f t="shared" si="31"/>
        <v>132.35283340000001</v>
      </c>
      <c r="K41" s="160">
        <f t="shared" si="18"/>
        <v>23.799973118279599</v>
      </c>
      <c r="M41" s="38">
        <v>974.17900040762106</v>
      </c>
      <c r="N41" s="25">
        <v>10.507</v>
      </c>
      <c r="O41" s="138">
        <f t="shared" si="25"/>
        <v>0.70053008017012453</v>
      </c>
      <c r="P41" s="24">
        <f t="shared" si="26"/>
        <v>4.2694462387096781</v>
      </c>
      <c r="Q41" s="17">
        <f>COUNTIFS('Daily KPI'!D:D,D41,'Daily KPI'!K:K,"&gt;0")</f>
        <v>31</v>
      </c>
      <c r="R41" s="38">
        <f t="shared" si="27"/>
        <v>132.35283340000001</v>
      </c>
      <c r="S41" s="38">
        <f>SUMIF($F$2:F41,F41,$R$2:R41)</f>
        <v>732.70236637099993</v>
      </c>
      <c r="T41" s="24">
        <f t="shared" si="28"/>
        <v>31.425129045407132</v>
      </c>
      <c r="U41" s="38">
        <f t="shared" si="29"/>
        <v>974.17900040762106</v>
      </c>
      <c r="V41" s="38">
        <f>SUMIF($F$2:F41,F41,$U$2:U41)</f>
        <v>5255.1762538624007</v>
      </c>
      <c r="W41" s="164">
        <f t="shared" si="30"/>
        <v>0.12461981316188862</v>
      </c>
      <c r="X41" s="164">
        <f t="shared" si="5"/>
        <v>0.12461981316188862</v>
      </c>
      <c r="Y41" s="164">
        <f t="shared" si="6"/>
        <v>0.17081951395733577</v>
      </c>
      <c r="Z41" s="24">
        <f>IFERROR(AVERAGEIF('Daily KPI'!D:D,Table14[[#This Row],[Month]],'Daily KPI'!AB:AB),"")</f>
        <v>10.507000000000003</v>
      </c>
      <c r="AA41" s="25">
        <f>IFERROR(AVERAGEIF($F$2:F41,F41,$Z$2:Z41),"")</f>
        <v>10.507000000000003</v>
      </c>
      <c r="AD41" s="155">
        <v>0.995</v>
      </c>
      <c r="AE41" s="155">
        <v>0.997</v>
      </c>
      <c r="AF41" s="164">
        <v>0.999</v>
      </c>
      <c r="AG41" s="164"/>
      <c r="AH41" s="164"/>
      <c r="AI41" s="164"/>
      <c r="AJ41" s="164"/>
      <c r="AK41" s="164"/>
      <c r="AL41" s="170"/>
      <c r="AM41" s="170"/>
      <c r="AN41" s="150">
        <v>10</v>
      </c>
    </row>
    <row r="42" spans="1:50">
      <c r="A42" s="157">
        <f t="shared" si="8"/>
        <v>41</v>
      </c>
      <c r="B42" s="157" t="str">
        <f t="shared" si="15"/>
        <v>August</v>
      </c>
      <c r="C42" s="17">
        <f t="shared" si="15"/>
        <v>8</v>
      </c>
      <c r="D42" s="158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60">
        <f t="shared" ref="H42:I42" si="32">H30</f>
        <v>126.292838231</v>
      </c>
      <c r="I42" s="160">
        <f t="shared" si="32"/>
        <v>137.84953686200001</v>
      </c>
      <c r="K42" s="160">
        <f t="shared" si="18"/>
        <v>23.600053763440901</v>
      </c>
      <c r="M42" s="38">
        <v>1023.379960024168</v>
      </c>
      <c r="N42" s="25">
        <v>10.507</v>
      </c>
      <c r="O42" s="138">
        <f t="shared" si="25"/>
        <v>0.70656621050862611</v>
      </c>
      <c r="P42" s="24">
        <f t="shared" si="26"/>
        <v>4.4467592536129033</v>
      </c>
      <c r="Q42" s="17">
        <f>COUNTIFS('Daily KPI'!D:D,D42,'Daily KPI'!K:K,"&gt;0")</f>
        <v>4</v>
      </c>
      <c r="R42" s="38">
        <f t="shared" si="27"/>
        <v>17.787037014451613</v>
      </c>
      <c r="S42" s="38">
        <f>SUMIF($F$2:F42,F42,$R$2:R42)</f>
        <v>750.48940338545151</v>
      </c>
      <c r="T42" s="24">
        <f t="shared" si="28"/>
        <v>33.01225677497316</v>
      </c>
      <c r="U42" s="38">
        <f t="shared" si="29"/>
        <v>132.04902709989264</v>
      </c>
      <c r="V42" s="38">
        <f>SUMIF($F$2:F42,F42,$U$2:U42)</f>
        <v>5387.2252809622933</v>
      </c>
      <c r="W42" s="164">
        <f t="shared" si="30"/>
        <v>0.13091374311955981</v>
      </c>
      <c r="X42" s="164">
        <f t="shared" si="5"/>
        <v>0.13091374311955981</v>
      </c>
      <c r="Y42" s="164">
        <f t="shared" si="6"/>
        <v>0.16955266408946987</v>
      </c>
      <c r="Z42" s="24">
        <f>IFERROR(AVERAGEIF('Daily KPI'!D:D,Table14[[#This Row],[Month]],'Daily KPI'!AB:AB),"")</f>
        <v>10.507000000000003</v>
      </c>
      <c r="AA42" s="25">
        <f>IFERROR(AVERAGEIF($F$2:F42,F42,$Z$2:Z42),"")</f>
        <v>10.507000000000003</v>
      </c>
      <c r="AD42" s="155">
        <v>0.995</v>
      </c>
      <c r="AE42" s="155">
        <v>0.997</v>
      </c>
      <c r="AF42" s="164">
        <v>0.999</v>
      </c>
      <c r="AG42" s="164"/>
      <c r="AH42" s="164"/>
      <c r="AI42" s="164"/>
      <c r="AJ42" s="164"/>
      <c r="AK42" s="164"/>
      <c r="AL42" s="170"/>
      <c r="AM42" s="170"/>
      <c r="AN42" s="150">
        <v>10</v>
      </c>
    </row>
    <row r="43" spans="1:50">
      <c r="A43" s="157">
        <f t="shared" si="8"/>
        <v>42</v>
      </c>
      <c r="B43" s="157" t="str">
        <f t="shared" si="15"/>
        <v>September</v>
      </c>
      <c r="C43" s="17">
        <f t="shared" si="15"/>
        <v>9</v>
      </c>
      <c r="D43" s="158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60">
        <f t="shared" ref="H43:I43" si="33">H31</f>
        <v>144.04474673300001</v>
      </c>
      <c r="I43" s="160">
        <f t="shared" si="33"/>
        <v>163.040458202</v>
      </c>
      <c r="K43" s="160">
        <f t="shared" si="18"/>
        <v>23.700138888888901</v>
      </c>
      <c r="M43" s="38">
        <v>1161.3630996203065</v>
      </c>
      <c r="N43" s="25">
        <v>10.507</v>
      </c>
      <c r="O43" s="138">
        <f t="shared" si="25"/>
        <v>0.67794412805514326</v>
      </c>
      <c r="P43" s="24">
        <f t="shared" si="26"/>
        <v>5.4346819400666666</v>
      </c>
      <c r="Q43" s="17">
        <f>COUNTIFS('Daily KPI'!D:D,D43,'Daily KPI'!K:K,"&gt;0")</f>
        <v>0</v>
      </c>
      <c r="R43" s="38">
        <f t="shared" si="27"/>
        <v>0</v>
      </c>
      <c r="S43" s="38">
        <f>SUMIF($F$2:F43,F43,$R$2:R43)</f>
        <v>750.48940338545151</v>
      </c>
      <c r="T43" s="24">
        <f t="shared" si="28"/>
        <v>38.712103320676881</v>
      </c>
      <c r="U43" s="38">
        <f t="shared" si="29"/>
        <v>0</v>
      </c>
      <c r="V43" s="38">
        <f>SUMIF($F$2:F43,F43,$U$2:U43)</f>
        <v>5387.2252809622933</v>
      </c>
      <c r="W43" s="164">
        <f t="shared" si="30"/>
        <v>0.15351711287981379</v>
      </c>
      <c r="X43" s="164" t="str">
        <f t="shared" si="5"/>
        <v/>
      </c>
      <c r="Y43" s="164">
        <f t="shared" si="6"/>
        <v>0.16955266408946987</v>
      </c>
      <c r="Z43" s="24">
        <f>IFERROR(AVERAGEIF('Daily KPI'!D:D,Table14[[#This Row],[Month]],'Daily KPI'!AB:AB),"")</f>
        <v>10.507000000000003</v>
      </c>
      <c r="AA43" s="25">
        <f>IFERROR(AVERAGEIF($F$2:F43,F43,$Z$2:Z43),"")</f>
        <v>10.507000000000003</v>
      </c>
      <c r="AD43" s="155">
        <v>0.995</v>
      </c>
      <c r="AE43" s="155">
        <v>0.997</v>
      </c>
      <c r="AF43" s="164">
        <v>0.999</v>
      </c>
      <c r="AG43" s="164"/>
      <c r="AH43" s="164"/>
      <c r="AI43" s="164"/>
      <c r="AJ43" s="164"/>
      <c r="AK43" s="164"/>
      <c r="AL43" s="170"/>
      <c r="AM43" s="170"/>
      <c r="AN43" s="150">
        <v>10</v>
      </c>
    </row>
    <row r="44" spans="1:50">
      <c r="A44" s="157">
        <f t="shared" si="8"/>
        <v>43</v>
      </c>
      <c r="B44" s="157" t="str">
        <f t="shared" si="15"/>
        <v>October</v>
      </c>
      <c r="C44" s="17">
        <f t="shared" si="15"/>
        <v>10</v>
      </c>
      <c r="D44" s="158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60">
        <f t="shared" ref="H44:I44" si="34">H32</f>
        <v>146.56699049400001</v>
      </c>
      <c r="I44" s="160">
        <f t="shared" si="34"/>
        <v>169.41865188</v>
      </c>
      <c r="K44" s="160">
        <f t="shared" si="18"/>
        <v>23.399852150537601</v>
      </c>
      <c r="M44" s="38">
        <v>1269.3847581069001</v>
      </c>
      <c r="N44" s="25">
        <v>10.507</v>
      </c>
      <c r="O44" s="138">
        <f t="shared" si="25"/>
        <v>0.71310474367994436</v>
      </c>
      <c r="P44" s="24">
        <f t="shared" si="26"/>
        <v>5.4651178025806448</v>
      </c>
      <c r="Q44" s="17">
        <f>COUNTIFS('Daily KPI'!D:D,D44,'Daily KPI'!K:K,"&gt;0")</f>
        <v>0</v>
      </c>
      <c r="R44" s="38">
        <f t="shared" si="27"/>
        <v>0</v>
      </c>
      <c r="S44" s="38">
        <f>SUMIF($F$2:F44,F44,$R$2:R44)</f>
        <v>750.48940338545151</v>
      </c>
      <c r="T44" s="24">
        <f t="shared" si="28"/>
        <v>40.947895422803228</v>
      </c>
      <c r="U44" s="38">
        <f t="shared" si="29"/>
        <v>0</v>
      </c>
      <c r="V44" s="38">
        <f>SUMIF($F$2:F44,F44,$U$2:U44)</f>
        <v>5387.2252809622933</v>
      </c>
      <c r="W44" s="164">
        <f t="shared" si="30"/>
        <v>0.16238339290791545</v>
      </c>
      <c r="X44" s="164" t="str">
        <f t="shared" si="5"/>
        <v/>
      </c>
      <c r="Y44" s="164">
        <f t="shared" si="6"/>
        <v>0.16955266408946987</v>
      </c>
      <c r="Z44" s="24">
        <f>IFERROR(AVERAGEIF('Daily KPI'!D:D,Table14[[#This Row],[Month]],'Daily KPI'!AB:AB),"")</f>
        <v>10.507000000000003</v>
      </c>
      <c r="AA44" s="25">
        <f>IFERROR(AVERAGEIF($F$2:F44,F44,$Z$2:Z44),"")</f>
        <v>10.507000000000003</v>
      </c>
      <c r="AD44" s="155">
        <v>0.995</v>
      </c>
      <c r="AE44" s="155">
        <v>0.997</v>
      </c>
      <c r="AF44" s="164">
        <v>0.999</v>
      </c>
      <c r="AG44" s="164"/>
      <c r="AH44" s="164"/>
      <c r="AI44" s="164"/>
      <c r="AJ44" s="164"/>
      <c r="AK44" s="164"/>
      <c r="AL44" s="170"/>
      <c r="AM44" s="170"/>
      <c r="AN44" s="150">
        <v>10</v>
      </c>
    </row>
    <row r="45" spans="1:50">
      <c r="A45" s="157">
        <f t="shared" si="8"/>
        <v>44</v>
      </c>
      <c r="B45" s="157" t="str">
        <f t="shared" si="15"/>
        <v>November</v>
      </c>
      <c r="C45" s="17">
        <f t="shared" si="15"/>
        <v>11</v>
      </c>
      <c r="D45" s="158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60">
        <f t="shared" ref="H45:I45" si="35">H33</f>
        <v>136.383007733</v>
      </c>
      <c r="I45" s="160">
        <f t="shared" si="35"/>
        <v>157.92065503000001</v>
      </c>
      <c r="K45" s="160">
        <f t="shared" si="18"/>
        <v>22.4999583333333</v>
      </c>
      <c r="M45" s="38">
        <v>1161.3630996203065</v>
      </c>
      <c r="N45" s="25">
        <v>10.507</v>
      </c>
      <c r="O45" s="138">
        <f t="shared" si="25"/>
        <v>0.69992314338151795</v>
      </c>
      <c r="P45" s="24">
        <f t="shared" si="26"/>
        <v>5.2640218343333336</v>
      </c>
      <c r="Q45" s="17">
        <f>COUNTIFS('Daily KPI'!D:D,D45,'Daily KPI'!K:K,"&gt;0")</f>
        <v>0</v>
      </c>
      <c r="R45" s="38">
        <f t="shared" si="27"/>
        <v>0</v>
      </c>
      <c r="S45" s="38">
        <f>SUMIF($F$2:F45,F45,$R$2:R45)</f>
        <v>750.48940338545151</v>
      </c>
      <c r="T45" s="24">
        <f t="shared" si="28"/>
        <v>38.712103320676881</v>
      </c>
      <c r="U45" s="38">
        <f t="shared" si="29"/>
        <v>0</v>
      </c>
      <c r="V45" s="38">
        <f>SUMIF($F$2:F45,F45,$U$2:U45)</f>
        <v>5387.2252809622933</v>
      </c>
      <c r="W45" s="164">
        <f t="shared" si="30"/>
        <v>0.15351711287981379</v>
      </c>
      <c r="X45" s="164" t="str">
        <f t="shared" si="5"/>
        <v/>
      </c>
      <c r="Y45" s="164">
        <f t="shared" si="6"/>
        <v>0.16955266408946987</v>
      </c>
      <c r="Z45" s="24">
        <f>IFERROR(AVERAGEIF('Daily KPI'!D:D,Table14[[#This Row],[Month]],'Daily KPI'!AB:AB),"")</f>
        <v>10.507000000000003</v>
      </c>
      <c r="AA45" s="25">
        <f>IFERROR(AVERAGEIF($F$2:F45,F45,$Z$2:Z45),"")</f>
        <v>10.507000000000003</v>
      </c>
      <c r="AD45" s="155">
        <v>0.995</v>
      </c>
      <c r="AE45" s="155">
        <v>0.997</v>
      </c>
      <c r="AF45" s="164">
        <v>0.999</v>
      </c>
      <c r="AG45" s="164"/>
      <c r="AH45" s="164"/>
      <c r="AI45" s="164"/>
      <c r="AJ45" s="164"/>
      <c r="AK45" s="164"/>
      <c r="AL45" s="170"/>
      <c r="AM45" s="170"/>
      <c r="AN45" s="150">
        <v>10</v>
      </c>
    </row>
    <row r="46" spans="1:50">
      <c r="A46" s="157">
        <f t="shared" si="8"/>
        <v>45</v>
      </c>
      <c r="B46" s="157" t="str">
        <f t="shared" si="15"/>
        <v>December</v>
      </c>
      <c r="C46" s="17">
        <f t="shared" si="15"/>
        <v>12</v>
      </c>
      <c r="D46" s="158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60">
        <f t="shared" ref="H46:I46" si="36">H34</f>
        <v>149.379282394</v>
      </c>
      <c r="I46" s="160">
        <f t="shared" si="36"/>
        <v>175.80240230000001</v>
      </c>
      <c r="K46" s="160">
        <f t="shared" si="18"/>
        <v>21.492970430107501</v>
      </c>
      <c r="M46" s="38">
        <v>1338.2661015700651</v>
      </c>
      <c r="N46" s="25">
        <v>10.507</v>
      </c>
      <c r="O46" s="138">
        <f t="shared" si="25"/>
        <v>0.72450091751334023</v>
      </c>
      <c r="P46" s="24">
        <f t="shared" si="26"/>
        <v>5.671045235483871</v>
      </c>
      <c r="Q46" s="17">
        <f>COUNTIFS('Daily KPI'!D:D,D46,'Daily KPI'!K:K,"&gt;0")</f>
        <v>0</v>
      </c>
      <c r="R46" s="38">
        <f t="shared" si="27"/>
        <v>0</v>
      </c>
      <c r="S46" s="38">
        <f>SUMIF($F$2:F46,F46,$R$2:R46)</f>
        <v>750.48940338545151</v>
      </c>
      <c r="T46" s="24">
        <f t="shared" si="28"/>
        <v>43.169874244195647</v>
      </c>
      <c r="U46" s="38">
        <f t="shared" si="29"/>
        <v>0</v>
      </c>
      <c r="V46" s="38">
        <f>SUMIF($F$2:F46,F46,$U$2:U46)</f>
        <v>5387.2252809622933</v>
      </c>
      <c r="W46" s="164">
        <f t="shared" si="30"/>
        <v>0.17119489484865505</v>
      </c>
      <c r="X46" s="164" t="str">
        <f t="shared" si="5"/>
        <v/>
      </c>
      <c r="Y46" s="164">
        <f t="shared" si="6"/>
        <v>0.16955266408946987</v>
      </c>
      <c r="Z46" s="24">
        <f>IFERROR(AVERAGEIF('Daily KPI'!D:D,Table14[[#This Row],[Month]],'Daily KPI'!AB:AB),"")</f>
        <v>10.507000000000003</v>
      </c>
      <c r="AA46" s="25">
        <f>IFERROR(AVERAGEIF($F$2:F46,F46,$Z$2:Z46),"")</f>
        <v>10.507000000000003</v>
      </c>
      <c r="AD46" s="155">
        <v>0.995</v>
      </c>
      <c r="AE46" s="155">
        <v>0.997</v>
      </c>
      <c r="AF46" s="164">
        <v>0.999</v>
      </c>
      <c r="AG46" s="164"/>
      <c r="AH46" s="164"/>
      <c r="AI46" s="164"/>
      <c r="AJ46" s="164"/>
      <c r="AK46" s="164"/>
      <c r="AL46" s="170"/>
      <c r="AM46" s="170"/>
      <c r="AN46" s="150">
        <v>10</v>
      </c>
    </row>
    <row r="47" spans="1:50">
      <c r="A47" s="157">
        <f t="shared" si="8"/>
        <v>46</v>
      </c>
      <c r="B47" s="157" t="str">
        <f t="shared" si="15"/>
        <v>January</v>
      </c>
      <c r="C47" s="17">
        <f t="shared" si="15"/>
        <v>1</v>
      </c>
      <c r="D47" s="158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60">
        <f t="shared" ref="H47:I47" si="37">H35</f>
        <v>172.65914562399999</v>
      </c>
      <c r="I47" s="160">
        <f t="shared" si="37"/>
        <v>210.74158696000001</v>
      </c>
      <c r="K47" s="160">
        <f t="shared" si="18"/>
        <v>22.099986559139801</v>
      </c>
      <c r="M47" s="38">
        <v>1594.1110915761078</v>
      </c>
      <c r="N47" s="25">
        <v>10.507</v>
      </c>
      <c r="O47" s="138">
        <f t="shared" si="25"/>
        <v>0.7199288957448855</v>
      </c>
      <c r="P47" s="24">
        <f t="shared" si="26"/>
        <v>6.7981157083870967</v>
      </c>
      <c r="Q47" s="17">
        <f>COUNTIFS('Daily KPI'!D:D,D47,'Daily KPI'!K:K,"&gt;0")</f>
        <v>0</v>
      </c>
      <c r="R47" s="38">
        <f t="shared" si="27"/>
        <v>0</v>
      </c>
      <c r="S47" s="38">
        <f>SUMIF($F$2:F47,F47,$R$2:R47)</f>
        <v>750.48940338545151</v>
      </c>
      <c r="T47" s="24">
        <f t="shared" si="28"/>
        <v>51.42293843793896</v>
      </c>
      <c r="U47" s="38">
        <f t="shared" si="29"/>
        <v>0</v>
      </c>
      <c r="V47" s="38">
        <f>SUMIF($F$2:F47,F47,$U$2:U47)</f>
        <v>5387.2252809622933</v>
      </c>
      <c r="W47" s="164">
        <f t="shared" si="30"/>
        <v>0.20392333062854509</v>
      </c>
      <c r="X47" s="164" t="str">
        <f t="shared" si="5"/>
        <v/>
      </c>
      <c r="Y47" s="164">
        <f t="shared" si="6"/>
        <v>0.16955266408946987</v>
      </c>
      <c r="Z47" s="24" t="str">
        <f>IFERROR(AVERAGEIF('Daily KPI'!D:D,Table14[[#This Row],[Month]],'Daily KPI'!AB:AB),"")</f>
        <v/>
      </c>
      <c r="AA47" s="25">
        <f>IFERROR(AVERAGEIF($F$2:F47,F47,$Z$2:Z47),"")</f>
        <v>10.507000000000003</v>
      </c>
      <c r="AD47" s="155">
        <v>0.995</v>
      </c>
      <c r="AE47" s="155">
        <v>0.997</v>
      </c>
      <c r="AF47" s="164">
        <v>0.999</v>
      </c>
      <c r="AG47" s="164"/>
      <c r="AH47" s="164"/>
      <c r="AI47" s="164"/>
      <c r="AJ47" s="164"/>
      <c r="AK47" s="164"/>
      <c r="AL47" s="170"/>
      <c r="AM47" s="170"/>
      <c r="AN47" s="150">
        <v>10</v>
      </c>
    </row>
    <row r="48" spans="1:50">
      <c r="A48" s="157">
        <f t="shared" si="8"/>
        <v>47</v>
      </c>
      <c r="B48" s="157" t="str">
        <f t="shared" si="15"/>
        <v>February</v>
      </c>
      <c r="C48" s="17">
        <f t="shared" si="15"/>
        <v>2</v>
      </c>
      <c r="D48" s="158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60">
        <f t="shared" ref="H48:I48" si="38">H36</f>
        <v>174.40611465399999</v>
      </c>
      <c r="I48" s="160">
        <f t="shared" si="38"/>
        <v>212.78878262999999</v>
      </c>
      <c r="K48" s="160">
        <f t="shared" si="18"/>
        <v>24.199895833333301</v>
      </c>
      <c r="M48" s="38">
        <v>1467.2906841640824</v>
      </c>
      <c r="N48" s="25">
        <v>10.507</v>
      </c>
      <c r="O48" s="138">
        <f t="shared" si="25"/>
        <v>0.65627928759805276</v>
      </c>
      <c r="P48" s="24">
        <f t="shared" si="26"/>
        <v>7.5995993796428563</v>
      </c>
      <c r="Q48" s="17">
        <f>COUNTIFS('Daily KPI'!D:D,D48,'Daily KPI'!K:K,"&gt;0")</f>
        <v>0</v>
      </c>
      <c r="R48" s="38">
        <f t="shared" si="27"/>
        <v>0</v>
      </c>
      <c r="S48" s="38">
        <f>SUMIF($F$2:F48,F48,$R$2:R48)</f>
        <v>750.48940338545151</v>
      </c>
      <c r="T48" s="24">
        <f t="shared" si="28"/>
        <v>52.403238720145801</v>
      </c>
      <c r="U48" s="38">
        <f t="shared" si="29"/>
        <v>0</v>
      </c>
      <c r="V48" s="38">
        <f>SUMIF($F$2:F48,F48,$U$2:U48)</f>
        <v>5387.2252809622933</v>
      </c>
      <c r="W48" s="164">
        <f t="shared" si="30"/>
        <v>0.20781081945427571</v>
      </c>
      <c r="X48" s="164" t="str">
        <f t="shared" si="5"/>
        <v/>
      </c>
      <c r="Y48" s="164">
        <f t="shared" si="6"/>
        <v>0.16955266408946987</v>
      </c>
      <c r="Z48" s="24" t="str">
        <f>IFERROR(AVERAGEIF('Daily KPI'!D:D,Table14[[#This Row],[Month]],'Daily KPI'!AB:AB),"")</f>
        <v/>
      </c>
      <c r="AA48" s="25">
        <f>IFERROR(AVERAGEIF($F$2:F48,F48,$Z$2:Z48),"")</f>
        <v>10.507000000000003</v>
      </c>
      <c r="AD48" s="155">
        <v>0.995</v>
      </c>
      <c r="AE48" s="155">
        <v>0.997</v>
      </c>
      <c r="AF48" s="164">
        <v>0.999</v>
      </c>
      <c r="AG48" s="164"/>
      <c r="AH48" s="164"/>
      <c r="AI48" s="164"/>
      <c r="AJ48" s="164"/>
      <c r="AK48" s="164"/>
      <c r="AL48" s="170"/>
      <c r="AM48" s="170"/>
      <c r="AN48" s="150">
        <v>10</v>
      </c>
    </row>
    <row r="49" spans="1:40">
      <c r="A49" s="157">
        <f t="shared" si="8"/>
        <v>48</v>
      </c>
      <c r="B49" s="157" t="str">
        <f t="shared" si="15"/>
        <v>March</v>
      </c>
      <c r="C49" s="17">
        <f t="shared" si="15"/>
        <v>3</v>
      </c>
      <c r="D49" s="158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60">
        <f t="shared" ref="H49:I49" si="39">H37</f>
        <v>205.44670140700001</v>
      </c>
      <c r="I49" s="160">
        <f t="shared" si="39"/>
        <v>247.38205597800001</v>
      </c>
      <c r="K49" s="160">
        <f t="shared" si="18"/>
        <v>26.700255376344099</v>
      </c>
      <c r="M49" s="38">
        <v>1810.595313888912</v>
      </c>
      <c r="N49" s="25">
        <v>10.507</v>
      </c>
      <c r="O49" s="138">
        <f t="shared" si="25"/>
        <v>0.69658555636062236</v>
      </c>
      <c r="P49" s="24">
        <f t="shared" si="26"/>
        <v>7.980066321870968</v>
      </c>
      <c r="Q49" s="17">
        <f>COUNTIFS('Daily KPI'!D:D,D49,'Daily KPI'!K:K,"&gt;0")</f>
        <v>0</v>
      </c>
      <c r="R49" s="38">
        <f t="shared" si="27"/>
        <v>0</v>
      </c>
      <c r="S49" s="38">
        <f>SUMIF($F$2:F49,F49,$R$2:R49)</f>
        <v>750.48940338545151</v>
      </c>
      <c r="T49" s="24">
        <f t="shared" si="28"/>
        <v>58.40630044802942</v>
      </c>
      <c r="U49" s="38">
        <f t="shared" si="29"/>
        <v>0</v>
      </c>
      <c r="V49" s="38">
        <f>SUMIF($F$2:F49,F49,$U$2:U49)</f>
        <v>5387.2252809622933</v>
      </c>
      <c r="W49" s="164">
        <f t="shared" si="30"/>
        <v>0.23161662244229805</v>
      </c>
      <c r="X49" s="164" t="str">
        <f t="shared" si="5"/>
        <v/>
      </c>
      <c r="Y49" s="164">
        <f t="shared" si="6"/>
        <v>0.16955266408946987</v>
      </c>
      <c r="Z49" s="24" t="str">
        <f>IFERROR(AVERAGEIF('Daily KPI'!D:D,Table14[[#This Row],[Month]],'Daily KPI'!AB:AB),"")</f>
        <v/>
      </c>
      <c r="AA49" s="25">
        <f>IFERROR(AVERAGEIF($F$2:F49,F49,$Z$2:Z49),"")</f>
        <v>10.507000000000003</v>
      </c>
      <c r="AD49" s="155">
        <v>0.995</v>
      </c>
      <c r="AE49" s="155">
        <v>0.997</v>
      </c>
      <c r="AF49" s="164">
        <v>0.999</v>
      </c>
      <c r="AG49" s="164"/>
      <c r="AH49" s="164"/>
      <c r="AI49" s="164"/>
      <c r="AJ49" s="164"/>
      <c r="AK49" s="164"/>
      <c r="AL49" s="172"/>
      <c r="AM49" s="172"/>
      <c r="AN49" s="150">
        <v>10</v>
      </c>
    </row>
    <row r="52" spans="1:40">
      <c r="M52" s="17">
        <v>1796043.7400692529</v>
      </c>
      <c r="N52" s="17">
        <f>M52/1000</f>
        <v>1796.0437400692529</v>
      </c>
    </row>
    <row r="53" spans="1:40">
      <c r="M53" s="17">
        <v>1722663.7863473436</v>
      </c>
      <c r="N53" s="17">
        <f t="shared" ref="N53:N63" si="40">M53/1000</f>
        <v>1722.6637863473436</v>
      </c>
    </row>
    <row r="54" spans="1:40">
      <c r="M54" s="17">
        <v>1270329.9882142369</v>
      </c>
      <c r="N54" s="17">
        <f t="shared" si="40"/>
        <v>1270.3299882142369</v>
      </c>
    </row>
    <row r="55" spans="1:40">
      <c r="M55" s="17">
        <v>1065924.7175670129</v>
      </c>
      <c r="N55" s="17">
        <f t="shared" si="40"/>
        <v>1065.924717567013</v>
      </c>
    </row>
    <row r="56" spans="1:40">
      <c r="M56" s="17">
        <v>1106298.1095502812</v>
      </c>
      <c r="N56" s="17">
        <f t="shared" si="40"/>
        <v>1106.2981095502812</v>
      </c>
    </row>
    <row r="57" spans="1:40">
      <c r="M57" s="17">
        <v>1316920.9396026691</v>
      </c>
      <c r="N57" s="17">
        <f t="shared" si="40"/>
        <v>1316.920939602669</v>
      </c>
    </row>
    <row r="58" spans="1:40">
      <c r="M58" s="17">
        <v>1364355.656027816</v>
      </c>
      <c r="N58" s="17">
        <f t="shared" si="40"/>
        <v>1364.3556560278159</v>
      </c>
    </row>
    <row r="59" spans="1:40">
      <c r="M59" s="17">
        <v>1286868.6937107136</v>
      </c>
      <c r="N59" s="17">
        <f t="shared" si="40"/>
        <v>1286.8686937107136</v>
      </c>
    </row>
    <row r="60" spans="1:40">
      <c r="M60" s="17">
        <v>1432329.582014051</v>
      </c>
      <c r="N60" s="17">
        <f t="shared" si="40"/>
        <v>1432.3295820140511</v>
      </c>
    </row>
    <row r="61" spans="1:40">
      <c r="M61" s="17">
        <v>1634508.3254696075</v>
      </c>
      <c r="N61" s="17">
        <f t="shared" si="40"/>
        <v>1634.5083254696076</v>
      </c>
    </row>
    <row r="62" spans="1:40">
      <c r="M62" s="17">
        <v>1635740.3774081625</v>
      </c>
      <c r="N62" s="17">
        <f t="shared" si="40"/>
        <v>1635.7403774081624</v>
      </c>
    </row>
    <row r="63" spans="1:40">
      <c r="M63" s="17">
        <v>1947603.058177213</v>
      </c>
      <c r="N63" s="17">
        <f t="shared" si="40"/>
        <v>1947.6030581772129</v>
      </c>
    </row>
  </sheetData>
  <phoneticPr fontId="7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217" activePane="bottomRight" state="frozen"/>
      <selection activeCell="I9" sqref="I9"/>
      <selection pane="topRight" activeCell="I9" sqref="I9"/>
      <selection pane="bottomLeft" activeCell="I9" sqref="I9"/>
      <selection pane="bottomRight" activeCell="J1217" sqref="J1217:Q1231"/>
    </sheetView>
  </sheetViews>
  <sheetFormatPr defaultColWidth="9" defaultRowHeight="15"/>
  <cols>
    <col min="1" max="1" width="11.42578125" customWidth="1"/>
    <col min="2" max="2" width="11.140625" customWidth="1"/>
    <col min="3" max="3" width="12.42578125" customWidth="1"/>
    <col min="4" max="4" width="14.140625" customWidth="1"/>
    <col min="5" max="5" width="13" customWidth="1"/>
    <col min="6" max="6" width="9" style="2" customWidth="1"/>
    <col min="8" max="8" width="10.42578125" customWidth="1"/>
    <col min="10" max="15" width="10.42578125" style="2" customWidth="1"/>
    <col min="16" max="17" width="8.5703125" style="2"/>
  </cols>
  <sheetData>
    <row r="1" spans="1:17" ht="2.4500000000000002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42" t="s">
        <v>178</v>
      </c>
      <c r="B2" s="42" t="s">
        <v>214</v>
      </c>
      <c r="C2" s="42" t="s">
        <v>215</v>
      </c>
      <c r="D2" s="42" t="s">
        <v>179</v>
      </c>
      <c r="E2" s="42" t="s">
        <v>180</v>
      </c>
      <c r="F2" s="21" t="s">
        <v>139</v>
      </c>
      <c r="G2" s="42" t="s">
        <v>65</v>
      </c>
      <c r="H2" s="43" t="s">
        <v>36</v>
      </c>
      <c r="I2" s="42" t="s">
        <v>181</v>
      </c>
      <c r="J2" s="48" t="s">
        <v>184</v>
      </c>
      <c r="K2" s="48" t="s">
        <v>185</v>
      </c>
      <c r="L2" s="48" t="s">
        <v>186</v>
      </c>
      <c r="M2" s="48" t="s">
        <v>187</v>
      </c>
      <c r="N2" s="48" t="s">
        <v>188</v>
      </c>
      <c r="O2" s="48" t="s">
        <v>189</v>
      </c>
      <c r="P2" s="49" t="s">
        <v>216</v>
      </c>
      <c r="Q2" s="49" t="s">
        <v>217</v>
      </c>
    </row>
    <row r="3" spans="1:17">
      <c r="A3" s="2" t="s">
        <v>208</v>
      </c>
      <c r="B3" s="44">
        <v>4</v>
      </c>
      <c r="C3" s="44">
        <v>2022</v>
      </c>
      <c r="D3" s="44" t="s">
        <v>209</v>
      </c>
      <c r="E3" s="44" t="s">
        <v>209</v>
      </c>
      <c r="F3" s="31">
        <v>44652</v>
      </c>
      <c r="G3" s="44">
        <f>DAY(EOMONTH(F3,0))</f>
        <v>30</v>
      </c>
      <c r="H3" s="45">
        <v>44652</v>
      </c>
      <c r="I3" s="139">
        <f>_xlfn.XLOOKUP(Table12[[#This Row],[Month Year]],'Modelling New'!D:D,'Modelling New'!N:N)</f>
        <v>10.507</v>
      </c>
      <c r="J3" s="50" t="e">
        <f>'Raw Data'!#REF!/J$1</f>
        <v>#REF!</v>
      </c>
      <c r="K3" s="50" t="e">
        <f>'Raw Data'!#REF!/K$1</f>
        <v>#REF!</v>
      </c>
      <c r="L3" s="50" t="e">
        <f>'Raw Data'!#REF!/L$1</f>
        <v>#REF!</v>
      </c>
      <c r="M3" s="50" t="e">
        <f>'Raw Data'!#REF!/M$1</f>
        <v>#REF!</v>
      </c>
      <c r="N3" s="50" t="e">
        <f>'Raw Data'!#REF!/N$1</f>
        <v>#REF!</v>
      </c>
      <c r="O3" s="50" t="e">
        <f>'Raw Data'!#REF!/O$1</f>
        <v>#REF!</v>
      </c>
      <c r="P3" s="50" t="str">
        <f>IFERROR(AVERAGEIF(J3:O3,"&gt;"&amp;0,J3:O3),"")</f>
        <v/>
      </c>
      <c r="Q3" s="50" t="e">
        <f>MAXA(J3:O3)</f>
        <v>#REF!</v>
      </c>
    </row>
    <row r="4" spans="1:17">
      <c r="A4" s="2" t="s">
        <v>208</v>
      </c>
      <c r="B4" s="46">
        <v>4</v>
      </c>
      <c r="C4" s="46">
        <v>2022</v>
      </c>
      <c r="D4" s="46" t="s">
        <v>209</v>
      </c>
      <c r="E4" s="46" t="s">
        <v>209</v>
      </c>
      <c r="F4" s="31">
        <v>44652</v>
      </c>
      <c r="G4" s="46">
        <f t="shared" ref="G4:G67" si="0">DAY(EOMONTH(F4,0))</f>
        <v>30</v>
      </c>
      <c r="H4" s="47">
        <f>H3+1</f>
        <v>44653</v>
      </c>
      <c r="I4" s="140">
        <f>_xlfn.XLOOKUP(Table12[[#This Row],[Month Year]],'Modelling New'!D:D,'Modelling New'!N:N)</f>
        <v>10.507</v>
      </c>
      <c r="J4" s="50" t="e">
        <f>'Raw Data'!#REF!/J$1</f>
        <v>#REF!</v>
      </c>
      <c r="K4" s="50" t="e">
        <f>'Raw Data'!#REF!/K$1</f>
        <v>#REF!</v>
      </c>
      <c r="L4" s="50" t="e">
        <f>'Raw Data'!#REF!/L$1</f>
        <v>#REF!</v>
      </c>
      <c r="M4" s="50" t="e">
        <f>'Raw Data'!#REF!/M$1</f>
        <v>#REF!</v>
      </c>
      <c r="N4" s="50" t="e">
        <f>'Raw Data'!#REF!/N$1</f>
        <v>#REF!</v>
      </c>
      <c r="O4" s="50" t="e">
        <f>'Raw Data'!#REF!/O$1</f>
        <v>#REF!</v>
      </c>
      <c r="P4" s="50" t="str">
        <f t="shared" ref="P4:P33" si="1">IFERROR(AVERAGEIF(J4:O4,"&gt;"&amp;0,J4:O4),"")</f>
        <v/>
      </c>
      <c r="Q4" s="50" t="e">
        <f t="shared" ref="Q4:Q33" si="2">MAXA(J4:O4)</f>
        <v>#REF!</v>
      </c>
    </row>
    <row r="5" spans="1:17">
      <c r="A5" s="2" t="s">
        <v>208</v>
      </c>
      <c r="B5" s="44">
        <v>4</v>
      </c>
      <c r="C5" s="44">
        <v>2022</v>
      </c>
      <c r="D5" s="44" t="s">
        <v>209</v>
      </c>
      <c r="E5" s="44" t="s">
        <v>209</v>
      </c>
      <c r="F5" s="31">
        <v>44652</v>
      </c>
      <c r="G5" s="44">
        <f t="shared" si="0"/>
        <v>30</v>
      </c>
      <c r="H5" s="45">
        <f t="shared" ref="H5:H33" si="3">H4+1</f>
        <v>44654</v>
      </c>
      <c r="I5" s="139">
        <f>_xlfn.XLOOKUP(Table12[[#This Row],[Month Year]],'Modelling New'!D:D,'Modelling New'!N:N)</f>
        <v>10.507</v>
      </c>
      <c r="J5" s="50" t="e">
        <f>'Raw Data'!#REF!/J$1</f>
        <v>#REF!</v>
      </c>
      <c r="K5" s="50" t="e">
        <f>'Raw Data'!#REF!/K$1</f>
        <v>#REF!</v>
      </c>
      <c r="L5" s="50" t="e">
        <f>'Raw Data'!#REF!/L$1</f>
        <v>#REF!</v>
      </c>
      <c r="M5" s="50" t="e">
        <f>'Raw Data'!#REF!/M$1</f>
        <v>#REF!</v>
      </c>
      <c r="N5" s="50" t="e">
        <f>'Raw Data'!#REF!/N$1</f>
        <v>#REF!</v>
      </c>
      <c r="O5" s="50" t="e">
        <f>'Raw Data'!#REF!/O$1</f>
        <v>#REF!</v>
      </c>
      <c r="P5" s="50" t="str">
        <f t="shared" si="1"/>
        <v/>
      </c>
      <c r="Q5" s="50" t="e">
        <f t="shared" si="2"/>
        <v>#REF!</v>
      </c>
    </row>
    <row r="6" spans="1:17">
      <c r="A6" s="2" t="s">
        <v>208</v>
      </c>
      <c r="B6" s="46">
        <v>4</v>
      </c>
      <c r="C6" s="46">
        <v>2022</v>
      </c>
      <c r="D6" s="46" t="s">
        <v>209</v>
      </c>
      <c r="E6" s="46" t="s">
        <v>209</v>
      </c>
      <c r="F6" s="31">
        <v>44652</v>
      </c>
      <c r="G6" s="46">
        <f t="shared" si="0"/>
        <v>30</v>
      </c>
      <c r="H6" s="47">
        <f t="shared" si="3"/>
        <v>44655</v>
      </c>
      <c r="I6" s="140">
        <f>_xlfn.XLOOKUP(Table12[[#This Row],[Month Year]],'Modelling New'!D:D,'Modelling New'!N:N)</f>
        <v>10.507</v>
      </c>
      <c r="J6" s="50" t="e">
        <f>'Raw Data'!#REF!/J$1</f>
        <v>#REF!</v>
      </c>
      <c r="K6" s="50" t="e">
        <f>'Raw Data'!#REF!/K$1</f>
        <v>#REF!</v>
      </c>
      <c r="L6" s="50" t="e">
        <f>'Raw Data'!#REF!/L$1</f>
        <v>#REF!</v>
      </c>
      <c r="M6" s="50" t="e">
        <f>'Raw Data'!#REF!/M$1</f>
        <v>#REF!</v>
      </c>
      <c r="N6" s="50" t="e">
        <f>'Raw Data'!#REF!/N$1</f>
        <v>#REF!</v>
      </c>
      <c r="O6" s="50" t="e">
        <f>'Raw Data'!#REF!/O$1</f>
        <v>#REF!</v>
      </c>
      <c r="P6" s="50" t="str">
        <f t="shared" si="1"/>
        <v/>
      </c>
      <c r="Q6" s="50" t="e">
        <f t="shared" si="2"/>
        <v>#REF!</v>
      </c>
    </row>
    <row r="7" spans="1:17">
      <c r="A7" s="2" t="s">
        <v>208</v>
      </c>
      <c r="B7" s="44">
        <v>4</v>
      </c>
      <c r="C7" s="44">
        <v>2022</v>
      </c>
      <c r="D7" s="44" t="s">
        <v>209</v>
      </c>
      <c r="E7" s="44" t="s">
        <v>209</v>
      </c>
      <c r="F7" s="31">
        <v>44652</v>
      </c>
      <c r="G7" s="44">
        <f t="shared" si="0"/>
        <v>30</v>
      </c>
      <c r="H7" s="45">
        <f t="shared" si="3"/>
        <v>44656</v>
      </c>
      <c r="I7" s="139">
        <f>_xlfn.XLOOKUP(Table12[[#This Row],[Month Year]],'Modelling New'!D:D,'Modelling New'!N:N)</f>
        <v>10.507</v>
      </c>
      <c r="J7" s="50" t="e">
        <f>'Raw Data'!#REF!/J$1</f>
        <v>#REF!</v>
      </c>
      <c r="K7" s="50" t="e">
        <f>'Raw Data'!#REF!/K$1</f>
        <v>#REF!</v>
      </c>
      <c r="L7" s="50" t="e">
        <f>'Raw Data'!#REF!/L$1</f>
        <v>#REF!</v>
      </c>
      <c r="M7" s="50" t="e">
        <f>'Raw Data'!#REF!/M$1</f>
        <v>#REF!</v>
      </c>
      <c r="N7" s="50" t="e">
        <f>'Raw Data'!#REF!/N$1</f>
        <v>#REF!</v>
      </c>
      <c r="O7" s="50" t="e">
        <f>'Raw Data'!#REF!/O$1</f>
        <v>#REF!</v>
      </c>
      <c r="P7" s="50" t="str">
        <f t="shared" si="1"/>
        <v/>
      </c>
      <c r="Q7" s="50" t="e">
        <f t="shared" si="2"/>
        <v>#REF!</v>
      </c>
    </row>
    <row r="8" spans="1:17">
      <c r="A8" s="2" t="s">
        <v>208</v>
      </c>
      <c r="B8" s="46">
        <v>4</v>
      </c>
      <c r="C8" s="46">
        <v>2022</v>
      </c>
      <c r="D8" s="46" t="s">
        <v>209</v>
      </c>
      <c r="E8" s="46" t="s">
        <v>209</v>
      </c>
      <c r="F8" s="31">
        <v>44652</v>
      </c>
      <c r="G8" s="46">
        <f t="shared" si="0"/>
        <v>30</v>
      </c>
      <c r="H8" s="47">
        <f t="shared" si="3"/>
        <v>44657</v>
      </c>
      <c r="I8" s="140">
        <f>_xlfn.XLOOKUP(Table12[[#This Row],[Month Year]],'Modelling New'!D:D,'Modelling New'!N:N)</f>
        <v>10.507</v>
      </c>
      <c r="J8" s="50" t="e">
        <f>'Raw Data'!#REF!/J$1</f>
        <v>#REF!</v>
      </c>
      <c r="K8" s="50" t="e">
        <f>'Raw Data'!#REF!/K$1</f>
        <v>#REF!</v>
      </c>
      <c r="L8" s="50" t="e">
        <f>'Raw Data'!#REF!/L$1</f>
        <v>#REF!</v>
      </c>
      <c r="M8" s="50" t="e">
        <f>'Raw Data'!#REF!/M$1</f>
        <v>#REF!</v>
      </c>
      <c r="N8" s="50" t="e">
        <f>'Raw Data'!#REF!/N$1</f>
        <v>#REF!</v>
      </c>
      <c r="O8" s="50" t="e">
        <f>'Raw Data'!#REF!/O$1</f>
        <v>#REF!</v>
      </c>
      <c r="P8" s="50" t="str">
        <f t="shared" si="1"/>
        <v/>
      </c>
      <c r="Q8" s="50" t="e">
        <f t="shared" si="2"/>
        <v>#REF!</v>
      </c>
    </row>
    <row r="9" spans="1:17">
      <c r="A9" s="2" t="s">
        <v>208</v>
      </c>
      <c r="B9" s="44">
        <v>4</v>
      </c>
      <c r="C9" s="44">
        <v>2022</v>
      </c>
      <c r="D9" s="44" t="s">
        <v>209</v>
      </c>
      <c r="E9" s="44" t="s">
        <v>209</v>
      </c>
      <c r="F9" s="31">
        <v>44652</v>
      </c>
      <c r="G9" s="44">
        <f t="shared" si="0"/>
        <v>30</v>
      </c>
      <c r="H9" s="45">
        <f t="shared" si="3"/>
        <v>44658</v>
      </c>
      <c r="I9" s="139">
        <f>_xlfn.XLOOKUP(Table12[[#This Row],[Month Year]],'Modelling New'!D:D,'Modelling New'!N:N)</f>
        <v>10.507</v>
      </c>
      <c r="J9" s="50" t="e">
        <f>'Raw Data'!#REF!/J$1</f>
        <v>#REF!</v>
      </c>
      <c r="K9" s="50" t="e">
        <f>'Raw Data'!#REF!/K$1</f>
        <v>#REF!</v>
      </c>
      <c r="L9" s="50" t="e">
        <f>'Raw Data'!#REF!/L$1</f>
        <v>#REF!</v>
      </c>
      <c r="M9" s="50" t="e">
        <f>'Raw Data'!#REF!/M$1</f>
        <v>#REF!</v>
      </c>
      <c r="N9" s="50" t="e">
        <f>'Raw Data'!#REF!/N$1</f>
        <v>#REF!</v>
      </c>
      <c r="O9" s="50" t="e">
        <f>'Raw Data'!#REF!/O$1</f>
        <v>#REF!</v>
      </c>
      <c r="P9" s="50" t="str">
        <f t="shared" si="1"/>
        <v/>
      </c>
      <c r="Q9" s="50" t="e">
        <f t="shared" si="2"/>
        <v>#REF!</v>
      </c>
    </row>
    <row r="10" spans="1:17">
      <c r="A10" s="2" t="s">
        <v>208</v>
      </c>
      <c r="B10" s="46">
        <v>4</v>
      </c>
      <c r="C10" s="46">
        <v>2022</v>
      </c>
      <c r="D10" s="46" t="s">
        <v>209</v>
      </c>
      <c r="E10" s="46" t="s">
        <v>209</v>
      </c>
      <c r="F10" s="31">
        <v>44652</v>
      </c>
      <c r="G10" s="46">
        <f t="shared" si="0"/>
        <v>30</v>
      </c>
      <c r="H10" s="47">
        <f t="shared" si="3"/>
        <v>44659</v>
      </c>
      <c r="I10" s="140">
        <f>_xlfn.XLOOKUP(Table12[[#This Row],[Month Year]],'Modelling New'!D:D,'Modelling New'!N:N)</f>
        <v>10.507</v>
      </c>
      <c r="J10" s="50" t="e">
        <f>'Raw Data'!#REF!/J$1</f>
        <v>#REF!</v>
      </c>
      <c r="K10" s="50" t="e">
        <f>'Raw Data'!#REF!/K$1</f>
        <v>#REF!</v>
      </c>
      <c r="L10" s="50" t="e">
        <f>'Raw Data'!#REF!/L$1</f>
        <v>#REF!</v>
      </c>
      <c r="M10" s="50" t="e">
        <f>'Raw Data'!#REF!/M$1</f>
        <v>#REF!</v>
      </c>
      <c r="N10" s="50" t="e">
        <f>'Raw Data'!#REF!/N$1</f>
        <v>#REF!</v>
      </c>
      <c r="O10" s="50" t="e">
        <f>'Raw Data'!#REF!/O$1</f>
        <v>#REF!</v>
      </c>
      <c r="P10" s="50" t="str">
        <f t="shared" si="1"/>
        <v/>
      </c>
      <c r="Q10" s="50" t="e">
        <f t="shared" si="2"/>
        <v>#REF!</v>
      </c>
    </row>
    <row r="11" spans="1:17">
      <c r="A11" s="2" t="s">
        <v>208</v>
      </c>
      <c r="B11" s="44">
        <v>4</v>
      </c>
      <c r="C11" s="44">
        <v>2022</v>
      </c>
      <c r="D11" s="44" t="s">
        <v>209</v>
      </c>
      <c r="E11" s="44" t="s">
        <v>209</v>
      </c>
      <c r="F11" s="31">
        <v>44652</v>
      </c>
      <c r="G11" s="44">
        <f t="shared" si="0"/>
        <v>30</v>
      </c>
      <c r="H11" s="45">
        <f t="shared" si="3"/>
        <v>44660</v>
      </c>
      <c r="I11" s="139">
        <f>_xlfn.XLOOKUP(Table12[[#This Row],[Month Year]],'Modelling New'!D:D,'Modelling New'!N:N)</f>
        <v>10.507</v>
      </c>
      <c r="J11" s="50" t="e">
        <f>'Raw Data'!#REF!/J$1</f>
        <v>#REF!</v>
      </c>
      <c r="K11" s="50" t="e">
        <f>'Raw Data'!#REF!/K$1</f>
        <v>#REF!</v>
      </c>
      <c r="L11" s="50" t="e">
        <f>'Raw Data'!#REF!/L$1</f>
        <v>#REF!</v>
      </c>
      <c r="M11" s="50" t="e">
        <f>'Raw Data'!#REF!/M$1</f>
        <v>#REF!</v>
      </c>
      <c r="N11" s="50" t="e">
        <f>'Raw Data'!#REF!/N$1</f>
        <v>#REF!</v>
      </c>
      <c r="O11" s="50" t="e">
        <f>'Raw Data'!#REF!/O$1</f>
        <v>#REF!</v>
      </c>
      <c r="P11" s="50" t="str">
        <f t="shared" si="1"/>
        <v/>
      </c>
      <c r="Q11" s="50" t="e">
        <f t="shared" si="2"/>
        <v>#REF!</v>
      </c>
    </row>
    <row r="12" spans="1:17">
      <c r="A12" s="2" t="s">
        <v>208</v>
      </c>
      <c r="B12" s="46">
        <v>4</v>
      </c>
      <c r="C12" s="46">
        <v>2022</v>
      </c>
      <c r="D12" s="46" t="s">
        <v>209</v>
      </c>
      <c r="E12" s="46" t="s">
        <v>209</v>
      </c>
      <c r="F12" s="31">
        <v>44652</v>
      </c>
      <c r="G12" s="46">
        <f t="shared" si="0"/>
        <v>30</v>
      </c>
      <c r="H12" s="47">
        <f t="shared" si="3"/>
        <v>44661</v>
      </c>
      <c r="I12" s="140">
        <f>_xlfn.XLOOKUP(Table12[[#This Row],[Month Year]],'Modelling New'!D:D,'Modelling New'!N:N)</f>
        <v>10.507</v>
      </c>
      <c r="J12" s="50" t="e">
        <f>'Raw Data'!#REF!/J$1</f>
        <v>#REF!</v>
      </c>
      <c r="K12" s="50" t="e">
        <f>'Raw Data'!#REF!/K$1</f>
        <v>#REF!</v>
      </c>
      <c r="L12" s="50" t="e">
        <f>'Raw Data'!#REF!/L$1</f>
        <v>#REF!</v>
      </c>
      <c r="M12" s="50" t="e">
        <f>'Raw Data'!#REF!/M$1</f>
        <v>#REF!</v>
      </c>
      <c r="N12" s="50" t="e">
        <f>'Raw Data'!#REF!/N$1</f>
        <v>#REF!</v>
      </c>
      <c r="O12" s="50" t="e">
        <f>'Raw Data'!#REF!/O$1</f>
        <v>#REF!</v>
      </c>
      <c r="P12" s="50" t="str">
        <f t="shared" si="1"/>
        <v/>
      </c>
      <c r="Q12" s="50" t="e">
        <f t="shared" si="2"/>
        <v>#REF!</v>
      </c>
    </row>
    <row r="13" spans="1:17">
      <c r="A13" s="2" t="s">
        <v>208</v>
      </c>
      <c r="B13" s="44">
        <v>4</v>
      </c>
      <c r="C13" s="44">
        <v>2022</v>
      </c>
      <c r="D13" s="44" t="s">
        <v>209</v>
      </c>
      <c r="E13" s="44" t="s">
        <v>209</v>
      </c>
      <c r="F13" s="31">
        <v>44652</v>
      </c>
      <c r="G13" s="44">
        <f t="shared" si="0"/>
        <v>30</v>
      </c>
      <c r="H13" s="45">
        <f t="shared" si="3"/>
        <v>44662</v>
      </c>
      <c r="I13" s="139">
        <f>_xlfn.XLOOKUP(Table12[[#This Row],[Month Year]],'Modelling New'!D:D,'Modelling New'!N:N)</f>
        <v>10.507</v>
      </c>
      <c r="J13" s="50" t="e">
        <f>'Raw Data'!#REF!/J$1</f>
        <v>#REF!</v>
      </c>
      <c r="K13" s="50" t="e">
        <f>'Raw Data'!#REF!/K$1</f>
        <v>#REF!</v>
      </c>
      <c r="L13" s="50" t="e">
        <f>'Raw Data'!#REF!/L$1</f>
        <v>#REF!</v>
      </c>
      <c r="M13" s="50" t="e">
        <f>'Raw Data'!#REF!/M$1</f>
        <v>#REF!</v>
      </c>
      <c r="N13" s="50" t="e">
        <f>'Raw Data'!#REF!/N$1</f>
        <v>#REF!</v>
      </c>
      <c r="O13" s="50" t="e">
        <f>'Raw Data'!#REF!/O$1</f>
        <v>#REF!</v>
      </c>
      <c r="P13" s="50" t="str">
        <f t="shared" si="1"/>
        <v/>
      </c>
      <c r="Q13" s="50" t="e">
        <f t="shared" si="2"/>
        <v>#REF!</v>
      </c>
    </row>
    <row r="14" spans="1:17">
      <c r="A14" s="2" t="s">
        <v>208</v>
      </c>
      <c r="B14" s="46">
        <v>4</v>
      </c>
      <c r="C14" s="46">
        <v>2022</v>
      </c>
      <c r="D14" s="46" t="s">
        <v>209</v>
      </c>
      <c r="E14" s="46" t="s">
        <v>209</v>
      </c>
      <c r="F14" s="31">
        <v>44652</v>
      </c>
      <c r="G14" s="46">
        <f t="shared" si="0"/>
        <v>30</v>
      </c>
      <c r="H14" s="47">
        <f t="shared" si="3"/>
        <v>44663</v>
      </c>
      <c r="I14" s="140">
        <f>_xlfn.XLOOKUP(Table12[[#This Row],[Month Year]],'Modelling New'!D:D,'Modelling New'!N:N)</f>
        <v>10.507</v>
      </c>
      <c r="J14" s="50" t="e">
        <f>'Raw Data'!#REF!/J$1</f>
        <v>#REF!</v>
      </c>
      <c r="K14" s="50" t="e">
        <f>'Raw Data'!#REF!/K$1</f>
        <v>#REF!</v>
      </c>
      <c r="L14" s="50" t="e">
        <f>'Raw Data'!#REF!/L$1</f>
        <v>#REF!</v>
      </c>
      <c r="M14" s="50" t="e">
        <f>'Raw Data'!#REF!/M$1</f>
        <v>#REF!</v>
      </c>
      <c r="N14" s="50" t="e">
        <f>'Raw Data'!#REF!/N$1</f>
        <v>#REF!</v>
      </c>
      <c r="O14" s="50" t="e">
        <f>'Raw Data'!#REF!/O$1</f>
        <v>#REF!</v>
      </c>
      <c r="P14" s="50" t="str">
        <f t="shared" si="1"/>
        <v/>
      </c>
      <c r="Q14" s="50" t="e">
        <f t="shared" si="2"/>
        <v>#REF!</v>
      </c>
    </row>
    <row r="15" spans="1:17">
      <c r="A15" s="2" t="s">
        <v>208</v>
      </c>
      <c r="B15" s="44">
        <v>4</v>
      </c>
      <c r="C15" s="44">
        <v>2022</v>
      </c>
      <c r="D15" s="44" t="s">
        <v>209</v>
      </c>
      <c r="E15" s="44" t="s">
        <v>209</v>
      </c>
      <c r="F15" s="31">
        <v>44652</v>
      </c>
      <c r="G15" s="44">
        <f t="shared" si="0"/>
        <v>30</v>
      </c>
      <c r="H15" s="45">
        <f t="shared" si="3"/>
        <v>44664</v>
      </c>
      <c r="I15" s="139">
        <f>_xlfn.XLOOKUP(Table12[[#This Row],[Month Year]],'Modelling New'!D:D,'Modelling New'!N:N)</f>
        <v>10.507</v>
      </c>
      <c r="J15" s="50" t="e">
        <f>'Raw Data'!#REF!/J$1</f>
        <v>#REF!</v>
      </c>
      <c r="K15" s="50" t="e">
        <f>'Raw Data'!#REF!/K$1</f>
        <v>#REF!</v>
      </c>
      <c r="L15" s="50" t="e">
        <f>'Raw Data'!#REF!/L$1</f>
        <v>#REF!</v>
      </c>
      <c r="M15" s="50" t="e">
        <f>'Raw Data'!#REF!/M$1</f>
        <v>#REF!</v>
      </c>
      <c r="N15" s="50" t="e">
        <f>'Raw Data'!#REF!/N$1</f>
        <v>#REF!</v>
      </c>
      <c r="O15" s="50" t="e">
        <f>'Raw Data'!#REF!/O$1</f>
        <v>#REF!</v>
      </c>
      <c r="P15" s="50" t="str">
        <f t="shared" si="1"/>
        <v/>
      </c>
      <c r="Q15" s="50" t="e">
        <f t="shared" si="2"/>
        <v>#REF!</v>
      </c>
    </row>
    <row r="16" spans="1:17">
      <c r="A16" s="2" t="s">
        <v>208</v>
      </c>
      <c r="B16" s="46">
        <v>4</v>
      </c>
      <c r="C16" s="46">
        <v>2022</v>
      </c>
      <c r="D16" s="46" t="s">
        <v>209</v>
      </c>
      <c r="E16" s="46" t="s">
        <v>209</v>
      </c>
      <c r="F16" s="31">
        <v>44652</v>
      </c>
      <c r="G16" s="46">
        <f t="shared" si="0"/>
        <v>30</v>
      </c>
      <c r="H16" s="47">
        <f t="shared" si="3"/>
        <v>44665</v>
      </c>
      <c r="I16" s="140">
        <f>_xlfn.XLOOKUP(Table12[[#This Row],[Month Year]],'Modelling New'!D:D,'Modelling New'!N:N)</f>
        <v>10.507</v>
      </c>
      <c r="J16" s="50" t="e">
        <f>'Raw Data'!#REF!/J$1</f>
        <v>#REF!</v>
      </c>
      <c r="K16" s="50" t="e">
        <f>'Raw Data'!#REF!/K$1</f>
        <v>#REF!</v>
      </c>
      <c r="L16" s="50" t="e">
        <f>'Raw Data'!#REF!/L$1</f>
        <v>#REF!</v>
      </c>
      <c r="M16" s="50" t="e">
        <f>'Raw Data'!#REF!/M$1</f>
        <v>#REF!</v>
      </c>
      <c r="N16" s="50" t="e">
        <f>'Raw Data'!#REF!/N$1</f>
        <v>#REF!</v>
      </c>
      <c r="O16" s="50" t="e">
        <f>'Raw Data'!#REF!/O$1</f>
        <v>#REF!</v>
      </c>
      <c r="P16" s="50" t="str">
        <f t="shared" si="1"/>
        <v/>
      </c>
      <c r="Q16" s="50" t="e">
        <f t="shared" si="2"/>
        <v>#REF!</v>
      </c>
    </row>
    <row r="17" spans="1:17">
      <c r="A17" s="2" t="s">
        <v>208</v>
      </c>
      <c r="B17" s="44">
        <v>4</v>
      </c>
      <c r="C17" s="44">
        <v>2022</v>
      </c>
      <c r="D17" s="44" t="s">
        <v>209</v>
      </c>
      <c r="E17" s="44" t="s">
        <v>209</v>
      </c>
      <c r="F17" s="31">
        <v>44652</v>
      </c>
      <c r="G17" s="44">
        <f t="shared" si="0"/>
        <v>30</v>
      </c>
      <c r="H17" s="45">
        <f t="shared" si="3"/>
        <v>44666</v>
      </c>
      <c r="I17" s="139">
        <f>_xlfn.XLOOKUP(Table12[[#This Row],[Month Year]],'Modelling New'!D:D,'Modelling New'!N:N)</f>
        <v>10.507</v>
      </c>
      <c r="J17" s="50" t="e">
        <f>'Raw Data'!#REF!/J$1</f>
        <v>#REF!</v>
      </c>
      <c r="K17" s="50" t="e">
        <f>'Raw Data'!#REF!/K$1</f>
        <v>#REF!</v>
      </c>
      <c r="L17" s="50" t="e">
        <f>'Raw Data'!#REF!/L$1</f>
        <v>#REF!</v>
      </c>
      <c r="M17" s="50" t="e">
        <f>'Raw Data'!#REF!/M$1</f>
        <v>#REF!</v>
      </c>
      <c r="N17" s="50" t="e">
        <f>'Raw Data'!#REF!/N$1</f>
        <v>#REF!</v>
      </c>
      <c r="O17" s="50" t="e">
        <f>'Raw Data'!#REF!/O$1</f>
        <v>#REF!</v>
      </c>
      <c r="P17" s="50" t="str">
        <f t="shared" si="1"/>
        <v/>
      </c>
      <c r="Q17" s="50" t="e">
        <f t="shared" si="2"/>
        <v>#REF!</v>
      </c>
    </row>
    <row r="18" spans="1:17">
      <c r="A18" s="2" t="s">
        <v>208</v>
      </c>
      <c r="B18" s="46">
        <v>4</v>
      </c>
      <c r="C18" s="46">
        <v>2022</v>
      </c>
      <c r="D18" s="46" t="s">
        <v>209</v>
      </c>
      <c r="E18" s="46" t="s">
        <v>209</v>
      </c>
      <c r="F18" s="31">
        <v>44652</v>
      </c>
      <c r="G18" s="46">
        <f t="shared" si="0"/>
        <v>30</v>
      </c>
      <c r="H18" s="47">
        <f t="shared" si="3"/>
        <v>44667</v>
      </c>
      <c r="I18" s="140">
        <f>_xlfn.XLOOKUP(Table12[[#This Row],[Month Year]],'Modelling New'!D:D,'Modelling New'!N:N)</f>
        <v>10.507</v>
      </c>
      <c r="J18" s="50" t="e">
        <f>'Raw Data'!#REF!/J$1</f>
        <v>#REF!</v>
      </c>
      <c r="K18" s="50" t="e">
        <f>'Raw Data'!#REF!/K$1</f>
        <v>#REF!</v>
      </c>
      <c r="L18" s="50" t="e">
        <f>'Raw Data'!#REF!/L$1</f>
        <v>#REF!</v>
      </c>
      <c r="M18" s="50" t="e">
        <f>'Raw Data'!#REF!/M$1</f>
        <v>#REF!</v>
      </c>
      <c r="N18" s="50" t="e">
        <f>'Raw Data'!#REF!/N$1</f>
        <v>#REF!</v>
      </c>
      <c r="O18" s="50" t="e">
        <f>'Raw Data'!#REF!/O$1</f>
        <v>#REF!</v>
      </c>
      <c r="P18" s="50" t="str">
        <f t="shared" si="1"/>
        <v/>
      </c>
      <c r="Q18" s="50" t="e">
        <f t="shared" si="2"/>
        <v>#REF!</v>
      </c>
    </row>
    <row r="19" spans="1:17">
      <c r="A19" s="2" t="s">
        <v>208</v>
      </c>
      <c r="B19" s="44">
        <v>4</v>
      </c>
      <c r="C19" s="44">
        <v>2022</v>
      </c>
      <c r="D19" s="44" t="s">
        <v>209</v>
      </c>
      <c r="E19" s="44" t="s">
        <v>209</v>
      </c>
      <c r="F19" s="31">
        <v>44652</v>
      </c>
      <c r="G19" s="44">
        <f t="shared" si="0"/>
        <v>30</v>
      </c>
      <c r="H19" s="45">
        <f t="shared" si="3"/>
        <v>44668</v>
      </c>
      <c r="I19" s="139">
        <f>_xlfn.XLOOKUP(Table12[[#This Row],[Month Year]],'Modelling New'!D:D,'Modelling New'!N:N)</f>
        <v>10.507</v>
      </c>
      <c r="J19" s="50" t="e">
        <f>'Raw Data'!#REF!/J$1</f>
        <v>#REF!</v>
      </c>
      <c r="K19" s="50" t="e">
        <f>'Raw Data'!#REF!/K$1</f>
        <v>#REF!</v>
      </c>
      <c r="L19" s="50" t="e">
        <f>'Raw Data'!#REF!/L$1</f>
        <v>#REF!</v>
      </c>
      <c r="M19" s="50" t="e">
        <f>'Raw Data'!#REF!/M$1</f>
        <v>#REF!</v>
      </c>
      <c r="N19" s="50" t="e">
        <f>'Raw Data'!#REF!/N$1</f>
        <v>#REF!</v>
      </c>
      <c r="O19" s="50" t="e">
        <f>'Raw Data'!#REF!/O$1</f>
        <v>#REF!</v>
      </c>
      <c r="P19" s="50" t="str">
        <f t="shared" si="1"/>
        <v/>
      </c>
      <c r="Q19" s="50" t="e">
        <f t="shared" si="2"/>
        <v>#REF!</v>
      </c>
    </row>
    <row r="20" spans="1:17">
      <c r="A20" s="2" t="s">
        <v>208</v>
      </c>
      <c r="B20" s="46">
        <v>4</v>
      </c>
      <c r="C20" s="46">
        <v>2022</v>
      </c>
      <c r="D20" s="46" t="s">
        <v>209</v>
      </c>
      <c r="E20" s="46" t="s">
        <v>209</v>
      </c>
      <c r="F20" s="31">
        <v>44652</v>
      </c>
      <c r="G20" s="46">
        <f t="shared" si="0"/>
        <v>30</v>
      </c>
      <c r="H20" s="47">
        <f t="shared" si="3"/>
        <v>44669</v>
      </c>
      <c r="I20" s="140">
        <f>_xlfn.XLOOKUP(Table12[[#This Row],[Month Year]],'Modelling New'!D:D,'Modelling New'!N:N)</f>
        <v>10.507</v>
      </c>
      <c r="J20" s="50" t="e">
        <f>'Raw Data'!#REF!/J$1</f>
        <v>#REF!</v>
      </c>
      <c r="K20" s="50" t="e">
        <f>'Raw Data'!#REF!/K$1</f>
        <v>#REF!</v>
      </c>
      <c r="L20" s="50" t="e">
        <f>'Raw Data'!#REF!/L$1</f>
        <v>#REF!</v>
      </c>
      <c r="M20" s="50" t="e">
        <f>'Raw Data'!#REF!/M$1</f>
        <v>#REF!</v>
      </c>
      <c r="N20" s="50" t="e">
        <f>'Raw Data'!#REF!/N$1</f>
        <v>#REF!</v>
      </c>
      <c r="O20" s="50" t="e">
        <f>'Raw Data'!#REF!/O$1</f>
        <v>#REF!</v>
      </c>
      <c r="P20" s="50" t="str">
        <f t="shared" si="1"/>
        <v/>
      </c>
      <c r="Q20" s="50" t="e">
        <f t="shared" si="2"/>
        <v>#REF!</v>
      </c>
    </row>
    <row r="21" spans="1:17">
      <c r="A21" s="2" t="s">
        <v>208</v>
      </c>
      <c r="B21" s="44">
        <v>4</v>
      </c>
      <c r="C21" s="44">
        <v>2022</v>
      </c>
      <c r="D21" s="44" t="s">
        <v>209</v>
      </c>
      <c r="E21" s="44" t="s">
        <v>209</v>
      </c>
      <c r="F21" s="31">
        <v>44652</v>
      </c>
      <c r="G21" s="44">
        <f t="shared" si="0"/>
        <v>30</v>
      </c>
      <c r="H21" s="45">
        <f t="shared" si="3"/>
        <v>44670</v>
      </c>
      <c r="I21" s="139">
        <f>_xlfn.XLOOKUP(Table12[[#This Row],[Month Year]],'Modelling New'!D:D,'Modelling New'!N:N)</f>
        <v>10.507</v>
      </c>
      <c r="J21" s="50" t="e">
        <f>'Raw Data'!#REF!/J$1</f>
        <v>#REF!</v>
      </c>
      <c r="K21" s="50" t="e">
        <f>'Raw Data'!#REF!/K$1</f>
        <v>#REF!</v>
      </c>
      <c r="L21" s="50" t="e">
        <f>'Raw Data'!#REF!/L$1</f>
        <v>#REF!</v>
      </c>
      <c r="M21" s="50" t="e">
        <f>'Raw Data'!#REF!/M$1</f>
        <v>#REF!</v>
      </c>
      <c r="N21" s="50" t="e">
        <f>'Raw Data'!#REF!/N$1</f>
        <v>#REF!</v>
      </c>
      <c r="O21" s="50" t="e">
        <f>'Raw Data'!#REF!/O$1</f>
        <v>#REF!</v>
      </c>
      <c r="P21" s="50" t="str">
        <f t="shared" si="1"/>
        <v/>
      </c>
      <c r="Q21" s="50" t="e">
        <f t="shared" si="2"/>
        <v>#REF!</v>
      </c>
    </row>
    <row r="22" spans="1:17">
      <c r="A22" s="2" t="s">
        <v>208</v>
      </c>
      <c r="B22" s="46">
        <v>4</v>
      </c>
      <c r="C22" s="46">
        <v>2022</v>
      </c>
      <c r="D22" s="46" t="s">
        <v>209</v>
      </c>
      <c r="E22" s="46" t="s">
        <v>209</v>
      </c>
      <c r="F22" s="31">
        <v>44652</v>
      </c>
      <c r="G22" s="46">
        <f t="shared" si="0"/>
        <v>30</v>
      </c>
      <c r="H22" s="47">
        <f t="shared" si="3"/>
        <v>44671</v>
      </c>
      <c r="I22" s="140">
        <f>_xlfn.XLOOKUP(Table12[[#This Row],[Month Year]],'Modelling New'!D:D,'Modelling New'!N:N)</f>
        <v>10.507</v>
      </c>
      <c r="J22" s="50" t="e">
        <f>'Raw Data'!#REF!/J$1</f>
        <v>#REF!</v>
      </c>
      <c r="K22" s="50" t="e">
        <f>'Raw Data'!#REF!/K$1</f>
        <v>#REF!</v>
      </c>
      <c r="L22" s="50" t="e">
        <f>'Raw Data'!#REF!/L$1</f>
        <v>#REF!</v>
      </c>
      <c r="M22" s="50" t="e">
        <f>'Raw Data'!#REF!/M$1</f>
        <v>#REF!</v>
      </c>
      <c r="N22" s="50" t="e">
        <f>'Raw Data'!#REF!/N$1</f>
        <v>#REF!</v>
      </c>
      <c r="O22" s="50" t="e">
        <f>'Raw Data'!#REF!/O$1</f>
        <v>#REF!</v>
      </c>
      <c r="P22" s="50" t="str">
        <f t="shared" si="1"/>
        <v/>
      </c>
      <c r="Q22" s="50" t="e">
        <f t="shared" si="2"/>
        <v>#REF!</v>
      </c>
    </row>
    <row r="23" spans="1:17">
      <c r="A23" s="2" t="s">
        <v>208</v>
      </c>
      <c r="B23" s="44">
        <v>4</v>
      </c>
      <c r="C23" s="44">
        <v>2022</v>
      </c>
      <c r="D23" s="44" t="s">
        <v>209</v>
      </c>
      <c r="E23" s="44" t="s">
        <v>209</v>
      </c>
      <c r="F23" s="31">
        <v>44652</v>
      </c>
      <c r="G23" s="44">
        <f t="shared" si="0"/>
        <v>30</v>
      </c>
      <c r="H23" s="45">
        <f t="shared" si="3"/>
        <v>44672</v>
      </c>
      <c r="I23" s="139">
        <f>_xlfn.XLOOKUP(Table12[[#This Row],[Month Year]],'Modelling New'!D:D,'Modelling New'!N:N)</f>
        <v>10.507</v>
      </c>
      <c r="J23" s="50" t="e">
        <f>'Raw Data'!#REF!/J$1</f>
        <v>#REF!</v>
      </c>
      <c r="K23" s="50" t="e">
        <f>'Raw Data'!#REF!/K$1</f>
        <v>#REF!</v>
      </c>
      <c r="L23" s="50" t="e">
        <f>'Raw Data'!#REF!/L$1</f>
        <v>#REF!</v>
      </c>
      <c r="M23" s="50" t="e">
        <f>'Raw Data'!#REF!/M$1</f>
        <v>#REF!</v>
      </c>
      <c r="N23" s="50" t="e">
        <f>'Raw Data'!#REF!/N$1</f>
        <v>#REF!</v>
      </c>
      <c r="O23" s="50" t="e">
        <f>'Raw Data'!#REF!/O$1</f>
        <v>#REF!</v>
      </c>
      <c r="P23" s="50" t="str">
        <f t="shared" si="1"/>
        <v/>
      </c>
      <c r="Q23" s="50" t="e">
        <f t="shared" si="2"/>
        <v>#REF!</v>
      </c>
    </row>
    <row r="24" spans="1:17">
      <c r="A24" s="2" t="s">
        <v>208</v>
      </c>
      <c r="B24" s="46">
        <v>4</v>
      </c>
      <c r="C24" s="46">
        <v>2022</v>
      </c>
      <c r="D24" s="46" t="s">
        <v>209</v>
      </c>
      <c r="E24" s="46" t="s">
        <v>209</v>
      </c>
      <c r="F24" s="31">
        <v>44652</v>
      </c>
      <c r="G24" s="46">
        <f t="shared" si="0"/>
        <v>30</v>
      </c>
      <c r="H24" s="47">
        <f t="shared" si="3"/>
        <v>44673</v>
      </c>
      <c r="I24" s="140">
        <f>_xlfn.XLOOKUP(Table12[[#This Row],[Month Year]],'Modelling New'!D:D,'Modelling New'!N:N)</f>
        <v>10.507</v>
      </c>
      <c r="J24" s="50" t="e">
        <f>'Raw Data'!#REF!/J$1</f>
        <v>#REF!</v>
      </c>
      <c r="K24" s="50" t="e">
        <f>'Raw Data'!#REF!/K$1</f>
        <v>#REF!</v>
      </c>
      <c r="L24" s="50" t="e">
        <f>'Raw Data'!#REF!/L$1</f>
        <v>#REF!</v>
      </c>
      <c r="M24" s="50" t="e">
        <f>'Raw Data'!#REF!/M$1</f>
        <v>#REF!</v>
      </c>
      <c r="N24" s="50" t="e">
        <f>'Raw Data'!#REF!/N$1</f>
        <v>#REF!</v>
      </c>
      <c r="O24" s="50" t="e">
        <f>'Raw Data'!#REF!/O$1</f>
        <v>#REF!</v>
      </c>
      <c r="P24" s="50" t="str">
        <f t="shared" si="1"/>
        <v/>
      </c>
      <c r="Q24" s="50" t="e">
        <f t="shared" si="2"/>
        <v>#REF!</v>
      </c>
    </row>
    <row r="25" spans="1:17">
      <c r="A25" s="2" t="s">
        <v>208</v>
      </c>
      <c r="B25" s="44">
        <v>4</v>
      </c>
      <c r="C25" s="44">
        <v>2022</v>
      </c>
      <c r="D25" s="44" t="s">
        <v>209</v>
      </c>
      <c r="E25" s="44" t="s">
        <v>209</v>
      </c>
      <c r="F25" s="31">
        <v>44652</v>
      </c>
      <c r="G25" s="44">
        <f t="shared" si="0"/>
        <v>30</v>
      </c>
      <c r="H25" s="45">
        <f t="shared" si="3"/>
        <v>44674</v>
      </c>
      <c r="I25" s="139">
        <f>_xlfn.XLOOKUP(Table12[[#This Row],[Month Year]],'Modelling New'!D:D,'Modelling New'!N:N)</f>
        <v>10.507</v>
      </c>
      <c r="J25" s="50" t="e">
        <f>'Raw Data'!#REF!/J$1</f>
        <v>#REF!</v>
      </c>
      <c r="K25" s="50" t="e">
        <f>'Raw Data'!#REF!/K$1</f>
        <v>#REF!</v>
      </c>
      <c r="L25" s="50" t="e">
        <f>'Raw Data'!#REF!/L$1</f>
        <v>#REF!</v>
      </c>
      <c r="M25" s="50" t="e">
        <f>'Raw Data'!#REF!/M$1</f>
        <v>#REF!</v>
      </c>
      <c r="N25" s="50" t="e">
        <f>'Raw Data'!#REF!/N$1</f>
        <v>#REF!</v>
      </c>
      <c r="O25" s="50" t="e">
        <f>'Raw Data'!#REF!/O$1</f>
        <v>#REF!</v>
      </c>
      <c r="P25" s="50" t="str">
        <f t="shared" si="1"/>
        <v/>
      </c>
      <c r="Q25" s="50" t="e">
        <f t="shared" si="2"/>
        <v>#REF!</v>
      </c>
    </row>
    <row r="26" spans="1:17">
      <c r="A26" s="2" t="s">
        <v>208</v>
      </c>
      <c r="B26" s="46">
        <v>4</v>
      </c>
      <c r="C26" s="46">
        <v>2022</v>
      </c>
      <c r="D26" s="46" t="s">
        <v>209</v>
      </c>
      <c r="E26" s="46" t="s">
        <v>209</v>
      </c>
      <c r="F26" s="31">
        <v>44652</v>
      </c>
      <c r="G26" s="46">
        <f t="shared" si="0"/>
        <v>30</v>
      </c>
      <c r="H26" s="47">
        <f t="shared" si="3"/>
        <v>44675</v>
      </c>
      <c r="I26" s="140">
        <f>_xlfn.XLOOKUP(Table12[[#This Row],[Month Year]],'Modelling New'!D:D,'Modelling New'!N:N)</f>
        <v>10.507</v>
      </c>
      <c r="J26" s="50" t="e">
        <f>'Raw Data'!#REF!/J$1</f>
        <v>#REF!</v>
      </c>
      <c r="K26" s="50" t="e">
        <f>'Raw Data'!#REF!/K$1</f>
        <v>#REF!</v>
      </c>
      <c r="L26" s="50" t="e">
        <f>'Raw Data'!#REF!/L$1</f>
        <v>#REF!</v>
      </c>
      <c r="M26" s="50" t="e">
        <f>'Raw Data'!#REF!/M$1</f>
        <v>#REF!</v>
      </c>
      <c r="N26" s="50" t="e">
        <f>'Raw Data'!#REF!/N$1</f>
        <v>#REF!</v>
      </c>
      <c r="O26" s="50" t="e">
        <f>'Raw Data'!#REF!/O$1</f>
        <v>#REF!</v>
      </c>
      <c r="P26" s="50" t="str">
        <f t="shared" si="1"/>
        <v/>
      </c>
      <c r="Q26" s="50" t="e">
        <f t="shared" si="2"/>
        <v>#REF!</v>
      </c>
    </row>
    <row r="27" spans="1:17">
      <c r="A27" s="2" t="s">
        <v>208</v>
      </c>
      <c r="B27" s="44">
        <v>4</v>
      </c>
      <c r="C27" s="44">
        <v>2022</v>
      </c>
      <c r="D27" s="44" t="s">
        <v>209</v>
      </c>
      <c r="E27" s="44" t="s">
        <v>209</v>
      </c>
      <c r="F27" s="31">
        <v>44652</v>
      </c>
      <c r="G27" s="44">
        <f t="shared" si="0"/>
        <v>30</v>
      </c>
      <c r="H27" s="45">
        <f t="shared" si="3"/>
        <v>44676</v>
      </c>
      <c r="I27" s="139">
        <f>_xlfn.XLOOKUP(Table12[[#This Row],[Month Year]],'Modelling New'!D:D,'Modelling New'!N:N)</f>
        <v>10.507</v>
      </c>
      <c r="J27" s="50" t="e">
        <f>'Raw Data'!#REF!/J$1</f>
        <v>#REF!</v>
      </c>
      <c r="K27" s="50" t="e">
        <f>'Raw Data'!#REF!/K$1</f>
        <v>#REF!</v>
      </c>
      <c r="L27" s="50" t="e">
        <f>'Raw Data'!#REF!/L$1</f>
        <v>#REF!</v>
      </c>
      <c r="M27" s="50" t="e">
        <f>'Raw Data'!#REF!/M$1</f>
        <v>#REF!</v>
      </c>
      <c r="N27" s="50" t="e">
        <f>'Raw Data'!#REF!/N$1</f>
        <v>#REF!</v>
      </c>
      <c r="O27" s="50" t="e">
        <f>'Raw Data'!#REF!/O$1</f>
        <v>#REF!</v>
      </c>
      <c r="P27" s="50" t="str">
        <f t="shared" si="1"/>
        <v/>
      </c>
      <c r="Q27" s="50" t="e">
        <f t="shared" si="2"/>
        <v>#REF!</v>
      </c>
    </row>
    <row r="28" spans="1:17">
      <c r="A28" s="2" t="s">
        <v>208</v>
      </c>
      <c r="B28" s="46">
        <v>4</v>
      </c>
      <c r="C28" s="46">
        <v>2022</v>
      </c>
      <c r="D28" s="46" t="s">
        <v>209</v>
      </c>
      <c r="E28" s="46" t="s">
        <v>209</v>
      </c>
      <c r="F28" s="31">
        <v>44652</v>
      </c>
      <c r="G28" s="46">
        <f t="shared" si="0"/>
        <v>30</v>
      </c>
      <c r="H28" s="47">
        <f t="shared" si="3"/>
        <v>44677</v>
      </c>
      <c r="I28" s="140">
        <f>_xlfn.XLOOKUP(Table12[[#This Row],[Month Year]],'Modelling New'!D:D,'Modelling New'!N:N)</f>
        <v>10.507</v>
      </c>
      <c r="J28" s="50" t="e">
        <f>'Raw Data'!#REF!/J$1</f>
        <v>#REF!</v>
      </c>
      <c r="K28" s="50" t="e">
        <f>'Raw Data'!#REF!/K$1</f>
        <v>#REF!</v>
      </c>
      <c r="L28" s="50" t="e">
        <f>'Raw Data'!#REF!/L$1</f>
        <v>#REF!</v>
      </c>
      <c r="M28" s="50" t="e">
        <f>'Raw Data'!#REF!/M$1</f>
        <v>#REF!</v>
      </c>
      <c r="N28" s="50" t="e">
        <f>'Raw Data'!#REF!/N$1</f>
        <v>#REF!</v>
      </c>
      <c r="O28" s="50" t="e">
        <f>'Raw Data'!#REF!/O$1</f>
        <v>#REF!</v>
      </c>
      <c r="P28" s="50" t="str">
        <f t="shared" si="1"/>
        <v/>
      </c>
      <c r="Q28" s="50" t="e">
        <f t="shared" si="2"/>
        <v>#REF!</v>
      </c>
    </row>
    <row r="29" spans="1:17">
      <c r="A29" s="2" t="s">
        <v>208</v>
      </c>
      <c r="B29" s="44">
        <v>4</v>
      </c>
      <c r="C29" s="44">
        <v>2022</v>
      </c>
      <c r="D29" s="44" t="s">
        <v>209</v>
      </c>
      <c r="E29" s="44" t="s">
        <v>209</v>
      </c>
      <c r="F29" s="31">
        <v>44652</v>
      </c>
      <c r="G29" s="44">
        <f t="shared" si="0"/>
        <v>30</v>
      </c>
      <c r="H29" s="45">
        <f t="shared" si="3"/>
        <v>44678</v>
      </c>
      <c r="I29" s="139">
        <f>_xlfn.XLOOKUP(Table12[[#This Row],[Month Year]],'Modelling New'!D:D,'Modelling New'!N:N)</f>
        <v>10.507</v>
      </c>
      <c r="J29" s="50" t="e">
        <f>'Raw Data'!#REF!/J$1</f>
        <v>#REF!</v>
      </c>
      <c r="K29" s="50" t="e">
        <f>'Raw Data'!#REF!/K$1</f>
        <v>#REF!</v>
      </c>
      <c r="L29" s="50" t="e">
        <f>'Raw Data'!#REF!/L$1</f>
        <v>#REF!</v>
      </c>
      <c r="M29" s="50" t="e">
        <f>'Raw Data'!#REF!/M$1</f>
        <v>#REF!</v>
      </c>
      <c r="N29" s="50" t="e">
        <f>'Raw Data'!#REF!/N$1</f>
        <v>#REF!</v>
      </c>
      <c r="O29" s="50" t="e">
        <f>'Raw Data'!#REF!/O$1</f>
        <v>#REF!</v>
      </c>
      <c r="P29" s="50" t="str">
        <f t="shared" si="1"/>
        <v/>
      </c>
      <c r="Q29" s="50" t="e">
        <f t="shared" si="2"/>
        <v>#REF!</v>
      </c>
    </row>
    <row r="30" spans="1:17">
      <c r="A30" s="2" t="s">
        <v>208</v>
      </c>
      <c r="B30" s="46">
        <v>4</v>
      </c>
      <c r="C30" s="46">
        <v>2022</v>
      </c>
      <c r="D30" s="46" t="s">
        <v>209</v>
      </c>
      <c r="E30" s="46" t="s">
        <v>209</v>
      </c>
      <c r="F30" s="31">
        <v>44652</v>
      </c>
      <c r="G30" s="46">
        <f t="shared" si="0"/>
        <v>30</v>
      </c>
      <c r="H30" s="47">
        <f t="shared" si="3"/>
        <v>44679</v>
      </c>
      <c r="I30" s="140">
        <f>_xlfn.XLOOKUP(Table12[[#This Row],[Month Year]],'Modelling New'!D:D,'Modelling New'!N:N)</f>
        <v>10.507</v>
      </c>
      <c r="J30" s="50" t="e">
        <f>'Raw Data'!#REF!/J$1</f>
        <v>#REF!</v>
      </c>
      <c r="K30" s="50" t="e">
        <f>'Raw Data'!#REF!/K$1</f>
        <v>#REF!</v>
      </c>
      <c r="L30" s="50" t="e">
        <f>'Raw Data'!#REF!/L$1</f>
        <v>#REF!</v>
      </c>
      <c r="M30" s="50" t="e">
        <f>'Raw Data'!#REF!/M$1</f>
        <v>#REF!</v>
      </c>
      <c r="N30" s="50" t="e">
        <f>'Raw Data'!#REF!/N$1</f>
        <v>#REF!</v>
      </c>
      <c r="O30" s="50" t="e">
        <f>'Raw Data'!#REF!/O$1</f>
        <v>#REF!</v>
      </c>
      <c r="P30" s="50" t="str">
        <f t="shared" si="1"/>
        <v/>
      </c>
      <c r="Q30" s="50" t="e">
        <f t="shared" si="2"/>
        <v>#REF!</v>
      </c>
    </row>
    <row r="31" spans="1:17">
      <c r="A31" s="2" t="s">
        <v>208</v>
      </c>
      <c r="B31" s="44">
        <v>4</v>
      </c>
      <c r="C31" s="44">
        <v>2022</v>
      </c>
      <c r="D31" s="44" t="s">
        <v>209</v>
      </c>
      <c r="E31" s="44" t="s">
        <v>209</v>
      </c>
      <c r="F31" s="31">
        <v>44652</v>
      </c>
      <c r="G31" s="44">
        <f t="shared" si="0"/>
        <v>30</v>
      </c>
      <c r="H31" s="45">
        <f t="shared" si="3"/>
        <v>44680</v>
      </c>
      <c r="I31" s="139">
        <f>_xlfn.XLOOKUP(Table12[[#This Row],[Month Year]],'Modelling New'!D:D,'Modelling New'!N:N)</f>
        <v>10.507</v>
      </c>
      <c r="J31" s="50" t="e">
        <f>'Raw Data'!#REF!/J$1</f>
        <v>#REF!</v>
      </c>
      <c r="K31" s="50" t="e">
        <f>'Raw Data'!#REF!/K$1</f>
        <v>#REF!</v>
      </c>
      <c r="L31" s="50" t="e">
        <f>'Raw Data'!#REF!/L$1</f>
        <v>#REF!</v>
      </c>
      <c r="M31" s="50" t="e">
        <f>'Raw Data'!#REF!/M$1</f>
        <v>#REF!</v>
      </c>
      <c r="N31" s="50" t="e">
        <f>'Raw Data'!#REF!/N$1</f>
        <v>#REF!</v>
      </c>
      <c r="O31" s="50" t="e">
        <f>'Raw Data'!#REF!/O$1</f>
        <v>#REF!</v>
      </c>
      <c r="P31" s="50" t="str">
        <f t="shared" si="1"/>
        <v/>
      </c>
      <c r="Q31" s="50" t="e">
        <f t="shared" si="2"/>
        <v>#REF!</v>
      </c>
    </row>
    <row r="32" spans="1:17">
      <c r="A32" s="2" t="s">
        <v>208</v>
      </c>
      <c r="B32" s="46">
        <v>4</v>
      </c>
      <c r="C32" s="46">
        <v>2022</v>
      </c>
      <c r="D32" s="46" t="s">
        <v>209</v>
      </c>
      <c r="E32" s="46" t="s">
        <v>209</v>
      </c>
      <c r="F32" s="31">
        <v>44652</v>
      </c>
      <c r="G32" s="46">
        <f t="shared" si="0"/>
        <v>30</v>
      </c>
      <c r="H32" s="47">
        <f t="shared" si="3"/>
        <v>44681</v>
      </c>
      <c r="I32" s="140">
        <f>_xlfn.XLOOKUP(Table12[[#This Row],[Month Year]],'Modelling New'!D:D,'Modelling New'!N:N)</f>
        <v>10.507</v>
      </c>
      <c r="J32" s="50" t="e">
        <f>'Raw Data'!#REF!/J$1</f>
        <v>#REF!</v>
      </c>
      <c r="K32" s="50" t="e">
        <f>'Raw Data'!#REF!/K$1</f>
        <v>#REF!</v>
      </c>
      <c r="L32" s="50" t="e">
        <f>'Raw Data'!#REF!/L$1</f>
        <v>#REF!</v>
      </c>
      <c r="M32" s="50" t="e">
        <f>'Raw Data'!#REF!/M$1</f>
        <v>#REF!</v>
      </c>
      <c r="N32" s="50" t="e">
        <f>'Raw Data'!#REF!/N$1</f>
        <v>#REF!</v>
      </c>
      <c r="O32" s="50" t="e">
        <f>'Raw Data'!#REF!/O$1</f>
        <v>#REF!</v>
      </c>
      <c r="P32" s="50" t="str">
        <f t="shared" si="1"/>
        <v/>
      </c>
      <c r="Q32" s="50" t="e">
        <f t="shared" si="2"/>
        <v>#REF!</v>
      </c>
    </row>
    <row r="33" spans="1:17">
      <c r="A33" s="2" t="s">
        <v>208</v>
      </c>
      <c r="B33" s="44">
        <v>4</v>
      </c>
      <c r="C33" s="44">
        <v>2022</v>
      </c>
      <c r="D33" s="44" t="s">
        <v>209</v>
      </c>
      <c r="E33" s="44" t="s">
        <v>209</v>
      </c>
      <c r="F33" s="31">
        <v>44682</v>
      </c>
      <c r="G33" s="44">
        <f t="shared" si="0"/>
        <v>31</v>
      </c>
      <c r="H33" s="45">
        <f t="shared" si="3"/>
        <v>44682</v>
      </c>
      <c r="I33" s="139">
        <f>_xlfn.XLOOKUP(Table12[[#This Row],[Month Year]],'Modelling New'!D:D,'Modelling New'!N:N)</f>
        <v>10.507</v>
      </c>
      <c r="J33" s="50" t="e">
        <f>'Raw Data'!#REF!/J$1</f>
        <v>#REF!</v>
      </c>
      <c r="K33" s="50" t="e">
        <f>'Raw Data'!#REF!/K$1</f>
        <v>#REF!</v>
      </c>
      <c r="L33" s="50" t="e">
        <f>'Raw Data'!#REF!/L$1</f>
        <v>#REF!</v>
      </c>
      <c r="M33" s="50" t="e">
        <f>'Raw Data'!#REF!/M$1</f>
        <v>#REF!</v>
      </c>
      <c r="N33" s="50" t="e">
        <f>'Raw Data'!#REF!/N$1</f>
        <v>#REF!</v>
      </c>
      <c r="O33" s="50" t="e">
        <f>'Raw Data'!#REF!/O$1</f>
        <v>#REF!</v>
      </c>
      <c r="P33" s="50" t="str">
        <f t="shared" si="1"/>
        <v/>
      </c>
      <c r="Q33" s="50" t="e">
        <f t="shared" si="2"/>
        <v>#REF!</v>
      </c>
    </row>
    <row r="34" spans="1:17">
      <c r="A34" s="2" t="s">
        <v>208</v>
      </c>
      <c r="B34" s="46">
        <v>4</v>
      </c>
      <c r="C34" s="46">
        <v>2022</v>
      </c>
      <c r="D34" s="46" t="s">
        <v>209</v>
      </c>
      <c r="E34" s="46" t="s">
        <v>209</v>
      </c>
      <c r="F34" s="31">
        <v>44682</v>
      </c>
      <c r="G34" s="46">
        <f t="shared" si="0"/>
        <v>31</v>
      </c>
      <c r="H34" s="47">
        <f t="shared" ref="H34:H41" si="4">H33+1</f>
        <v>44683</v>
      </c>
      <c r="I34" s="140">
        <f>_xlfn.XLOOKUP(Table12[[#This Row],[Month Year]],'Modelling New'!D:D,'Modelling New'!N:N)</f>
        <v>10.507</v>
      </c>
      <c r="J34" s="50" t="e">
        <f>'Raw Data'!#REF!/J$1</f>
        <v>#REF!</v>
      </c>
      <c r="K34" s="50" t="e">
        <f>'Raw Data'!#REF!/K$1</f>
        <v>#REF!</v>
      </c>
      <c r="L34" s="50" t="e">
        <f>'Raw Data'!#REF!/L$1</f>
        <v>#REF!</v>
      </c>
      <c r="M34" s="50" t="e">
        <f>'Raw Data'!#REF!/M$1</f>
        <v>#REF!</v>
      </c>
      <c r="N34" s="50" t="e">
        <f>'Raw Data'!#REF!/N$1</f>
        <v>#REF!</v>
      </c>
      <c r="O34" s="50" t="e">
        <f>'Raw Data'!#REF!/O$1</f>
        <v>#REF!</v>
      </c>
      <c r="P34" s="50" t="str">
        <f t="shared" ref="P34:P97" si="5">IFERROR(AVERAGEIF(J34:O34,"&gt;"&amp;0,J34:O34),"")</f>
        <v/>
      </c>
      <c r="Q34" s="50" t="e">
        <f t="shared" ref="Q34:Q97" si="6">MAXA(J34:O34)</f>
        <v>#REF!</v>
      </c>
    </row>
    <row r="35" spans="1:17">
      <c r="A35" s="2" t="s">
        <v>208</v>
      </c>
      <c r="B35" s="44">
        <v>4</v>
      </c>
      <c r="C35" s="44">
        <v>2022</v>
      </c>
      <c r="D35" s="44" t="s">
        <v>209</v>
      </c>
      <c r="E35" s="44" t="s">
        <v>209</v>
      </c>
      <c r="F35" s="31">
        <v>44682</v>
      </c>
      <c r="G35" s="44">
        <f t="shared" si="0"/>
        <v>31</v>
      </c>
      <c r="H35" s="45">
        <f t="shared" si="4"/>
        <v>44684</v>
      </c>
      <c r="I35" s="139">
        <f>_xlfn.XLOOKUP(Table12[[#This Row],[Month Year]],'Modelling New'!D:D,'Modelling New'!N:N)</f>
        <v>10.507</v>
      </c>
      <c r="J35" s="50" t="e">
        <f>'Raw Data'!#REF!/J$1</f>
        <v>#REF!</v>
      </c>
      <c r="K35" s="50" t="e">
        <f>'Raw Data'!#REF!/K$1</f>
        <v>#REF!</v>
      </c>
      <c r="L35" s="50" t="e">
        <f>'Raw Data'!#REF!/L$1</f>
        <v>#REF!</v>
      </c>
      <c r="M35" s="50" t="e">
        <f>'Raw Data'!#REF!/M$1</f>
        <v>#REF!</v>
      </c>
      <c r="N35" s="50" t="e">
        <f>'Raw Data'!#REF!/N$1</f>
        <v>#REF!</v>
      </c>
      <c r="O35" s="50" t="e">
        <f>'Raw Data'!#REF!/O$1</f>
        <v>#REF!</v>
      </c>
      <c r="P35" s="50" t="str">
        <f t="shared" si="5"/>
        <v/>
      </c>
      <c r="Q35" s="50" t="e">
        <f t="shared" si="6"/>
        <v>#REF!</v>
      </c>
    </row>
    <row r="36" spans="1:17">
      <c r="A36" s="2" t="s">
        <v>208</v>
      </c>
      <c r="B36" s="46">
        <v>4</v>
      </c>
      <c r="C36" s="46">
        <v>2022</v>
      </c>
      <c r="D36" s="46" t="s">
        <v>209</v>
      </c>
      <c r="E36" s="46" t="s">
        <v>209</v>
      </c>
      <c r="F36" s="31">
        <v>44682</v>
      </c>
      <c r="G36" s="46">
        <f t="shared" si="0"/>
        <v>31</v>
      </c>
      <c r="H36" s="47">
        <f t="shared" si="4"/>
        <v>44685</v>
      </c>
      <c r="I36" s="140">
        <f>_xlfn.XLOOKUP(Table12[[#This Row],[Month Year]],'Modelling New'!D:D,'Modelling New'!N:N)</f>
        <v>10.507</v>
      </c>
      <c r="J36" s="50" t="e">
        <f>'Raw Data'!#REF!/J$1</f>
        <v>#REF!</v>
      </c>
      <c r="K36" s="50" t="e">
        <f>'Raw Data'!#REF!/K$1</f>
        <v>#REF!</v>
      </c>
      <c r="L36" s="50" t="e">
        <f>'Raw Data'!#REF!/L$1</f>
        <v>#REF!</v>
      </c>
      <c r="M36" s="50" t="e">
        <f>'Raw Data'!#REF!/M$1</f>
        <v>#REF!</v>
      </c>
      <c r="N36" s="50" t="e">
        <f>'Raw Data'!#REF!/N$1</f>
        <v>#REF!</v>
      </c>
      <c r="O36" s="50" t="e">
        <f>'Raw Data'!#REF!/O$1</f>
        <v>#REF!</v>
      </c>
      <c r="P36" s="50" t="str">
        <f t="shared" si="5"/>
        <v/>
      </c>
      <c r="Q36" s="50" t="e">
        <f t="shared" si="6"/>
        <v>#REF!</v>
      </c>
    </row>
    <row r="37" spans="1:17">
      <c r="A37" s="2" t="s">
        <v>208</v>
      </c>
      <c r="B37" s="44">
        <v>4</v>
      </c>
      <c r="C37" s="44">
        <v>2022</v>
      </c>
      <c r="D37" s="44" t="s">
        <v>209</v>
      </c>
      <c r="E37" s="44" t="s">
        <v>209</v>
      </c>
      <c r="F37" s="31">
        <v>44682</v>
      </c>
      <c r="G37" s="44">
        <f t="shared" si="0"/>
        <v>31</v>
      </c>
      <c r="H37" s="45">
        <f t="shared" si="4"/>
        <v>44686</v>
      </c>
      <c r="I37" s="139">
        <f>_xlfn.XLOOKUP(Table12[[#This Row],[Month Year]],'Modelling New'!D:D,'Modelling New'!N:N)</f>
        <v>10.507</v>
      </c>
      <c r="J37" s="50" t="e">
        <f>'Raw Data'!#REF!/J$1</f>
        <v>#REF!</v>
      </c>
      <c r="K37" s="50" t="e">
        <f>'Raw Data'!#REF!/K$1</f>
        <v>#REF!</v>
      </c>
      <c r="L37" s="50" t="e">
        <f>'Raw Data'!#REF!/L$1</f>
        <v>#REF!</v>
      </c>
      <c r="M37" s="50" t="e">
        <f>'Raw Data'!#REF!/M$1</f>
        <v>#REF!</v>
      </c>
      <c r="N37" s="50" t="e">
        <f>'Raw Data'!#REF!/N$1</f>
        <v>#REF!</v>
      </c>
      <c r="O37" s="50" t="e">
        <f>'Raw Data'!#REF!/O$1</f>
        <v>#REF!</v>
      </c>
      <c r="P37" s="50" t="str">
        <f t="shared" si="5"/>
        <v/>
      </c>
      <c r="Q37" s="50" t="e">
        <f t="shared" si="6"/>
        <v>#REF!</v>
      </c>
    </row>
    <row r="38" spans="1:17">
      <c r="A38" s="2" t="s">
        <v>208</v>
      </c>
      <c r="B38" s="46">
        <v>4</v>
      </c>
      <c r="C38" s="46">
        <v>2022</v>
      </c>
      <c r="D38" s="46" t="s">
        <v>209</v>
      </c>
      <c r="E38" s="46" t="s">
        <v>209</v>
      </c>
      <c r="F38" s="31">
        <v>44682</v>
      </c>
      <c r="G38" s="46">
        <f t="shared" si="0"/>
        <v>31</v>
      </c>
      <c r="H38" s="47">
        <f t="shared" si="4"/>
        <v>44687</v>
      </c>
      <c r="I38" s="140">
        <f>_xlfn.XLOOKUP(Table12[[#This Row],[Month Year]],'Modelling New'!D:D,'Modelling New'!N:N)</f>
        <v>10.507</v>
      </c>
      <c r="J38" s="50" t="e">
        <f>'Raw Data'!#REF!/J$1</f>
        <v>#REF!</v>
      </c>
      <c r="K38" s="50" t="e">
        <f>'Raw Data'!#REF!/K$1</f>
        <v>#REF!</v>
      </c>
      <c r="L38" s="50" t="e">
        <f>'Raw Data'!#REF!/L$1</f>
        <v>#REF!</v>
      </c>
      <c r="M38" s="50" t="e">
        <f>'Raw Data'!#REF!/M$1</f>
        <v>#REF!</v>
      </c>
      <c r="N38" s="50" t="e">
        <f>'Raw Data'!#REF!/N$1</f>
        <v>#REF!</v>
      </c>
      <c r="O38" s="50" t="e">
        <f>'Raw Data'!#REF!/O$1</f>
        <v>#REF!</v>
      </c>
      <c r="P38" s="50" t="str">
        <f t="shared" si="5"/>
        <v/>
      </c>
      <c r="Q38" s="50" t="e">
        <f t="shared" si="6"/>
        <v>#REF!</v>
      </c>
    </row>
    <row r="39" spans="1:17">
      <c r="A39" s="2" t="s">
        <v>208</v>
      </c>
      <c r="B39" s="44">
        <v>4</v>
      </c>
      <c r="C39" s="44">
        <v>2022</v>
      </c>
      <c r="D39" s="44" t="s">
        <v>209</v>
      </c>
      <c r="E39" s="44" t="s">
        <v>209</v>
      </c>
      <c r="F39" s="31">
        <v>44682</v>
      </c>
      <c r="G39" s="44">
        <f t="shared" si="0"/>
        <v>31</v>
      </c>
      <c r="H39" s="45">
        <f t="shared" si="4"/>
        <v>44688</v>
      </c>
      <c r="I39" s="139">
        <f>_xlfn.XLOOKUP(Table12[[#This Row],[Month Year]],'Modelling New'!D:D,'Modelling New'!N:N)</f>
        <v>10.507</v>
      </c>
      <c r="J39" s="50" t="e">
        <f>'Raw Data'!#REF!/J$1</f>
        <v>#REF!</v>
      </c>
      <c r="K39" s="50" t="e">
        <f>'Raw Data'!#REF!/K$1</f>
        <v>#REF!</v>
      </c>
      <c r="L39" s="50" t="e">
        <f>'Raw Data'!#REF!/L$1</f>
        <v>#REF!</v>
      </c>
      <c r="M39" s="50" t="e">
        <f>'Raw Data'!#REF!/M$1</f>
        <v>#REF!</v>
      </c>
      <c r="N39" s="50" t="e">
        <f>'Raw Data'!#REF!/N$1</f>
        <v>#REF!</v>
      </c>
      <c r="O39" s="50" t="e">
        <f>'Raw Data'!#REF!/O$1</f>
        <v>#REF!</v>
      </c>
      <c r="P39" s="50" t="str">
        <f t="shared" si="5"/>
        <v/>
      </c>
      <c r="Q39" s="50" t="e">
        <f t="shared" si="6"/>
        <v>#REF!</v>
      </c>
    </row>
    <row r="40" spans="1:17">
      <c r="A40" s="2" t="s">
        <v>208</v>
      </c>
      <c r="B40" s="46">
        <v>4</v>
      </c>
      <c r="C40" s="46">
        <v>2022</v>
      </c>
      <c r="D40" s="46" t="s">
        <v>209</v>
      </c>
      <c r="E40" s="46" t="s">
        <v>209</v>
      </c>
      <c r="F40" s="31">
        <v>44682</v>
      </c>
      <c r="G40" s="46">
        <f t="shared" si="0"/>
        <v>31</v>
      </c>
      <c r="H40" s="47">
        <f t="shared" si="4"/>
        <v>44689</v>
      </c>
      <c r="I40" s="140">
        <f>_xlfn.XLOOKUP(Table12[[#This Row],[Month Year]],'Modelling New'!D:D,'Modelling New'!N:N)</f>
        <v>10.507</v>
      </c>
      <c r="J40" s="50" t="e">
        <f>'Raw Data'!#REF!/J$1</f>
        <v>#REF!</v>
      </c>
      <c r="K40" s="50" t="e">
        <f>'Raw Data'!#REF!/K$1</f>
        <v>#REF!</v>
      </c>
      <c r="L40" s="50" t="e">
        <f>'Raw Data'!#REF!/L$1</f>
        <v>#REF!</v>
      </c>
      <c r="M40" s="50" t="e">
        <f>'Raw Data'!#REF!/M$1</f>
        <v>#REF!</v>
      </c>
      <c r="N40" s="50" t="e">
        <f>'Raw Data'!#REF!/N$1</f>
        <v>#REF!</v>
      </c>
      <c r="O40" s="50" t="e">
        <f>'Raw Data'!#REF!/O$1</f>
        <v>#REF!</v>
      </c>
      <c r="P40" s="50" t="str">
        <f t="shared" si="5"/>
        <v/>
      </c>
      <c r="Q40" s="50" t="e">
        <f t="shared" si="6"/>
        <v>#REF!</v>
      </c>
    </row>
    <row r="41" spans="1:17">
      <c r="A41" s="2" t="s">
        <v>208</v>
      </c>
      <c r="B41" s="44">
        <v>4</v>
      </c>
      <c r="C41" s="44">
        <v>2022</v>
      </c>
      <c r="D41" s="44" t="s">
        <v>209</v>
      </c>
      <c r="E41" s="44" t="s">
        <v>209</v>
      </c>
      <c r="F41" s="31">
        <v>44682</v>
      </c>
      <c r="G41" s="44">
        <f t="shared" si="0"/>
        <v>31</v>
      </c>
      <c r="H41" s="45">
        <f t="shared" si="4"/>
        <v>44690</v>
      </c>
      <c r="I41" s="139">
        <f>_xlfn.XLOOKUP(Table12[[#This Row],[Month Year]],'Modelling New'!D:D,'Modelling New'!N:N)</f>
        <v>10.507</v>
      </c>
      <c r="J41" s="50" t="e">
        <f>'Raw Data'!#REF!/J$1</f>
        <v>#REF!</v>
      </c>
      <c r="K41" s="50" t="e">
        <f>'Raw Data'!#REF!/K$1</f>
        <v>#REF!</v>
      </c>
      <c r="L41" s="50" t="e">
        <f>'Raw Data'!#REF!/L$1</f>
        <v>#REF!</v>
      </c>
      <c r="M41" s="50" t="e">
        <f>'Raw Data'!#REF!/M$1</f>
        <v>#REF!</v>
      </c>
      <c r="N41" s="50" t="e">
        <f>'Raw Data'!#REF!/N$1</f>
        <v>#REF!</v>
      </c>
      <c r="O41" s="50" t="e">
        <f>'Raw Data'!#REF!/O$1</f>
        <v>#REF!</v>
      </c>
      <c r="P41" s="50" t="str">
        <f t="shared" si="5"/>
        <v/>
      </c>
      <c r="Q41" s="50" t="e">
        <f t="shared" si="6"/>
        <v>#REF!</v>
      </c>
    </row>
    <row r="42" spans="1:17">
      <c r="A42" s="2" t="s">
        <v>208</v>
      </c>
      <c r="B42" s="46">
        <v>4</v>
      </c>
      <c r="C42" s="46">
        <v>2022</v>
      </c>
      <c r="D42" s="46" t="s">
        <v>209</v>
      </c>
      <c r="E42" s="46" t="s">
        <v>209</v>
      </c>
      <c r="F42" s="31">
        <v>44682</v>
      </c>
      <c r="G42" s="46">
        <f t="shared" si="0"/>
        <v>31</v>
      </c>
      <c r="H42" s="47">
        <f t="shared" ref="H42:H105" si="7">H41+1</f>
        <v>44691</v>
      </c>
      <c r="I42" s="140">
        <f>_xlfn.XLOOKUP(Table12[[#This Row],[Month Year]],'Modelling New'!D:D,'Modelling New'!N:N)</f>
        <v>10.507</v>
      </c>
      <c r="J42" s="50" t="e">
        <f>'Raw Data'!#REF!/J$1</f>
        <v>#REF!</v>
      </c>
      <c r="K42" s="50" t="e">
        <f>'Raw Data'!#REF!/K$1</f>
        <v>#REF!</v>
      </c>
      <c r="L42" s="50" t="e">
        <f>'Raw Data'!#REF!/L$1</f>
        <v>#REF!</v>
      </c>
      <c r="M42" s="50" t="e">
        <f>'Raw Data'!#REF!/M$1</f>
        <v>#REF!</v>
      </c>
      <c r="N42" s="50" t="e">
        <f>'Raw Data'!#REF!/N$1</f>
        <v>#REF!</v>
      </c>
      <c r="O42" s="50" t="e">
        <f>'Raw Data'!#REF!/O$1</f>
        <v>#REF!</v>
      </c>
      <c r="P42" s="50" t="str">
        <f t="shared" si="5"/>
        <v/>
      </c>
      <c r="Q42" s="50" t="e">
        <f t="shared" si="6"/>
        <v>#REF!</v>
      </c>
    </row>
    <row r="43" spans="1:17">
      <c r="A43" s="2" t="s">
        <v>208</v>
      </c>
      <c r="B43" s="44">
        <v>4</v>
      </c>
      <c r="C43" s="44">
        <v>2022</v>
      </c>
      <c r="D43" s="44" t="s">
        <v>209</v>
      </c>
      <c r="E43" s="44" t="s">
        <v>209</v>
      </c>
      <c r="F43" s="31">
        <v>44682</v>
      </c>
      <c r="G43" s="44">
        <f t="shared" si="0"/>
        <v>31</v>
      </c>
      <c r="H43" s="45">
        <f t="shared" si="7"/>
        <v>44692</v>
      </c>
      <c r="I43" s="139">
        <f>_xlfn.XLOOKUP(Table12[[#This Row],[Month Year]],'Modelling New'!D:D,'Modelling New'!N:N)</f>
        <v>10.507</v>
      </c>
      <c r="J43" s="50" t="e">
        <f>'Raw Data'!#REF!/J$1</f>
        <v>#REF!</v>
      </c>
      <c r="K43" s="50" t="e">
        <f>'Raw Data'!#REF!/K$1</f>
        <v>#REF!</v>
      </c>
      <c r="L43" s="50" t="e">
        <f>'Raw Data'!#REF!/L$1</f>
        <v>#REF!</v>
      </c>
      <c r="M43" s="50" t="e">
        <f>'Raw Data'!#REF!/M$1</f>
        <v>#REF!</v>
      </c>
      <c r="N43" s="50" t="e">
        <f>'Raw Data'!#REF!/N$1</f>
        <v>#REF!</v>
      </c>
      <c r="O43" s="50" t="e">
        <f>'Raw Data'!#REF!/O$1</f>
        <v>#REF!</v>
      </c>
      <c r="P43" s="50" t="str">
        <f t="shared" si="5"/>
        <v/>
      </c>
      <c r="Q43" s="50" t="e">
        <f t="shared" si="6"/>
        <v>#REF!</v>
      </c>
    </row>
    <row r="44" spans="1:17">
      <c r="A44" s="2" t="s">
        <v>208</v>
      </c>
      <c r="B44" s="46">
        <v>4</v>
      </c>
      <c r="C44" s="46">
        <v>2022</v>
      </c>
      <c r="D44" s="46" t="s">
        <v>209</v>
      </c>
      <c r="E44" s="46" t="s">
        <v>209</v>
      </c>
      <c r="F44" s="31">
        <v>44682</v>
      </c>
      <c r="G44" s="46">
        <f t="shared" si="0"/>
        <v>31</v>
      </c>
      <c r="H44" s="47">
        <f t="shared" si="7"/>
        <v>44693</v>
      </c>
      <c r="I44" s="140">
        <f>_xlfn.XLOOKUP(Table12[[#This Row],[Month Year]],'Modelling New'!D:D,'Modelling New'!N:N)</f>
        <v>10.507</v>
      </c>
      <c r="J44" s="50" t="e">
        <f>'Raw Data'!#REF!/J$1</f>
        <v>#REF!</v>
      </c>
      <c r="K44" s="50" t="e">
        <f>'Raw Data'!#REF!/K$1</f>
        <v>#REF!</v>
      </c>
      <c r="L44" s="50" t="e">
        <f>'Raw Data'!#REF!/L$1</f>
        <v>#REF!</v>
      </c>
      <c r="M44" s="50" t="e">
        <f>'Raw Data'!#REF!/M$1</f>
        <v>#REF!</v>
      </c>
      <c r="N44" s="50" t="e">
        <f>'Raw Data'!#REF!/N$1</f>
        <v>#REF!</v>
      </c>
      <c r="O44" s="50" t="e">
        <f>'Raw Data'!#REF!/O$1</f>
        <v>#REF!</v>
      </c>
      <c r="P44" s="50" t="str">
        <f t="shared" si="5"/>
        <v/>
      </c>
      <c r="Q44" s="50" t="e">
        <f t="shared" si="6"/>
        <v>#REF!</v>
      </c>
    </row>
    <row r="45" spans="1:17">
      <c r="A45" s="2" t="s">
        <v>208</v>
      </c>
      <c r="B45" s="44">
        <v>4</v>
      </c>
      <c r="C45" s="44">
        <v>2022</v>
      </c>
      <c r="D45" s="44" t="s">
        <v>209</v>
      </c>
      <c r="E45" s="44" t="s">
        <v>209</v>
      </c>
      <c r="F45" s="31">
        <v>44682</v>
      </c>
      <c r="G45" s="44">
        <f t="shared" si="0"/>
        <v>31</v>
      </c>
      <c r="H45" s="45">
        <f t="shared" si="7"/>
        <v>44694</v>
      </c>
      <c r="I45" s="139">
        <f>_xlfn.XLOOKUP(Table12[[#This Row],[Month Year]],'Modelling New'!D:D,'Modelling New'!N:N)</f>
        <v>10.507</v>
      </c>
      <c r="J45" s="50" t="e">
        <f>'Raw Data'!#REF!/J$1</f>
        <v>#REF!</v>
      </c>
      <c r="K45" s="50" t="e">
        <f>'Raw Data'!#REF!/K$1</f>
        <v>#REF!</v>
      </c>
      <c r="L45" s="50" t="e">
        <f>'Raw Data'!#REF!/L$1</f>
        <v>#REF!</v>
      </c>
      <c r="M45" s="50" t="e">
        <f>'Raw Data'!#REF!/M$1</f>
        <v>#REF!</v>
      </c>
      <c r="N45" s="50" t="e">
        <f>'Raw Data'!#REF!/N$1</f>
        <v>#REF!</v>
      </c>
      <c r="O45" s="50" t="e">
        <f>'Raw Data'!#REF!/O$1</f>
        <v>#REF!</v>
      </c>
      <c r="P45" s="50" t="str">
        <f t="shared" si="5"/>
        <v/>
      </c>
      <c r="Q45" s="50" t="e">
        <f t="shared" si="6"/>
        <v>#REF!</v>
      </c>
    </row>
    <row r="46" spans="1:17">
      <c r="A46" s="2" t="s">
        <v>208</v>
      </c>
      <c r="B46" s="46">
        <v>4</v>
      </c>
      <c r="C46" s="46">
        <v>2022</v>
      </c>
      <c r="D46" s="46" t="s">
        <v>209</v>
      </c>
      <c r="E46" s="46" t="s">
        <v>209</v>
      </c>
      <c r="F46" s="31">
        <v>44682</v>
      </c>
      <c r="G46" s="46">
        <f t="shared" si="0"/>
        <v>31</v>
      </c>
      <c r="H46" s="47">
        <f t="shared" si="7"/>
        <v>44695</v>
      </c>
      <c r="I46" s="140">
        <f>_xlfn.XLOOKUP(Table12[[#This Row],[Month Year]],'Modelling New'!D:D,'Modelling New'!N:N)</f>
        <v>10.507</v>
      </c>
      <c r="J46" s="50" t="e">
        <f>'Raw Data'!#REF!/J$1</f>
        <v>#REF!</v>
      </c>
      <c r="K46" s="50" t="e">
        <f>'Raw Data'!#REF!/K$1</f>
        <v>#REF!</v>
      </c>
      <c r="L46" s="50" t="e">
        <f>'Raw Data'!#REF!/L$1</f>
        <v>#REF!</v>
      </c>
      <c r="M46" s="50" t="e">
        <f>'Raw Data'!#REF!/M$1</f>
        <v>#REF!</v>
      </c>
      <c r="N46" s="50" t="e">
        <f>'Raw Data'!#REF!/N$1</f>
        <v>#REF!</v>
      </c>
      <c r="O46" s="50" t="e">
        <f>'Raw Data'!#REF!/O$1</f>
        <v>#REF!</v>
      </c>
      <c r="P46" s="50" t="str">
        <f t="shared" si="5"/>
        <v/>
      </c>
      <c r="Q46" s="50" t="e">
        <f t="shared" si="6"/>
        <v>#REF!</v>
      </c>
    </row>
    <row r="47" spans="1:17">
      <c r="A47" s="2" t="s">
        <v>208</v>
      </c>
      <c r="B47" s="44">
        <v>4</v>
      </c>
      <c r="C47" s="44">
        <v>2022</v>
      </c>
      <c r="D47" s="44" t="s">
        <v>209</v>
      </c>
      <c r="E47" s="44" t="s">
        <v>209</v>
      </c>
      <c r="F47" s="31">
        <v>44682</v>
      </c>
      <c r="G47" s="44">
        <f t="shared" si="0"/>
        <v>31</v>
      </c>
      <c r="H47" s="45">
        <f t="shared" si="7"/>
        <v>44696</v>
      </c>
      <c r="I47" s="139">
        <f>_xlfn.XLOOKUP(Table12[[#This Row],[Month Year]],'Modelling New'!D:D,'Modelling New'!N:N)</f>
        <v>10.507</v>
      </c>
      <c r="J47" s="50" t="e">
        <f>'Raw Data'!#REF!/J$1</f>
        <v>#REF!</v>
      </c>
      <c r="K47" s="50" t="e">
        <f>'Raw Data'!#REF!/K$1</f>
        <v>#REF!</v>
      </c>
      <c r="L47" s="50" t="e">
        <f>'Raw Data'!#REF!/L$1</f>
        <v>#REF!</v>
      </c>
      <c r="M47" s="50" t="e">
        <f>'Raw Data'!#REF!/M$1</f>
        <v>#REF!</v>
      </c>
      <c r="N47" s="50" t="e">
        <f>'Raw Data'!#REF!/N$1</f>
        <v>#REF!</v>
      </c>
      <c r="O47" s="50" t="e">
        <f>'Raw Data'!#REF!/O$1</f>
        <v>#REF!</v>
      </c>
      <c r="P47" s="50" t="str">
        <f t="shared" si="5"/>
        <v/>
      </c>
      <c r="Q47" s="50" t="e">
        <f t="shared" si="6"/>
        <v>#REF!</v>
      </c>
    </row>
    <row r="48" spans="1:17">
      <c r="A48" s="2" t="s">
        <v>208</v>
      </c>
      <c r="B48" s="46">
        <v>4</v>
      </c>
      <c r="C48" s="46">
        <v>2022</v>
      </c>
      <c r="D48" s="46" t="s">
        <v>209</v>
      </c>
      <c r="E48" s="46" t="s">
        <v>209</v>
      </c>
      <c r="F48" s="31">
        <v>44682</v>
      </c>
      <c r="G48" s="46">
        <f t="shared" si="0"/>
        <v>31</v>
      </c>
      <c r="H48" s="47">
        <f t="shared" si="7"/>
        <v>44697</v>
      </c>
      <c r="I48" s="140">
        <f>_xlfn.XLOOKUP(Table12[[#This Row],[Month Year]],'Modelling New'!D:D,'Modelling New'!N:N)</f>
        <v>10.507</v>
      </c>
      <c r="J48" s="50" t="e">
        <f>'Raw Data'!#REF!/J$1</f>
        <v>#REF!</v>
      </c>
      <c r="K48" s="50" t="e">
        <f>'Raw Data'!#REF!/K$1</f>
        <v>#REF!</v>
      </c>
      <c r="L48" s="50" t="e">
        <f>'Raw Data'!#REF!/L$1</f>
        <v>#REF!</v>
      </c>
      <c r="M48" s="50" t="e">
        <f>'Raw Data'!#REF!/M$1</f>
        <v>#REF!</v>
      </c>
      <c r="N48" s="50" t="e">
        <f>'Raw Data'!#REF!/N$1</f>
        <v>#REF!</v>
      </c>
      <c r="O48" s="50" t="e">
        <f>'Raw Data'!#REF!/O$1</f>
        <v>#REF!</v>
      </c>
      <c r="P48" s="50" t="str">
        <f t="shared" si="5"/>
        <v/>
      </c>
      <c r="Q48" s="50" t="e">
        <f t="shared" si="6"/>
        <v>#REF!</v>
      </c>
    </row>
    <row r="49" spans="1:17">
      <c r="A49" s="2" t="s">
        <v>208</v>
      </c>
      <c r="B49" s="44">
        <v>4</v>
      </c>
      <c r="C49" s="44">
        <v>2022</v>
      </c>
      <c r="D49" s="44" t="s">
        <v>209</v>
      </c>
      <c r="E49" s="44" t="s">
        <v>209</v>
      </c>
      <c r="F49" s="31">
        <v>44682</v>
      </c>
      <c r="G49" s="44">
        <f t="shared" si="0"/>
        <v>31</v>
      </c>
      <c r="H49" s="45">
        <f t="shared" si="7"/>
        <v>44698</v>
      </c>
      <c r="I49" s="139">
        <f>_xlfn.XLOOKUP(Table12[[#This Row],[Month Year]],'Modelling New'!D:D,'Modelling New'!N:N)</f>
        <v>10.507</v>
      </c>
      <c r="J49" s="50" t="e">
        <f>'Raw Data'!#REF!/J$1</f>
        <v>#REF!</v>
      </c>
      <c r="K49" s="50" t="e">
        <f>'Raw Data'!#REF!/K$1</f>
        <v>#REF!</v>
      </c>
      <c r="L49" s="50" t="e">
        <f>'Raw Data'!#REF!/L$1</f>
        <v>#REF!</v>
      </c>
      <c r="M49" s="50" t="e">
        <f>'Raw Data'!#REF!/M$1</f>
        <v>#REF!</v>
      </c>
      <c r="N49" s="50" t="e">
        <f>'Raw Data'!#REF!/N$1</f>
        <v>#REF!</v>
      </c>
      <c r="O49" s="50" t="e">
        <f>'Raw Data'!#REF!/O$1</f>
        <v>#REF!</v>
      </c>
      <c r="P49" s="50" t="str">
        <f t="shared" si="5"/>
        <v/>
      </c>
      <c r="Q49" s="50" t="e">
        <f t="shared" si="6"/>
        <v>#REF!</v>
      </c>
    </row>
    <row r="50" spans="1:17">
      <c r="A50" s="2" t="s">
        <v>208</v>
      </c>
      <c r="B50" s="46">
        <v>4</v>
      </c>
      <c r="C50" s="46">
        <v>2022</v>
      </c>
      <c r="D50" s="46" t="s">
        <v>209</v>
      </c>
      <c r="E50" s="46" t="s">
        <v>209</v>
      </c>
      <c r="F50" s="31">
        <v>44682</v>
      </c>
      <c r="G50" s="46">
        <f t="shared" si="0"/>
        <v>31</v>
      </c>
      <c r="H50" s="47">
        <f t="shared" si="7"/>
        <v>44699</v>
      </c>
      <c r="I50" s="140">
        <f>_xlfn.XLOOKUP(Table12[[#This Row],[Month Year]],'Modelling New'!D:D,'Modelling New'!N:N)</f>
        <v>10.507</v>
      </c>
      <c r="J50" s="50" t="e">
        <f>'Raw Data'!#REF!/J$1</f>
        <v>#REF!</v>
      </c>
      <c r="K50" s="50" t="e">
        <f>'Raw Data'!#REF!/K$1</f>
        <v>#REF!</v>
      </c>
      <c r="L50" s="50" t="e">
        <f>'Raw Data'!#REF!/L$1</f>
        <v>#REF!</v>
      </c>
      <c r="M50" s="50" t="e">
        <f>'Raw Data'!#REF!/M$1</f>
        <v>#REF!</v>
      </c>
      <c r="N50" s="50" t="e">
        <f>'Raw Data'!#REF!/N$1</f>
        <v>#REF!</v>
      </c>
      <c r="O50" s="50" t="e">
        <f>'Raw Data'!#REF!/O$1</f>
        <v>#REF!</v>
      </c>
      <c r="P50" s="50" t="str">
        <f t="shared" si="5"/>
        <v/>
      </c>
      <c r="Q50" s="50" t="e">
        <f t="shared" si="6"/>
        <v>#REF!</v>
      </c>
    </row>
    <row r="51" spans="1:17">
      <c r="A51" s="2" t="s">
        <v>208</v>
      </c>
      <c r="B51" s="44">
        <v>4</v>
      </c>
      <c r="C51" s="44">
        <v>2022</v>
      </c>
      <c r="D51" s="44" t="s">
        <v>209</v>
      </c>
      <c r="E51" s="44" t="s">
        <v>209</v>
      </c>
      <c r="F51" s="31">
        <v>44682</v>
      </c>
      <c r="G51" s="44">
        <f t="shared" si="0"/>
        <v>31</v>
      </c>
      <c r="H51" s="45">
        <f t="shared" si="7"/>
        <v>44700</v>
      </c>
      <c r="I51" s="139">
        <f>_xlfn.XLOOKUP(Table12[[#This Row],[Month Year]],'Modelling New'!D:D,'Modelling New'!N:N)</f>
        <v>10.507</v>
      </c>
      <c r="J51" s="50" t="e">
        <f>'Raw Data'!#REF!/J$1</f>
        <v>#REF!</v>
      </c>
      <c r="K51" s="50" t="e">
        <f>'Raw Data'!#REF!/K$1</f>
        <v>#REF!</v>
      </c>
      <c r="L51" s="50" t="e">
        <f>'Raw Data'!#REF!/L$1</f>
        <v>#REF!</v>
      </c>
      <c r="M51" s="50" t="e">
        <f>'Raw Data'!#REF!/M$1</f>
        <v>#REF!</v>
      </c>
      <c r="N51" s="50" t="e">
        <f>'Raw Data'!#REF!/N$1</f>
        <v>#REF!</v>
      </c>
      <c r="O51" s="50" t="e">
        <f>'Raw Data'!#REF!/O$1</f>
        <v>#REF!</v>
      </c>
      <c r="P51" s="50" t="str">
        <f t="shared" si="5"/>
        <v/>
      </c>
      <c r="Q51" s="50" t="e">
        <f t="shared" si="6"/>
        <v>#REF!</v>
      </c>
    </row>
    <row r="52" spans="1:17">
      <c r="A52" s="2" t="s">
        <v>208</v>
      </c>
      <c r="B52" s="46">
        <v>4</v>
      </c>
      <c r="C52" s="46">
        <v>2022</v>
      </c>
      <c r="D52" s="46" t="s">
        <v>209</v>
      </c>
      <c r="E52" s="46" t="s">
        <v>209</v>
      </c>
      <c r="F52" s="31">
        <v>44682</v>
      </c>
      <c r="G52" s="46">
        <f t="shared" si="0"/>
        <v>31</v>
      </c>
      <c r="H52" s="47">
        <f t="shared" si="7"/>
        <v>44701</v>
      </c>
      <c r="I52" s="140">
        <f>_xlfn.XLOOKUP(Table12[[#This Row],[Month Year]],'Modelling New'!D:D,'Modelling New'!N:N)</f>
        <v>10.507</v>
      </c>
      <c r="J52" s="50" t="e">
        <f>'Raw Data'!#REF!/J$1</f>
        <v>#REF!</v>
      </c>
      <c r="K52" s="50" t="e">
        <f>'Raw Data'!#REF!/K$1</f>
        <v>#REF!</v>
      </c>
      <c r="L52" s="50" t="e">
        <f>'Raw Data'!#REF!/L$1</f>
        <v>#REF!</v>
      </c>
      <c r="M52" s="50" t="e">
        <f>'Raw Data'!#REF!/M$1</f>
        <v>#REF!</v>
      </c>
      <c r="N52" s="50" t="e">
        <f>'Raw Data'!#REF!/N$1</f>
        <v>#REF!</v>
      </c>
      <c r="O52" s="50" t="e">
        <f>'Raw Data'!#REF!/O$1</f>
        <v>#REF!</v>
      </c>
      <c r="P52" s="50" t="str">
        <f t="shared" si="5"/>
        <v/>
      </c>
      <c r="Q52" s="50" t="e">
        <f t="shared" si="6"/>
        <v>#REF!</v>
      </c>
    </row>
    <row r="53" spans="1:17">
      <c r="A53" s="2" t="s">
        <v>208</v>
      </c>
      <c r="B53" s="44">
        <v>4</v>
      </c>
      <c r="C53" s="44">
        <v>2022</v>
      </c>
      <c r="D53" s="44" t="s">
        <v>209</v>
      </c>
      <c r="E53" s="44" t="s">
        <v>209</v>
      </c>
      <c r="F53" s="31">
        <v>44682</v>
      </c>
      <c r="G53" s="44">
        <f t="shared" si="0"/>
        <v>31</v>
      </c>
      <c r="H53" s="45">
        <f t="shared" si="7"/>
        <v>44702</v>
      </c>
      <c r="I53" s="139">
        <f>_xlfn.XLOOKUP(Table12[[#This Row],[Month Year]],'Modelling New'!D:D,'Modelling New'!N:N)</f>
        <v>10.507</v>
      </c>
      <c r="J53" s="50" t="e">
        <f>'Raw Data'!#REF!/J$1</f>
        <v>#REF!</v>
      </c>
      <c r="K53" s="50" t="e">
        <f>'Raw Data'!#REF!/K$1</f>
        <v>#REF!</v>
      </c>
      <c r="L53" s="50" t="e">
        <f>'Raw Data'!#REF!/L$1</f>
        <v>#REF!</v>
      </c>
      <c r="M53" s="50" t="e">
        <f>'Raw Data'!#REF!/M$1</f>
        <v>#REF!</v>
      </c>
      <c r="N53" s="50" t="e">
        <f>'Raw Data'!#REF!/N$1</f>
        <v>#REF!</v>
      </c>
      <c r="O53" s="50" t="e">
        <f>'Raw Data'!#REF!/O$1</f>
        <v>#REF!</v>
      </c>
      <c r="P53" s="50" t="str">
        <f t="shared" si="5"/>
        <v/>
      </c>
      <c r="Q53" s="50" t="e">
        <f t="shared" si="6"/>
        <v>#REF!</v>
      </c>
    </row>
    <row r="54" spans="1:17">
      <c r="A54" s="2" t="s">
        <v>208</v>
      </c>
      <c r="B54" s="46">
        <v>4</v>
      </c>
      <c r="C54" s="46">
        <v>2022</v>
      </c>
      <c r="D54" s="46" t="s">
        <v>209</v>
      </c>
      <c r="E54" s="46" t="s">
        <v>209</v>
      </c>
      <c r="F54" s="31">
        <v>44682</v>
      </c>
      <c r="G54" s="46">
        <f t="shared" si="0"/>
        <v>31</v>
      </c>
      <c r="H54" s="47">
        <f t="shared" si="7"/>
        <v>44703</v>
      </c>
      <c r="I54" s="140">
        <f>_xlfn.XLOOKUP(Table12[[#This Row],[Month Year]],'Modelling New'!D:D,'Modelling New'!N:N)</f>
        <v>10.507</v>
      </c>
      <c r="J54" s="50" t="e">
        <f>'Raw Data'!#REF!/J$1</f>
        <v>#REF!</v>
      </c>
      <c r="K54" s="50" t="e">
        <f>'Raw Data'!#REF!/K$1</f>
        <v>#REF!</v>
      </c>
      <c r="L54" s="50" t="e">
        <f>'Raw Data'!#REF!/L$1</f>
        <v>#REF!</v>
      </c>
      <c r="M54" s="50" t="e">
        <f>'Raw Data'!#REF!/M$1</f>
        <v>#REF!</v>
      </c>
      <c r="N54" s="50" t="e">
        <f>'Raw Data'!#REF!/N$1</f>
        <v>#REF!</v>
      </c>
      <c r="O54" s="50" t="e">
        <f>'Raw Data'!#REF!/O$1</f>
        <v>#REF!</v>
      </c>
      <c r="P54" s="50" t="str">
        <f t="shared" si="5"/>
        <v/>
      </c>
      <c r="Q54" s="50" t="e">
        <f t="shared" si="6"/>
        <v>#REF!</v>
      </c>
    </row>
    <row r="55" spans="1:17">
      <c r="A55" s="2" t="s">
        <v>208</v>
      </c>
      <c r="B55" s="44">
        <v>4</v>
      </c>
      <c r="C55" s="44">
        <v>2022</v>
      </c>
      <c r="D55" s="44" t="s">
        <v>209</v>
      </c>
      <c r="E55" s="44" t="s">
        <v>209</v>
      </c>
      <c r="F55" s="31">
        <v>44682</v>
      </c>
      <c r="G55" s="44">
        <f t="shared" si="0"/>
        <v>31</v>
      </c>
      <c r="H55" s="45">
        <f t="shared" si="7"/>
        <v>44704</v>
      </c>
      <c r="I55" s="139">
        <f>_xlfn.XLOOKUP(Table12[[#This Row],[Month Year]],'Modelling New'!D:D,'Modelling New'!N:N)</f>
        <v>10.507</v>
      </c>
      <c r="J55" s="50" t="e">
        <f>'Raw Data'!#REF!/J$1</f>
        <v>#REF!</v>
      </c>
      <c r="K55" s="50" t="e">
        <f>'Raw Data'!#REF!/K$1</f>
        <v>#REF!</v>
      </c>
      <c r="L55" s="50" t="e">
        <f>'Raw Data'!#REF!/L$1</f>
        <v>#REF!</v>
      </c>
      <c r="M55" s="50" t="e">
        <f>'Raw Data'!#REF!/M$1</f>
        <v>#REF!</v>
      </c>
      <c r="N55" s="50" t="e">
        <f>'Raw Data'!#REF!/N$1</f>
        <v>#REF!</v>
      </c>
      <c r="O55" s="50" t="e">
        <f>'Raw Data'!#REF!/O$1</f>
        <v>#REF!</v>
      </c>
      <c r="P55" s="50" t="str">
        <f t="shared" si="5"/>
        <v/>
      </c>
      <c r="Q55" s="50" t="e">
        <f t="shared" si="6"/>
        <v>#REF!</v>
      </c>
    </row>
    <row r="56" spans="1:17">
      <c r="A56" s="2" t="s">
        <v>208</v>
      </c>
      <c r="B56" s="46">
        <v>4</v>
      </c>
      <c r="C56" s="46">
        <v>2022</v>
      </c>
      <c r="D56" s="46" t="s">
        <v>209</v>
      </c>
      <c r="E56" s="46" t="s">
        <v>209</v>
      </c>
      <c r="F56" s="31">
        <v>44682</v>
      </c>
      <c r="G56" s="46">
        <f t="shared" si="0"/>
        <v>31</v>
      </c>
      <c r="H56" s="47">
        <f t="shared" si="7"/>
        <v>44705</v>
      </c>
      <c r="I56" s="140">
        <f>_xlfn.XLOOKUP(Table12[[#This Row],[Month Year]],'Modelling New'!D:D,'Modelling New'!N:N)</f>
        <v>10.507</v>
      </c>
      <c r="J56" s="50" t="e">
        <f>'Raw Data'!#REF!/J$1</f>
        <v>#REF!</v>
      </c>
      <c r="K56" s="50" t="e">
        <f>'Raw Data'!#REF!/K$1</f>
        <v>#REF!</v>
      </c>
      <c r="L56" s="50" t="e">
        <f>'Raw Data'!#REF!/L$1</f>
        <v>#REF!</v>
      </c>
      <c r="M56" s="50" t="e">
        <f>'Raw Data'!#REF!/M$1</f>
        <v>#REF!</v>
      </c>
      <c r="N56" s="50" t="e">
        <f>'Raw Data'!#REF!/N$1</f>
        <v>#REF!</v>
      </c>
      <c r="O56" s="50" t="e">
        <f>'Raw Data'!#REF!/O$1</f>
        <v>#REF!</v>
      </c>
      <c r="P56" s="50" t="str">
        <f t="shared" si="5"/>
        <v/>
      </c>
      <c r="Q56" s="50" t="e">
        <f t="shared" si="6"/>
        <v>#REF!</v>
      </c>
    </row>
    <row r="57" spans="1:17">
      <c r="A57" s="2" t="s">
        <v>208</v>
      </c>
      <c r="B57" s="44">
        <v>4</v>
      </c>
      <c r="C57" s="44">
        <v>2022</v>
      </c>
      <c r="D57" s="44" t="s">
        <v>209</v>
      </c>
      <c r="E57" s="44" t="s">
        <v>209</v>
      </c>
      <c r="F57" s="31">
        <v>44682</v>
      </c>
      <c r="G57" s="44">
        <f t="shared" si="0"/>
        <v>31</v>
      </c>
      <c r="H57" s="45">
        <f t="shared" si="7"/>
        <v>44706</v>
      </c>
      <c r="I57" s="139">
        <f>_xlfn.XLOOKUP(Table12[[#This Row],[Month Year]],'Modelling New'!D:D,'Modelling New'!N:N)</f>
        <v>10.507</v>
      </c>
      <c r="J57" s="50" t="e">
        <f>'Raw Data'!#REF!/J$1</f>
        <v>#REF!</v>
      </c>
      <c r="K57" s="50" t="e">
        <f>'Raw Data'!#REF!/K$1</f>
        <v>#REF!</v>
      </c>
      <c r="L57" s="50" t="e">
        <f>'Raw Data'!#REF!/L$1</f>
        <v>#REF!</v>
      </c>
      <c r="M57" s="50" t="e">
        <f>'Raw Data'!#REF!/M$1</f>
        <v>#REF!</v>
      </c>
      <c r="N57" s="50" t="e">
        <f>'Raw Data'!#REF!/N$1</f>
        <v>#REF!</v>
      </c>
      <c r="O57" s="50" t="e">
        <f>'Raw Data'!#REF!/O$1</f>
        <v>#REF!</v>
      </c>
      <c r="P57" s="50" t="str">
        <f t="shared" si="5"/>
        <v/>
      </c>
      <c r="Q57" s="50" t="e">
        <f t="shared" si="6"/>
        <v>#REF!</v>
      </c>
    </row>
    <row r="58" spans="1:17">
      <c r="A58" s="2" t="s">
        <v>208</v>
      </c>
      <c r="B58" s="46">
        <v>4</v>
      </c>
      <c r="C58" s="46">
        <v>2022</v>
      </c>
      <c r="D58" s="46" t="s">
        <v>209</v>
      </c>
      <c r="E58" s="46" t="s">
        <v>209</v>
      </c>
      <c r="F58" s="31">
        <v>44682</v>
      </c>
      <c r="G58" s="46">
        <f t="shared" si="0"/>
        <v>31</v>
      </c>
      <c r="H58" s="47">
        <f t="shared" si="7"/>
        <v>44707</v>
      </c>
      <c r="I58" s="140">
        <f>_xlfn.XLOOKUP(Table12[[#This Row],[Month Year]],'Modelling New'!D:D,'Modelling New'!N:N)</f>
        <v>10.507</v>
      </c>
      <c r="J58" s="50" t="e">
        <f>'Raw Data'!#REF!/J$1</f>
        <v>#REF!</v>
      </c>
      <c r="K58" s="50" t="e">
        <f>'Raw Data'!#REF!/K$1</f>
        <v>#REF!</v>
      </c>
      <c r="L58" s="50" t="e">
        <f>'Raw Data'!#REF!/L$1</f>
        <v>#REF!</v>
      </c>
      <c r="M58" s="50" t="e">
        <f>'Raw Data'!#REF!/M$1</f>
        <v>#REF!</v>
      </c>
      <c r="N58" s="50" t="e">
        <f>'Raw Data'!#REF!/N$1</f>
        <v>#REF!</v>
      </c>
      <c r="O58" s="50" t="e">
        <f>'Raw Data'!#REF!/O$1</f>
        <v>#REF!</v>
      </c>
      <c r="P58" s="50" t="str">
        <f t="shared" si="5"/>
        <v/>
      </c>
      <c r="Q58" s="50" t="e">
        <f t="shared" si="6"/>
        <v>#REF!</v>
      </c>
    </row>
    <row r="59" spans="1:17">
      <c r="A59" s="2" t="s">
        <v>208</v>
      </c>
      <c r="B59" s="44">
        <v>4</v>
      </c>
      <c r="C59" s="44">
        <v>2022</v>
      </c>
      <c r="D59" s="44" t="s">
        <v>209</v>
      </c>
      <c r="E59" s="44" t="s">
        <v>209</v>
      </c>
      <c r="F59" s="31">
        <v>44682</v>
      </c>
      <c r="G59" s="44">
        <f t="shared" si="0"/>
        <v>31</v>
      </c>
      <c r="H59" s="45">
        <f t="shared" si="7"/>
        <v>44708</v>
      </c>
      <c r="I59" s="139">
        <f>_xlfn.XLOOKUP(Table12[[#This Row],[Month Year]],'Modelling New'!D:D,'Modelling New'!N:N)</f>
        <v>10.507</v>
      </c>
      <c r="J59" s="50" t="e">
        <f>'Raw Data'!#REF!/J$1</f>
        <v>#REF!</v>
      </c>
      <c r="K59" s="50" t="e">
        <f>'Raw Data'!#REF!/K$1</f>
        <v>#REF!</v>
      </c>
      <c r="L59" s="50" t="e">
        <f>'Raw Data'!#REF!/L$1</f>
        <v>#REF!</v>
      </c>
      <c r="M59" s="50" t="e">
        <f>'Raw Data'!#REF!/M$1</f>
        <v>#REF!</v>
      </c>
      <c r="N59" s="50" t="e">
        <f>'Raw Data'!#REF!/N$1</f>
        <v>#REF!</v>
      </c>
      <c r="O59" s="50" t="e">
        <f>'Raw Data'!#REF!/O$1</f>
        <v>#REF!</v>
      </c>
      <c r="P59" s="50" t="str">
        <f t="shared" si="5"/>
        <v/>
      </c>
      <c r="Q59" s="50" t="e">
        <f t="shared" si="6"/>
        <v>#REF!</v>
      </c>
    </row>
    <row r="60" spans="1:17">
      <c r="A60" s="2" t="s">
        <v>208</v>
      </c>
      <c r="B60" s="46">
        <v>4</v>
      </c>
      <c r="C60" s="46">
        <v>2022</v>
      </c>
      <c r="D60" s="46" t="s">
        <v>209</v>
      </c>
      <c r="E60" s="46" t="s">
        <v>209</v>
      </c>
      <c r="F60" s="31">
        <v>44682</v>
      </c>
      <c r="G60" s="46">
        <f t="shared" si="0"/>
        <v>31</v>
      </c>
      <c r="H60" s="47">
        <f t="shared" si="7"/>
        <v>44709</v>
      </c>
      <c r="I60" s="140">
        <f>_xlfn.XLOOKUP(Table12[[#This Row],[Month Year]],'Modelling New'!D:D,'Modelling New'!N:N)</f>
        <v>10.507</v>
      </c>
      <c r="J60" s="50" t="e">
        <f>'Raw Data'!#REF!/J$1</f>
        <v>#REF!</v>
      </c>
      <c r="K60" s="50" t="e">
        <f>'Raw Data'!#REF!/K$1</f>
        <v>#REF!</v>
      </c>
      <c r="L60" s="50" t="e">
        <f>'Raw Data'!#REF!/L$1</f>
        <v>#REF!</v>
      </c>
      <c r="M60" s="50" t="e">
        <f>'Raw Data'!#REF!/M$1</f>
        <v>#REF!</v>
      </c>
      <c r="N60" s="50" t="e">
        <f>'Raw Data'!#REF!/N$1</f>
        <v>#REF!</v>
      </c>
      <c r="O60" s="50" t="e">
        <f>'Raw Data'!#REF!/O$1</f>
        <v>#REF!</v>
      </c>
      <c r="P60" s="50" t="str">
        <f t="shared" si="5"/>
        <v/>
      </c>
      <c r="Q60" s="50" t="e">
        <f t="shared" si="6"/>
        <v>#REF!</v>
      </c>
    </row>
    <row r="61" spans="1:17">
      <c r="A61" s="2" t="s">
        <v>208</v>
      </c>
      <c r="B61" s="44">
        <v>4</v>
      </c>
      <c r="C61" s="44">
        <v>2022</v>
      </c>
      <c r="D61" s="44" t="s">
        <v>209</v>
      </c>
      <c r="E61" s="44" t="s">
        <v>209</v>
      </c>
      <c r="F61" s="31">
        <v>44682</v>
      </c>
      <c r="G61" s="44">
        <f t="shared" si="0"/>
        <v>31</v>
      </c>
      <c r="H61" s="45">
        <f t="shared" si="7"/>
        <v>44710</v>
      </c>
      <c r="I61" s="139">
        <f>_xlfn.XLOOKUP(Table12[[#This Row],[Month Year]],'Modelling New'!D:D,'Modelling New'!N:N)</f>
        <v>10.507</v>
      </c>
      <c r="J61" s="50" t="e">
        <f>'Raw Data'!#REF!/J$1</f>
        <v>#REF!</v>
      </c>
      <c r="K61" s="50" t="e">
        <f>'Raw Data'!#REF!/K$1</f>
        <v>#REF!</v>
      </c>
      <c r="L61" s="50" t="e">
        <f>'Raw Data'!#REF!/L$1</f>
        <v>#REF!</v>
      </c>
      <c r="M61" s="50" t="e">
        <f>'Raw Data'!#REF!/M$1</f>
        <v>#REF!</v>
      </c>
      <c r="N61" s="50" t="e">
        <f>'Raw Data'!#REF!/N$1</f>
        <v>#REF!</v>
      </c>
      <c r="O61" s="50" t="e">
        <f>'Raw Data'!#REF!/O$1</f>
        <v>#REF!</v>
      </c>
      <c r="P61" s="50" t="str">
        <f t="shared" si="5"/>
        <v/>
      </c>
      <c r="Q61" s="50" t="e">
        <f t="shared" si="6"/>
        <v>#REF!</v>
      </c>
    </row>
    <row r="62" spans="1:17">
      <c r="A62" s="2" t="s">
        <v>208</v>
      </c>
      <c r="B62" s="46">
        <v>4</v>
      </c>
      <c r="C62" s="46">
        <v>2022</v>
      </c>
      <c r="D62" s="46" t="s">
        <v>209</v>
      </c>
      <c r="E62" s="46" t="s">
        <v>209</v>
      </c>
      <c r="F62" s="31">
        <v>44682</v>
      </c>
      <c r="G62" s="46">
        <f t="shared" si="0"/>
        <v>31</v>
      </c>
      <c r="H62" s="47">
        <f t="shared" si="7"/>
        <v>44711</v>
      </c>
      <c r="I62" s="140">
        <f>_xlfn.XLOOKUP(Table12[[#This Row],[Month Year]],'Modelling New'!D:D,'Modelling New'!N:N)</f>
        <v>10.507</v>
      </c>
      <c r="J62" s="50" t="e">
        <f>'Raw Data'!#REF!/J$1</f>
        <v>#REF!</v>
      </c>
      <c r="K62" s="50" t="e">
        <f>'Raw Data'!#REF!/K$1</f>
        <v>#REF!</v>
      </c>
      <c r="L62" s="50" t="e">
        <f>'Raw Data'!#REF!/L$1</f>
        <v>#REF!</v>
      </c>
      <c r="M62" s="50" t="e">
        <f>'Raw Data'!#REF!/M$1</f>
        <v>#REF!</v>
      </c>
      <c r="N62" s="50" t="e">
        <f>'Raw Data'!#REF!/N$1</f>
        <v>#REF!</v>
      </c>
      <c r="O62" s="50" t="e">
        <f>'Raw Data'!#REF!/O$1</f>
        <v>#REF!</v>
      </c>
      <c r="P62" s="50" t="str">
        <f t="shared" si="5"/>
        <v/>
      </c>
      <c r="Q62" s="50" t="e">
        <f t="shared" si="6"/>
        <v>#REF!</v>
      </c>
    </row>
    <row r="63" spans="1:17">
      <c r="A63" s="2" t="s">
        <v>208</v>
      </c>
      <c r="B63" s="44">
        <v>4</v>
      </c>
      <c r="C63" s="44">
        <v>2022</v>
      </c>
      <c r="D63" s="44" t="s">
        <v>209</v>
      </c>
      <c r="E63" s="44" t="s">
        <v>209</v>
      </c>
      <c r="F63" s="31">
        <v>44682</v>
      </c>
      <c r="G63" s="44">
        <f t="shared" si="0"/>
        <v>31</v>
      </c>
      <c r="H63" s="45">
        <f t="shared" si="7"/>
        <v>44712</v>
      </c>
      <c r="I63" s="139">
        <f>_xlfn.XLOOKUP(Table12[[#This Row],[Month Year]],'Modelling New'!D:D,'Modelling New'!N:N)</f>
        <v>10.507</v>
      </c>
      <c r="J63" s="50" t="e">
        <f>'Raw Data'!#REF!/J$1</f>
        <v>#REF!</v>
      </c>
      <c r="K63" s="50" t="e">
        <f>'Raw Data'!#REF!/K$1</f>
        <v>#REF!</v>
      </c>
      <c r="L63" s="50" t="e">
        <f>'Raw Data'!#REF!/L$1</f>
        <v>#REF!</v>
      </c>
      <c r="M63" s="50" t="e">
        <f>'Raw Data'!#REF!/M$1</f>
        <v>#REF!</v>
      </c>
      <c r="N63" s="50" t="e">
        <f>'Raw Data'!#REF!/N$1</f>
        <v>#REF!</v>
      </c>
      <c r="O63" s="50" t="e">
        <f>'Raw Data'!#REF!/O$1</f>
        <v>#REF!</v>
      </c>
      <c r="P63" s="50" t="str">
        <f t="shared" si="5"/>
        <v/>
      </c>
      <c r="Q63" s="50" t="e">
        <f t="shared" si="6"/>
        <v>#REF!</v>
      </c>
    </row>
    <row r="64" spans="1:17">
      <c r="A64" s="2" t="s">
        <v>208</v>
      </c>
      <c r="B64" s="46">
        <v>4</v>
      </c>
      <c r="C64" s="46">
        <v>2022</v>
      </c>
      <c r="D64" s="46" t="s">
        <v>209</v>
      </c>
      <c r="E64" s="46" t="s">
        <v>209</v>
      </c>
      <c r="F64" s="31">
        <v>44713</v>
      </c>
      <c r="G64" s="46">
        <f t="shared" si="0"/>
        <v>30</v>
      </c>
      <c r="H64" s="47">
        <f t="shared" si="7"/>
        <v>44713</v>
      </c>
      <c r="I64" s="140">
        <f>_xlfn.XLOOKUP(Table12[[#This Row],[Month Year]],'Modelling New'!D:D,'Modelling New'!N:N)</f>
        <v>10.507</v>
      </c>
      <c r="J64" s="50" t="e">
        <f>'Raw Data'!#REF!/J$1</f>
        <v>#REF!</v>
      </c>
      <c r="K64" s="50" t="e">
        <f>'Raw Data'!#REF!/K$1</f>
        <v>#REF!</v>
      </c>
      <c r="L64" s="50" t="e">
        <f>'Raw Data'!#REF!/L$1</f>
        <v>#REF!</v>
      </c>
      <c r="M64" s="50" t="e">
        <f>'Raw Data'!#REF!/M$1</f>
        <v>#REF!</v>
      </c>
      <c r="N64" s="50" t="e">
        <f>'Raw Data'!#REF!/N$1</f>
        <v>#REF!</v>
      </c>
      <c r="O64" s="50" t="e">
        <f>'Raw Data'!#REF!/O$1</f>
        <v>#REF!</v>
      </c>
      <c r="P64" s="50" t="str">
        <f t="shared" si="5"/>
        <v/>
      </c>
      <c r="Q64" s="50" t="e">
        <f t="shared" si="6"/>
        <v>#REF!</v>
      </c>
    </row>
    <row r="65" spans="1:17">
      <c r="A65" s="2" t="s">
        <v>208</v>
      </c>
      <c r="B65" s="44">
        <v>4</v>
      </c>
      <c r="C65" s="44">
        <v>2022</v>
      </c>
      <c r="D65" s="44" t="s">
        <v>209</v>
      </c>
      <c r="E65" s="44" t="s">
        <v>209</v>
      </c>
      <c r="F65" s="31">
        <v>44713</v>
      </c>
      <c r="G65" s="44">
        <f t="shared" si="0"/>
        <v>30</v>
      </c>
      <c r="H65" s="45">
        <f t="shared" si="7"/>
        <v>44714</v>
      </c>
      <c r="I65" s="139">
        <f>_xlfn.XLOOKUP(Table12[[#This Row],[Month Year]],'Modelling New'!D:D,'Modelling New'!N:N)</f>
        <v>10.507</v>
      </c>
      <c r="J65" s="50" t="e">
        <f>'Raw Data'!#REF!/J$1</f>
        <v>#REF!</v>
      </c>
      <c r="K65" s="50" t="e">
        <f>'Raw Data'!#REF!/K$1</f>
        <v>#REF!</v>
      </c>
      <c r="L65" s="50" t="e">
        <f>'Raw Data'!#REF!/L$1</f>
        <v>#REF!</v>
      </c>
      <c r="M65" s="50" t="e">
        <f>'Raw Data'!#REF!/M$1</f>
        <v>#REF!</v>
      </c>
      <c r="N65" s="50" t="e">
        <f>'Raw Data'!#REF!/N$1</f>
        <v>#REF!</v>
      </c>
      <c r="O65" s="50" t="e">
        <f>'Raw Data'!#REF!/O$1</f>
        <v>#REF!</v>
      </c>
      <c r="P65" s="50" t="str">
        <f t="shared" si="5"/>
        <v/>
      </c>
      <c r="Q65" s="50" t="e">
        <f t="shared" si="6"/>
        <v>#REF!</v>
      </c>
    </row>
    <row r="66" spans="1:17">
      <c r="A66" s="2" t="s">
        <v>208</v>
      </c>
      <c r="B66" s="46">
        <v>4</v>
      </c>
      <c r="C66" s="46">
        <v>2022</v>
      </c>
      <c r="D66" s="46" t="s">
        <v>209</v>
      </c>
      <c r="E66" s="46" t="s">
        <v>209</v>
      </c>
      <c r="F66" s="31">
        <v>44713</v>
      </c>
      <c r="G66" s="46">
        <f t="shared" si="0"/>
        <v>30</v>
      </c>
      <c r="H66" s="47">
        <f t="shared" si="7"/>
        <v>44715</v>
      </c>
      <c r="I66" s="140">
        <f>_xlfn.XLOOKUP(Table12[[#This Row],[Month Year]],'Modelling New'!D:D,'Modelling New'!N:N)</f>
        <v>10.507</v>
      </c>
      <c r="J66" s="50" t="e">
        <f>'Raw Data'!#REF!/J$1</f>
        <v>#REF!</v>
      </c>
      <c r="K66" s="50" t="e">
        <f>'Raw Data'!#REF!/K$1</f>
        <v>#REF!</v>
      </c>
      <c r="L66" s="50" t="e">
        <f>'Raw Data'!#REF!/L$1</f>
        <v>#REF!</v>
      </c>
      <c r="M66" s="50" t="e">
        <f>'Raw Data'!#REF!/M$1</f>
        <v>#REF!</v>
      </c>
      <c r="N66" s="50" t="e">
        <f>'Raw Data'!#REF!/N$1</f>
        <v>#REF!</v>
      </c>
      <c r="O66" s="50" t="e">
        <f>'Raw Data'!#REF!/O$1</f>
        <v>#REF!</v>
      </c>
      <c r="P66" s="50" t="str">
        <f t="shared" si="5"/>
        <v/>
      </c>
      <c r="Q66" s="50" t="e">
        <f t="shared" si="6"/>
        <v>#REF!</v>
      </c>
    </row>
    <row r="67" spans="1:17">
      <c r="A67" s="2" t="s">
        <v>208</v>
      </c>
      <c r="B67" s="44">
        <v>4</v>
      </c>
      <c r="C67" s="44">
        <v>2022</v>
      </c>
      <c r="D67" s="44" t="s">
        <v>209</v>
      </c>
      <c r="E67" s="44" t="s">
        <v>209</v>
      </c>
      <c r="F67" s="31">
        <v>44713</v>
      </c>
      <c r="G67" s="44">
        <f t="shared" si="0"/>
        <v>30</v>
      </c>
      <c r="H67" s="45">
        <f t="shared" si="7"/>
        <v>44716</v>
      </c>
      <c r="I67" s="139">
        <f>_xlfn.XLOOKUP(Table12[[#This Row],[Month Year]],'Modelling New'!D:D,'Modelling New'!N:N)</f>
        <v>10.507</v>
      </c>
      <c r="J67" s="50" t="e">
        <f>'Raw Data'!#REF!/J$1</f>
        <v>#REF!</v>
      </c>
      <c r="K67" s="50" t="e">
        <f>'Raw Data'!#REF!/K$1</f>
        <v>#REF!</v>
      </c>
      <c r="L67" s="50" t="e">
        <f>'Raw Data'!#REF!/L$1</f>
        <v>#REF!</v>
      </c>
      <c r="M67" s="50" t="e">
        <f>'Raw Data'!#REF!/M$1</f>
        <v>#REF!</v>
      </c>
      <c r="N67" s="50" t="e">
        <f>'Raw Data'!#REF!/N$1</f>
        <v>#REF!</v>
      </c>
      <c r="O67" s="50" t="e">
        <f>'Raw Data'!#REF!/O$1</f>
        <v>#REF!</v>
      </c>
      <c r="P67" s="50" t="str">
        <f t="shared" si="5"/>
        <v/>
      </c>
      <c r="Q67" s="50" t="e">
        <f t="shared" si="6"/>
        <v>#REF!</v>
      </c>
    </row>
    <row r="68" spans="1:17">
      <c r="A68" s="2" t="s">
        <v>208</v>
      </c>
      <c r="B68" s="46">
        <v>4</v>
      </c>
      <c r="C68" s="46">
        <v>2022</v>
      </c>
      <c r="D68" s="46" t="s">
        <v>209</v>
      </c>
      <c r="E68" s="46" t="s">
        <v>209</v>
      </c>
      <c r="F68" s="31">
        <v>44713</v>
      </c>
      <c r="G68" s="46">
        <f t="shared" ref="G68:G131" si="8">DAY(EOMONTH(F68,0))</f>
        <v>30</v>
      </c>
      <c r="H68" s="47">
        <f t="shared" si="7"/>
        <v>44717</v>
      </c>
      <c r="I68" s="140">
        <f>_xlfn.XLOOKUP(Table12[[#This Row],[Month Year]],'Modelling New'!D:D,'Modelling New'!N:N)</f>
        <v>10.507</v>
      </c>
      <c r="J68" s="50" t="e">
        <f>'Raw Data'!#REF!/J$1</f>
        <v>#REF!</v>
      </c>
      <c r="K68" s="50" t="e">
        <f>'Raw Data'!#REF!/K$1</f>
        <v>#REF!</v>
      </c>
      <c r="L68" s="50" t="e">
        <f>'Raw Data'!#REF!/L$1</f>
        <v>#REF!</v>
      </c>
      <c r="M68" s="50" t="e">
        <f>'Raw Data'!#REF!/M$1</f>
        <v>#REF!</v>
      </c>
      <c r="N68" s="50" t="e">
        <f>'Raw Data'!#REF!/N$1</f>
        <v>#REF!</v>
      </c>
      <c r="O68" s="50" t="e">
        <f>'Raw Data'!#REF!/O$1</f>
        <v>#REF!</v>
      </c>
      <c r="P68" s="50" t="str">
        <f t="shared" si="5"/>
        <v/>
      </c>
      <c r="Q68" s="50" t="e">
        <f t="shared" si="6"/>
        <v>#REF!</v>
      </c>
    </row>
    <row r="69" spans="1:17">
      <c r="A69" s="2" t="s">
        <v>208</v>
      </c>
      <c r="B69" s="44">
        <v>4</v>
      </c>
      <c r="C69" s="44">
        <v>2022</v>
      </c>
      <c r="D69" s="44" t="s">
        <v>209</v>
      </c>
      <c r="E69" s="44" t="s">
        <v>209</v>
      </c>
      <c r="F69" s="31">
        <v>44713</v>
      </c>
      <c r="G69" s="44">
        <f t="shared" si="8"/>
        <v>30</v>
      </c>
      <c r="H69" s="45">
        <f t="shared" si="7"/>
        <v>44718</v>
      </c>
      <c r="I69" s="139">
        <f>_xlfn.XLOOKUP(Table12[[#This Row],[Month Year]],'Modelling New'!D:D,'Modelling New'!N:N)</f>
        <v>10.507</v>
      </c>
      <c r="J69" s="50" t="e">
        <f>'Raw Data'!#REF!/J$1</f>
        <v>#REF!</v>
      </c>
      <c r="K69" s="50" t="e">
        <f>'Raw Data'!#REF!/K$1</f>
        <v>#REF!</v>
      </c>
      <c r="L69" s="50" t="e">
        <f>'Raw Data'!#REF!/L$1</f>
        <v>#REF!</v>
      </c>
      <c r="M69" s="50" t="e">
        <f>'Raw Data'!#REF!/M$1</f>
        <v>#REF!</v>
      </c>
      <c r="N69" s="50" t="e">
        <f>'Raw Data'!#REF!/N$1</f>
        <v>#REF!</v>
      </c>
      <c r="O69" s="50" t="e">
        <f>'Raw Data'!#REF!/O$1</f>
        <v>#REF!</v>
      </c>
      <c r="P69" s="50" t="str">
        <f t="shared" si="5"/>
        <v/>
      </c>
      <c r="Q69" s="50" t="e">
        <f t="shared" si="6"/>
        <v>#REF!</v>
      </c>
    </row>
    <row r="70" spans="1:17">
      <c r="A70" s="2" t="s">
        <v>208</v>
      </c>
      <c r="B70" s="46">
        <v>4</v>
      </c>
      <c r="C70" s="46">
        <v>2022</v>
      </c>
      <c r="D70" s="46" t="s">
        <v>209</v>
      </c>
      <c r="E70" s="46" t="s">
        <v>209</v>
      </c>
      <c r="F70" s="31">
        <v>44713</v>
      </c>
      <c r="G70" s="46">
        <f t="shared" si="8"/>
        <v>30</v>
      </c>
      <c r="H70" s="47">
        <f t="shared" si="7"/>
        <v>44719</v>
      </c>
      <c r="I70" s="140">
        <f>_xlfn.XLOOKUP(Table12[[#This Row],[Month Year]],'Modelling New'!D:D,'Modelling New'!N:N)</f>
        <v>10.507</v>
      </c>
      <c r="J70" s="50" t="e">
        <f>'Raw Data'!#REF!/J$1</f>
        <v>#REF!</v>
      </c>
      <c r="K70" s="50" t="e">
        <f>'Raw Data'!#REF!/K$1</f>
        <v>#REF!</v>
      </c>
      <c r="L70" s="50" t="e">
        <f>'Raw Data'!#REF!/L$1</f>
        <v>#REF!</v>
      </c>
      <c r="M70" s="50" t="e">
        <f>'Raw Data'!#REF!/M$1</f>
        <v>#REF!</v>
      </c>
      <c r="N70" s="50" t="e">
        <f>'Raw Data'!#REF!/N$1</f>
        <v>#REF!</v>
      </c>
      <c r="O70" s="50" t="e">
        <f>'Raw Data'!#REF!/O$1</f>
        <v>#REF!</v>
      </c>
      <c r="P70" s="50" t="str">
        <f t="shared" si="5"/>
        <v/>
      </c>
      <c r="Q70" s="50" t="e">
        <f t="shared" si="6"/>
        <v>#REF!</v>
      </c>
    </row>
    <row r="71" spans="1:17">
      <c r="A71" s="2" t="s">
        <v>208</v>
      </c>
      <c r="B71" s="44">
        <v>4</v>
      </c>
      <c r="C71" s="44">
        <v>2022</v>
      </c>
      <c r="D71" s="44" t="s">
        <v>209</v>
      </c>
      <c r="E71" s="44" t="s">
        <v>209</v>
      </c>
      <c r="F71" s="31">
        <v>44713</v>
      </c>
      <c r="G71" s="44">
        <f t="shared" si="8"/>
        <v>30</v>
      </c>
      <c r="H71" s="45">
        <f t="shared" si="7"/>
        <v>44720</v>
      </c>
      <c r="I71" s="139">
        <f>_xlfn.XLOOKUP(Table12[[#This Row],[Month Year]],'Modelling New'!D:D,'Modelling New'!N:N)</f>
        <v>10.507</v>
      </c>
      <c r="J71" s="50" t="e">
        <f>'Raw Data'!#REF!/J$1</f>
        <v>#REF!</v>
      </c>
      <c r="K71" s="50" t="e">
        <f>'Raw Data'!#REF!/K$1</f>
        <v>#REF!</v>
      </c>
      <c r="L71" s="50" t="e">
        <f>'Raw Data'!#REF!/L$1</f>
        <v>#REF!</v>
      </c>
      <c r="M71" s="50" t="e">
        <f>'Raw Data'!#REF!/M$1</f>
        <v>#REF!</v>
      </c>
      <c r="N71" s="50" t="e">
        <f>'Raw Data'!#REF!/N$1</f>
        <v>#REF!</v>
      </c>
      <c r="O71" s="50" t="e">
        <f>'Raw Data'!#REF!/O$1</f>
        <v>#REF!</v>
      </c>
      <c r="P71" s="50" t="str">
        <f t="shared" si="5"/>
        <v/>
      </c>
      <c r="Q71" s="50" t="e">
        <f t="shared" si="6"/>
        <v>#REF!</v>
      </c>
    </row>
    <row r="72" spans="1:17">
      <c r="A72" s="2" t="s">
        <v>208</v>
      </c>
      <c r="B72" s="46">
        <v>4</v>
      </c>
      <c r="C72" s="46">
        <v>2022</v>
      </c>
      <c r="D72" s="46" t="s">
        <v>209</v>
      </c>
      <c r="E72" s="46" t="s">
        <v>209</v>
      </c>
      <c r="F72" s="31">
        <v>44713</v>
      </c>
      <c r="G72" s="46">
        <f t="shared" si="8"/>
        <v>30</v>
      </c>
      <c r="H72" s="47">
        <f t="shared" si="7"/>
        <v>44721</v>
      </c>
      <c r="I72" s="140">
        <f>_xlfn.XLOOKUP(Table12[[#This Row],[Month Year]],'Modelling New'!D:D,'Modelling New'!N:N)</f>
        <v>10.507</v>
      </c>
      <c r="J72" s="50" t="e">
        <f>'Raw Data'!#REF!/J$1</f>
        <v>#REF!</v>
      </c>
      <c r="K72" s="50" t="e">
        <f>'Raw Data'!#REF!/K$1</f>
        <v>#REF!</v>
      </c>
      <c r="L72" s="50" t="e">
        <f>'Raw Data'!#REF!/L$1</f>
        <v>#REF!</v>
      </c>
      <c r="M72" s="50" t="e">
        <f>'Raw Data'!#REF!/M$1</f>
        <v>#REF!</v>
      </c>
      <c r="N72" s="50" t="e">
        <f>'Raw Data'!#REF!/N$1</f>
        <v>#REF!</v>
      </c>
      <c r="O72" s="50" t="e">
        <f>'Raw Data'!#REF!/O$1</f>
        <v>#REF!</v>
      </c>
      <c r="P72" s="50" t="str">
        <f t="shared" si="5"/>
        <v/>
      </c>
      <c r="Q72" s="50" t="e">
        <f t="shared" si="6"/>
        <v>#REF!</v>
      </c>
    </row>
    <row r="73" spans="1:17">
      <c r="A73" s="2" t="s">
        <v>208</v>
      </c>
      <c r="B73" s="44">
        <v>4</v>
      </c>
      <c r="C73" s="44">
        <v>2022</v>
      </c>
      <c r="D73" s="44" t="s">
        <v>209</v>
      </c>
      <c r="E73" s="44" t="s">
        <v>209</v>
      </c>
      <c r="F73" s="31">
        <v>44713</v>
      </c>
      <c r="G73" s="44">
        <f t="shared" si="8"/>
        <v>30</v>
      </c>
      <c r="H73" s="45">
        <f t="shared" si="7"/>
        <v>44722</v>
      </c>
      <c r="I73" s="139">
        <f>_xlfn.XLOOKUP(Table12[[#This Row],[Month Year]],'Modelling New'!D:D,'Modelling New'!N:N)</f>
        <v>10.507</v>
      </c>
      <c r="J73" s="50" t="e">
        <f>'Raw Data'!#REF!/J$1</f>
        <v>#REF!</v>
      </c>
      <c r="K73" s="50" t="e">
        <f>'Raw Data'!#REF!/K$1</f>
        <v>#REF!</v>
      </c>
      <c r="L73" s="50" t="e">
        <f>'Raw Data'!#REF!/L$1</f>
        <v>#REF!</v>
      </c>
      <c r="M73" s="50" t="e">
        <f>'Raw Data'!#REF!/M$1</f>
        <v>#REF!</v>
      </c>
      <c r="N73" s="50" t="e">
        <f>'Raw Data'!#REF!/N$1</f>
        <v>#REF!</v>
      </c>
      <c r="O73" s="50" t="e">
        <f>'Raw Data'!#REF!/O$1</f>
        <v>#REF!</v>
      </c>
      <c r="P73" s="50" t="str">
        <f t="shared" si="5"/>
        <v/>
      </c>
      <c r="Q73" s="50" t="e">
        <f t="shared" si="6"/>
        <v>#REF!</v>
      </c>
    </row>
    <row r="74" spans="1:17">
      <c r="A74" s="2" t="s">
        <v>208</v>
      </c>
      <c r="B74" s="46">
        <v>4</v>
      </c>
      <c r="C74" s="46">
        <v>2022</v>
      </c>
      <c r="D74" s="46" t="s">
        <v>209</v>
      </c>
      <c r="E74" s="46" t="s">
        <v>209</v>
      </c>
      <c r="F74" s="31">
        <v>44713</v>
      </c>
      <c r="G74" s="46">
        <f t="shared" si="8"/>
        <v>30</v>
      </c>
      <c r="H74" s="47">
        <f t="shared" si="7"/>
        <v>44723</v>
      </c>
      <c r="I74" s="140">
        <f>_xlfn.XLOOKUP(Table12[[#This Row],[Month Year]],'Modelling New'!D:D,'Modelling New'!N:N)</f>
        <v>10.507</v>
      </c>
      <c r="J74" s="50" t="e">
        <f>'Raw Data'!#REF!/J$1</f>
        <v>#REF!</v>
      </c>
      <c r="K74" s="50" t="e">
        <f>'Raw Data'!#REF!/K$1</f>
        <v>#REF!</v>
      </c>
      <c r="L74" s="50" t="e">
        <f>'Raw Data'!#REF!/L$1</f>
        <v>#REF!</v>
      </c>
      <c r="M74" s="50" t="e">
        <f>'Raw Data'!#REF!/M$1</f>
        <v>#REF!</v>
      </c>
      <c r="N74" s="50" t="e">
        <f>'Raw Data'!#REF!/N$1</f>
        <v>#REF!</v>
      </c>
      <c r="O74" s="50" t="e">
        <f>'Raw Data'!#REF!/O$1</f>
        <v>#REF!</v>
      </c>
      <c r="P74" s="50" t="str">
        <f t="shared" si="5"/>
        <v/>
      </c>
      <c r="Q74" s="50" t="e">
        <f t="shared" si="6"/>
        <v>#REF!</v>
      </c>
    </row>
    <row r="75" spans="1:17">
      <c r="A75" s="2" t="s">
        <v>208</v>
      </c>
      <c r="B75" s="44">
        <v>4</v>
      </c>
      <c r="C75" s="44">
        <v>2022</v>
      </c>
      <c r="D75" s="44" t="s">
        <v>209</v>
      </c>
      <c r="E75" s="44" t="s">
        <v>209</v>
      </c>
      <c r="F75" s="31">
        <v>44713</v>
      </c>
      <c r="G75" s="44">
        <f t="shared" si="8"/>
        <v>30</v>
      </c>
      <c r="H75" s="45">
        <f t="shared" si="7"/>
        <v>44724</v>
      </c>
      <c r="I75" s="139">
        <f>_xlfn.XLOOKUP(Table12[[#This Row],[Month Year]],'Modelling New'!D:D,'Modelling New'!N:N)</f>
        <v>10.507</v>
      </c>
      <c r="J75" s="50" t="e">
        <f>'Raw Data'!#REF!/J$1</f>
        <v>#REF!</v>
      </c>
      <c r="K75" s="50" t="e">
        <f>'Raw Data'!#REF!/K$1</f>
        <v>#REF!</v>
      </c>
      <c r="L75" s="50" t="e">
        <f>'Raw Data'!#REF!/L$1</f>
        <v>#REF!</v>
      </c>
      <c r="M75" s="50" t="e">
        <f>'Raw Data'!#REF!/M$1</f>
        <v>#REF!</v>
      </c>
      <c r="N75" s="50" t="e">
        <f>'Raw Data'!#REF!/N$1</f>
        <v>#REF!</v>
      </c>
      <c r="O75" s="50" t="e">
        <f>'Raw Data'!#REF!/O$1</f>
        <v>#REF!</v>
      </c>
      <c r="P75" s="50" t="str">
        <f t="shared" si="5"/>
        <v/>
      </c>
      <c r="Q75" s="50" t="e">
        <f t="shared" si="6"/>
        <v>#REF!</v>
      </c>
    </row>
    <row r="76" spans="1:17">
      <c r="A76" s="2" t="s">
        <v>208</v>
      </c>
      <c r="B76" s="46">
        <v>4</v>
      </c>
      <c r="C76" s="46">
        <v>2022</v>
      </c>
      <c r="D76" s="46" t="s">
        <v>209</v>
      </c>
      <c r="E76" s="46" t="s">
        <v>209</v>
      </c>
      <c r="F76" s="31">
        <v>44713</v>
      </c>
      <c r="G76" s="46">
        <f t="shared" si="8"/>
        <v>30</v>
      </c>
      <c r="H76" s="47">
        <f t="shared" si="7"/>
        <v>44725</v>
      </c>
      <c r="I76" s="140">
        <f>_xlfn.XLOOKUP(Table12[[#This Row],[Month Year]],'Modelling New'!D:D,'Modelling New'!N:N)</f>
        <v>10.507</v>
      </c>
      <c r="J76" s="50" t="e">
        <f>'Raw Data'!#REF!/J$1</f>
        <v>#REF!</v>
      </c>
      <c r="K76" s="50" t="e">
        <f>'Raw Data'!#REF!/K$1</f>
        <v>#REF!</v>
      </c>
      <c r="L76" s="50" t="e">
        <f>'Raw Data'!#REF!/L$1</f>
        <v>#REF!</v>
      </c>
      <c r="M76" s="50" t="e">
        <f>'Raw Data'!#REF!/M$1</f>
        <v>#REF!</v>
      </c>
      <c r="N76" s="50" t="e">
        <f>'Raw Data'!#REF!/N$1</f>
        <v>#REF!</v>
      </c>
      <c r="O76" s="50" t="e">
        <f>'Raw Data'!#REF!/O$1</f>
        <v>#REF!</v>
      </c>
      <c r="P76" s="50" t="str">
        <f t="shared" si="5"/>
        <v/>
      </c>
      <c r="Q76" s="50" t="e">
        <f t="shared" si="6"/>
        <v>#REF!</v>
      </c>
    </row>
    <row r="77" spans="1:17">
      <c r="A77" s="2" t="s">
        <v>208</v>
      </c>
      <c r="B77" s="44">
        <v>4</v>
      </c>
      <c r="C77" s="44">
        <v>2022</v>
      </c>
      <c r="D77" s="44" t="s">
        <v>209</v>
      </c>
      <c r="E77" s="44" t="s">
        <v>209</v>
      </c>
      <c r="F77" s="31">
        <v>44713</v>
      </c>
      <c r="G77" s="44">
        <f t="shared" si="8"/>
        <v>30</v>
      </c>
      <c r="H77" s="45">
        <f t="shared" si="7"/>
        <v>44726</v>
      </c>
      <c r="I77" s="139">
        <f>_xlfn.XLOOKUP(Table12[[#This Row],[Month Year]],'Modelling New'!D:D,'Modelling New'!N:N)</f>
        <v>10.507</v>
      </c>
      <c r="J77" s="50" t="e">
        <f>'Raw Data'!#REF!/J$1</f>
        <v>#REF!</v>
      </c>
      <c r="K77" s="50" t="e">
        <f>'Raw Data'!#REF!/K$1</f>
        <v>#REF!</v>
      </c>
      <c r="L77" s="50" t="e">
        <f>'Raw Data'!#REF!/L$1</f>
        <v>#REF!</v>
      </c>
      <c r="M77" s="50" t="e">
        <f>'Raw Data'!#REF!/M$1</f>
        <v>#REF!</v>
      </c>
      <c r="N77" s="50" t="e">
        <f>'Raw Data'!#REF!/N$1</f>
        <v>#REF!</v>
      </c>
      <c r="O77" s="50" t="e">
        <f>'Raw Data'!#REF!/O$1</f>
        <v>#REF!</v>
      </c>
      <c r="P77" s="50" t="str">
        <f t="shared" si="5"/>
        <v/>
      </c>
      <c r="Q77" s="50" t="e">
        <f t="shared" si="6"/>
        <v>#REF!</v>
      </c>
    </row>
    <row r="78" spans="1:17">
      <c r="A78" s="2" t="s">
        <v>208</v>
      </c>
      <c r="B78" s="46">
        <v>4</v>
      </c>
      <c r="C78" s="46">
        <v>2022</v>
      </c>
      <c r="D78" s="46" t="s">
        <v>209</v>
      </c>
      <c r="E78" s="46" t="s">
        <v>209</v>
      </c>
      <c r="F78" s="31">
        <v>44713</v>
      </c>
      <c r="G78" s="46">
        <f t="shared" si="8"/>
        <v>30</v>
      </c>
      <c r="H78" s="47">
        <f t="shared" si="7"/>
        <v>44727</v>
      </c>
      <c r="I78" s="140">
        <f>_xlfn.XLOOKUP(Table12[[#This Row],[Month Year]],'Modelling New'!D:D,'Modelling New'!N:N)</f>
        <v>10.507</v>
      </c>
      <c r="J78" s="50" t="e">
        <f>'Raw Data'!#REF!/J$1</f>
        <v>#REF!</v>
      </c>
      <c r="K78" s="50" t="e">
        <f>'Raw Data'!#REF!/K$1</f>
        <v>#REF!</v>
      </c>
      <c r="L78" s="50" t="e">
        <f>'Raw Data'!#REF!/L$1</f>
        <v>#REF!</v>
      </c>
      <c r="M78" s="50" t="e">
        <f>'Raw Data'!#REF!/M$1</f>
        <v>#REF!</v>
      </c>
      <c r="N78" s="50" t="e">
        <f>'Raw Data'!#REF!/N$1</f>
        <v>#REF!</v>
      </c>
      <c r="O78" s="50" t="e">
        <f>'Raw Data'!#REF!/O$1</f>
        <v>#REF!</v>
      </c>
      <c r="P78" s="50" t="str">
        <f t="shared" si="5"/>
        <v/>
      </c>
      <c r="Q78" s="50" t="e">
        <f t="shared" si="6"/>
        <v>#REF!</v>
      </c>
    </row>
    <row r="79" spans="1:17">
      <c r="A79" s="2" t="s">
        <v>208</v>
      </c>
      <c r="B79" s="44">
        <v>4</v>
      </c>
      <c r="C79" s="44">
        <v>2022</v>
      </c>
      <c r="D79" s="44" t="s">
        <v>209</v>
      </c>
      <c r="E79" s="44" t="s">
        <v>209</v>
      </c>
      <c r="F79" s="31">
        <v>44713</v>
      </c>
      <c r="G79" s="44">
        <f t="shared" si="8"/>
        <v>30</v>
      </c>
      <c r="H79" s="45">
        <f t="shared" si="7"/>
        <v>44728</v>
      </c>
      <c r="I79" s="139">
        <f>_xlfn.XLOOKUP(Table12[[#This Row],[Month Year]],'Modelling New'!D:D,'Modelling New'!N:N)</f>
        <v>10.507</v>
      </c>
      <c r="J79" s="50" t="e">
        <f>'Raw Data'!#REF!/J$1</f>
        <v>#REF!</v>
      </c>
      <c r="K79" s="50" t="e">
        <f>'Raw Data'!#REF!/K$1</f>
        <v>#REF!</v>
      </c>
      <c r="L79" s="50" t="e">
        <f>'Raw Data'!#REF!/L$1</f>
        <v>#REF!</v>
      </c>
      <c r="M79" s="50" t="e">
        <f>'Raw Data'!#REF!/M$1</f>
        <v>#REF!</v>
      </c>
      <c r="N79" s="50" t="e">
        <f>'Raw Data'!#REF!/N$1</f>
        <v>#REF!</v>
      </c>
      <c r="O79" s="50" t="e">
        <f>'Raw Data'!#REF!/O$1</f>
        <v>#REF!</v>
      </c>
      <c r="P79" s="50" t="str">
        <f t="shared" si="5"/>
        <v/>
      </c>
      <c r="Q79" s="50" t="e">
        <f t="shared" si="6"/>
        <v>#REF!</v>
      </c>
    </row>
    <row r="80" spans="1:17">
      <c r="A80" s="2" t="s">
        <v>208</v>
      </c>
      <c r="B80" s="46">
        <v>4</v>
      </c>
      <c r="C80" s="46">
        <v>2022</v>
      </c>
      <c r="D80" s="46" t="s">
        <v>209</v>
      </c>
      <c r="E80" s="46" t="s">
        <v>209</v>
      </c>
      <c r="F80" s="31">
        <v>44713</v>
      </c>
      <c r="G80" s="46">
        <f t="shared" si="8"/>
        <v>30</v>
      </c>
      <c r="H80" s="47">
        <f t="shared" si="7"/>
        <v>44729</v>
      </c>
      <c r="I80" s="140">
        <f>_xlfn.XLOOKUP(Table12[[#This Row],[Month Year]],'Modelling New'!D:D,'Modelling New'!N:N)</f>
        <v>10.507</v>
      </c>
      <c r="J80" s="50" t="e">
        <f>'Raw Data'!#REF!/J$1</f>
        <v>#REF!</v>
      </c>
      <c r="K80" s="50" t="e">
        <f>'Raw Data'!#REF!/K$1</f>
        <v>#REF!</v>
      </c>
      <c r="L80" s="50" t="e">
        <f>'Raw Data'!#REF!/L$1</f>
        <v>#REF!</v>
      </c>
      <c r="M80" s="50" t="e">
        <f>'Raw Data'!#REF!/M$1</f>
        <v>#REF!</v>
      </c>
      <c r="N80" s="50" t="e">
        <f>'Raw Data'!#REF!/N$1</f>
        <v>#REF!</v>
      </c>
      <c r="O80" s="50" t="e">
        <f>'Raw Data'!#REF!/O$1</f>
        <v>#REF!</v>
      </c>
      <c r="P80" s="50" t="str">
        <f t="shared" si="5"/>
        <v/>
      </c>
      <c r="Q80" s="50" t="e">
        <f t="shared" si="6"/>
        <v>#REF!</v>
      </c>
    </row>
    <row r="81" spans="1:17">
      <c r="A81" s="2" t="s">
        <v>208</v>
      </c>
      <c r="B81" s="44">
        <v>4</v>
      </c>
      <c r="C81" s="44">
        <v>2022</v>
      </c>
      <c r="D81" s="44" t="s">
        <v>209</v>
      </c>
      <c r="E81" s="44" t="s">
        <v>209</v>
      </c>
      <c r="F81" s="31">
        <v>44713</v>
      </c>
      <c r="G81" s="44">
        <f t="shared" si="8"/>
        <v>30</v>
      </c>
      <c r="H81" s="45">
        <f t="shared" si="7"/>
        <v>44730</v>
      </c>
      <c r="I81" s="139">
        <f>_xlfn.XLOOKUP(Table12[[#This Row],[Month Year]],'Modelling New'!D:D,'Modelling New'!N:N)</f>
        <v>10.507</v>
      </c>
      <c r="J81" s="50" t="e">
        <f>'Raw Data'!#REF!/J$1</f>
        <v>#REF!</v>
      </c>
      <c r="K81" s="50" t="e">
        <f>'Raw Data'!#REF!/K$1</f>
        <v>#REF!</v>
      </c>
      <c r="L81" s="50" t="e">
        <f>'Raw Data'!#REF!/L$1</f>
        <v>#REF!</v>
      </c>
      <c r="M81" s="50" t="e">
        <f>'Raw Data'!#REF!/M$1</f>
        <v>#REF!</v>
      </c>
      <c r="N81" s="50" t="e">
        <f>'Raw Data'!#REF!/N$1</f>
        <v>#REF!</v>
      </c>
      <c r="O81" s="50" t="e">
        <f>'Raw Data'!#REF!/O$1</f>
        <v>#REF!</v>
      </c>
      <c r="P81" s="50" t="str">
        <f t="shared" si="5"/>
        <v/>
      </c>
      <c r="Q81" s="50" t="e">
        <f t="shared" si="6"/>
        <v>#REF!</v>
      </c>
    </row>
    <row r="82" spans="1:17">
      <c r="A82" s="2" t="s">
        <v>208</v>
      </c>
      <c r="B82" s="46">
        <v>4</v>
      </c>
      <c r="C82" s="46">
        <v>2022</v>
      </c>
      <c r="D82" s="46" t="s">
        <v>209</v>
      </c>
      <c r="E82" s="46" t="s">
        <v>209</v>
      </c>
      <c r="F82" s="31">
        <v>44713</v>
      </c>
      <c r="G82" s="46">
        <f t="shared" si="8"/>
        <v>30</v>
      </c>
      <c r="H82" s="47">
        <f t="shared" si="7"/>
        <v>44731</v>
      </c>
      <c r="I82" s="140">
        <f>_xlfn.XLOOKUP(Table12[[#This Row],[Month Year]],'Modelling New'!D:D,'Modelling New'!N:N)</f>
        <v>10.507</v>
      </c>
      <c r="J82" s="50" t="e">
        <f>'Raw Data'!#REF!/J$1</f>
        <v>#REF!</v>
      </c>
      <c r="K82" s="50" t="e">
        <f>'Raw Data'!#REF!/K$1</f>
        <v>#REF!</v>
      </c>
      <c r="L82" s="50" t="e">
        <f>'Raw Data'!#REF!/L$1</f>
        <v>#REF!</v>
      </c>
      <c r="M82" s="50" t="e">
        <f>'Raw Data'!#REF!/M$1</f>
        <v>#REF!</v>
      </c>
      <c r="N82" s="50" t="e">
        <f>'Raw Data'!#REF!/N$1</f>
        <v>#REF!</v>
      </c>
      <c r="O82" s="50" t="e">
        <f>'Raw Data'!#REF!/O$1</f>
        <v>#REF!</v>
      </c>
      <c r="P82" s="50" t="str">
        <f t="shared" si="5"/>
        <v/>
      </c>
      <c r="Q82" s="50" t="e">
        <f t="shared" si="6"/>
        <v>#REF!</v>
      </c>
    </row>
    <row r="83" spans="1:17">
      <c r="A83" s="2" t="s">
        <v>208</v>
      </c>
      <c r="B83" s="44">
        <v>4</v>
      </c>
      <c r="C83" s="44">
        <v>2022</v>
      </c>
      <c r="D83" s="44" t="s">
        <v>209</v>
      </c>
      <c r="E83" s="44" t="s">
        <v>209</v>
      </c>
      <c r="F83" s="31">
        <v>44713</v>
      </c>
      <c r="G83" s="44">
        <f t="shared" si="8"/>
        <v>30</v>
      </c>
      <c r="H83" s="45">
        <f t="shared" si="7"/>
        <v>44732</v>
      </c>
      <c r="I83" s="139">
        <f>_xlfn.XLOOKUP(Table12[[#This Row],[Month Year]],'Modelling New'!D:D,'Modelling New'!N:N)</f>
        <v>10.507</v>
      </c>
      <c r="J83" s="50" t="e">
        <f>'Raw Data'!#REF!/J$1</f>
        <v>#REF!</v>
      </c>
      <c r="K83" s="50" t="e">
        <f>'Raw Data'!#REF!/K$1</f>
        <v>#REF!</v>
      </c>
      <c r="L83" s="50" t="e">
        <f>'Raw Data'!#REF!/L$1</f>
        <v>#REF!</v>
      </c>
      <c r="M83" s="50" t="e">
        <f>'Raw Data'!#REF!/M$1</f>
        <v>#REF!</v>
      </c>
      <c r="N83" s="50" t="e">
        <f>'Raw Data'!#REF!/N$1</f>
        <v>#REF!</v>
      </c>
      <c r="O83" s="50" t="e">
        <f>'Raw Data'!#REF!/O$1</f>
        <v>#REF!</v>
      </c>
      <c r="P83" s="50" t="str">
        <f t="shared" si="5"/>
        <v/>
      </c>
      <c r="Q83" s="50" t="e">
        <f t="shared" si="6"/>
        <v>#REF!</v>
      </c>
    </row>
    <row r="84" spans="1:17">
      <c r="A84" s="2" t="s">
        <v>208</v>
      </c>
      <c r="B84" s="46">
        <v>4</v>
      </c>
      <c r="C84" s="46">
        <v>2022</v>
      </c>
      <c r="D84" s="46" t="s">
        <v>209</v>
      </c>
      <c r="E84" s="46" t="s">
        <v>209</v>
      </c>
      <c r="F84" s="31">
        <v>44713</v>
      </c>
      <c r="G84" s="46">
        <f t="shared" si="8"/>
        <v>30</v>
      </c>
      <c r="H84" s="47">
        <f t="shared" si="7"/>
        <v>44733</v>
      </c>
      <c r="I84" s="140">
        <f>_xlfn.XLOOKUP(Table12[[#This Row],[Month Year]],'Modelling New'!D:D,'Modelling New'!N:N)</f>
        <v>10.507</v>
      </c>
      <c r="J84" s="50" t="e">
        <f>'Raw Data'!#REF!/J$1</f>
        <v>#REF!</v>
      </c>
      <c r="K84" s="50" t="e">
        <f>'Raw Data'!#REF!/K$1</f>
        <v>#REF!</v>
      </c>
      <c r="L84" s="50" t="e">
        <f>'Raw Data'!#REF!/L$1</f>
        <v>#REF!</v>
      </c>
      <c r="M84" s="50" t="e">
        <f>'Raw Data'!#REF!/M$1</f>
        <v>#REF!</v>
      </c>
      <c r="N84" s="50" t="e">
        <f>'Raw Data'!#REF!/N$1</f>
        <v>#REF!</v>
      </c>
      <c r="O84" s="50" t="e">
        <f>'Raw Data'!#REF!/O$1</f>
        <v>#REF!</v>
      </c>
      <c r="P84" s="50" t="str">
        <f t="shared" si="5"/>
        <v/>
      </c>
      <c r="Q84" s="50" t="e">
        <f t="shared" si="6"/>
        <v>#REF!</v>
      </c>
    </row>
    <row r="85" spans="1:17">
      <c r="A85" s="2" t="s">
        <v>208</v>
      </c>
      <c r="B85" s="44">
        <v>4</v>
      </c>
      <c r="C85" s="44">
        <v>2022</v>
      </c>
      <c r="D85" s="44" t="s">
        <v>209</v>
      </c>
      <c r="E85" s="44" t="s">
        <v>209</v>
      </c>
      <c r="F85" s="31">
        <v>44713</v>
      </c>
      <c r="G85" s="44">
        <f t="shared" si="8"/>
        <v>30</v>
      </c>
      <c r="H85" s="45">
        <f t="shared" si="7"/>
        <v>44734</v>
      </c>
      <c r="I85" s="139">
        <f>_xlfn.XLOOKUP(Table12[[#This Row],[Month Year]],'Modelling New'!D:D,'Modelling New'!N:N)</f>
        <v>10.507</v>
      </c>
      <c r="J85" s="50" t="e">
        <f>'Raw Data'!#REF!/J$1</f>
        <v>#REF!</v>
      </c>
      <c r="K85" s="50" t="e">
        <f>'Raw Data'!#REF!/K$1</f>
        <v>#REF!</v>
      </c>
      <c r="L85" s="50" t="e">
        <f>'Raw Data'!#REF!/L$1</f>
        <v>#REF!</v>
      </c>
      <c r="M85" s="50" t="e">
        <f>'Raw Data'!#REF!/M$1</f>
        <v>#REF!</v>
      </c>
      <c r="N85" s="50" t="e">
        <f>'Raw Data'!#REF!/N$1</f>
        <v>#REF!</v>
      </c>
      <c r="O85" s="50" t="e">
        <f>'Raw Data'!#REF!/O$1</f>
        <v>#REF!</v>
      </c>
      <c r="P85" s="50" t="str">
        <f t="shared" si="5"/>
        <v/>
      </c>
      <c r="Q85" s="50" t="e">
        <f t="shared" si="6"/>
        <v>#REF!</v>
      </c>
    </row>
    <row r="86" spans="1:17">
      <c r="A86" s="2" t="s">
        <v>208</v>
      </c>
      <c r="B86" s="46">
        <v>4</v>
      </c>
      <c r="C86" s="46">
        <v>2022</v>
      </c>
      <c r="D86" s="46" t="s">
        <v>209</v>
      </c>
      <c r="E86" s="46" t="s">
        <v>209</v>
      </c>
      <c r="F86" s="31">
        <v>44713</v>
      </c>
      <c r="G86" s="46">
        <f t="shared" si="8"/>
        <v>30</v>
      </c>
      <c r="H86" s="47">
        <f t="shared" si="7"/>
        <v>44735</v>
      </c>
      <c r="I86" s="140">
        <f>_xlfn.XLOOKUP(Table12[[#This Row],[Month Year]],'Modelling New'!D:D,'Modelling New'!N:N)</f>
        <v>10.507</v>
      </c>
      <c r="J86" s="50" t="e">
        <f>'Raw Data'!#REF!/J$1</f>
        <v>#REF!</v>
      </c>
      <c r="K86" s="50" t="e">
        <f>'Raw Data'!#REF!/K$1</f>
        <v>#REF!</v>
      </c>
      <c r="L86" s="50" t="e">
        <f>'Raw Data'!#REF!/L$1</f>
        <v>#REF!</v>
      </c>
      <c r="M86" s="50" t="e">
        <f>'Raw Data'!#REF!/M$1</f>
        <v>#REF!</v>
      </c>
      <c r="N86" s="50" t="e">
        <f>'Raw Data'!#REF!/N$1</f>
        <v>#REF!</v>
      </c>
      <c r="O86" s="50" t="e">
        <f>'Raw Data'!#REF!/O$1</f>
        <v>#REF!</v>
      </c>
      <c r="P86" s="50" t="str">
        <f t="shared" si="5"/>
        <v/>
      </c>
      <c r="Q86" s="50" t="e">
        <f t="shared" si="6"/>
        <v>#REF!</v>
      </c>
    </row>
    <row r="87" spans="1:17">
      <c r="A87" s="2" t="s">
        <v>208</v>
      </c>
      <c r="B87" s="44">
        <v>4</v>
      </c>
      <c r="C87" s="44">
        <v>2022</v>
      </c>
      <c r="D87" s="44" t="s">
        <v>209</v>
      </c>
      <c r="E87" s="44" t="s">
        <v>209</v>
      </c>
      <c r="F87" s="31">
        <v>44713</v>
      </c>
      <c r="G87" s="44">
        <f t="shared" si="8"/>
        <v>30</v>
      </c>
      <c r="H87" s="45">
        <f t="shared" si="7"/>
        <v>44736</v>
      </c>
      <c r="I87" s="139">
        <f>_xlfn.XLOOKUP(Table12[[#This Row],[Month Year]],'Modelling New'!D:D,'Modelling New'!N:N)</f>
        <v>10.507</v>
      </c>
      <c r="J87" s="50" t="e">
        <f>'Raw Data'!#REF!/J$1</f>
        <v>#REF!</v>
      </c>
      <c r="K87" s="50" t="e">
        <f>'Raw Data'!#REF!/K$1</f>
        <v>#REF!</v>
      </c>
      <c r="L87" s="50" t="e">
        <f>'Raw Data'!#REF!/L$1</f>
        <v>#REF!</v>
      </c>
      <c r="M87" s="50" t="e">
        <f>'Raw Data'!#REF!/M$1</f>
        <v>#REF!</v>
      </c>
      <c r="N87" s="50" t="e">
        <f>'Raw Data'!#REF!/N$1</f>
        <v>#REF!</v>
      </c>
      <c r="O87" s="50" t="e">
        <f>'Raw Data'!#REF!/O$1</f>
        <v>#REF!</v>
      </c>
      <c r="P87" s="50" t="str">
        <f t="shared" si="5"/>
        <v/>
      </c>
      <c r="Q87" s="50" t="e">
        <f t="shared" si="6"/>
        <v>#REF!</v>
      </c>
    </row>
    <row r="88" spans="1:17">
      <c r="A88" s="2" t="s">
        <v>208</v>
      </c>
      <c r="B88" s="46">
        <v>4</v>
      </c>
      <c r="C88" s="46">
        <v>2022</v>
      </c>
      <c r="D88" s="46" t="s">
        <v>209</v>
      </c>
      <c r="E88" s="46" t="s">
        <v>209</v>
      </c>
      <c r="F88" s="31">
        <v>44713</v>
      </c>
      <c r="G88" s="46">
        <f t="shared" si="8"/>
        <v>30</v>
      </c>
      <c r="H88" s="47">
        <f t="shared" si="7"/>
        <v>44737</v>
      </c>
      <c r="I88" s="140">
        <f>_xlfn.XLOOKUP(Table12[[#This Row],[Month Year]],'Modelling New'!D:D,'Modelling New'!N:N)</f>
        <v>10.507</v>
      </c>
      <c r="J88" s="50" t="e">
        <f>'Raw Data'!#REF!/J$1</f>
        <v>#REF!</v>
      </c>
      <c r="K88" s="50" t="e">
        <f>'Raw Data'!#REF!/K$1</f>
        <v>#REF!</v>
      </c>
      <c r="L88" s="50" t="e">
        <f>'Raw Data'!#REF!/L$1</f>
        <v>#REF!</v>
      </c>
      <c r="M88" s="50" t="e">
        <f>'Raw Data'!#REF!/M$1</f>
        <v>#REF!</v>
      </c>
      <c r="N88" s="50" t="e">
        <f>'Raw Data'!#REF!/N$1</f>
        <v>#REF!</v>
      </c>
      <c r="O88" s="50" t="e">
        <f>'Raw Data'!#REF!/O$1</f>
        <v>#REF!</v>
      </c>
      <c r="P88" s="50" t="str">
        <f t="shared" si="5"/>
        <v/>
      </c>
      <c r="Q88" s="50" t="e">
        <f t="shared" si="6"/>
        <v>#REF!</v>
      </c>
    </row>
    <row r="89" spans="1:17">
      <c r="A89" s="2" t="s">
        <v>208</v>
      </c>
      <c r="B89" s="44">
        <v>4</v>
      </c>
      <c r="C89" s="44">
        <v>2022</v>
      </c>
      <c r="D89" s="44" t="s">
        <v>209</v>
      </c>
      <c r="E89" s="44" t="s">
        <v>209</v>
      </c>
      <c r="F89" s="31">
        <v>44713</v>
      </c>
      <c r="G89" s="44">
        <f t="shared" si="8"/>
        <v>30</v>
      </c>
      <c r="H89" s="45">
        <f t="shared" si="7"/>
        <v>44738</v>
      </c>
      <c r="I89" s="139">
        <f>_xlfn.XLOOKUP(Table12[[#This Row],[Month Year]],'Modelling New'!D:D,'Modelling New'!N:N)</f>
        <v>10.507</v>
      </c>
      <c r="J89" s="50" t="e">
        <f>'Raw Data'!#REF!/J$1</f>
        <v>#REF!</v>
      </c>
      <c r="K89" s="50" t="e">
        <f>'Raw Data'!#REF!/K$1</f>
        <v>#REF!</v>
      </c>
      <c r="L89" s="50" t="e">
        <f>'Raw Data'!#REF!/L$1</f>
        <v>#REF!</v>
      </c>
      <c r="M89" s="50" t="e">
        <f>'Raw Data'!#REF!/M$1</f>
        <v>#REF!</v>
      </c>
      <c r="N89" s="50" t="e">
        <f>'Raw Data'!#REF!/N$1</f>
        <v>#REF!</v>
      </c>
      <c r="O89" s="50" t="e">
        <f>'Raw Data'!#REF!/O$1</f>
        <v>#REF!</v>
      </c>
      <c r="P89" s="50" t="str">
        <f t="shared" si="5"/>
        <v/>
      </c>
      <c r="Q89" s="50" t="e">
        <f t="shared" si="6"/>
        <v>#REF!</v>
      </c>
    </row>
    <row r="90" spans="1:17">
      <c r="A90" s="2" t="s">
        <v>208</v>
      </c>
      <c r="B90" s="46">
        <v>4</v>
      </c>
      <c r="C90" s="46">
        <v>2022</v>
      </c>
      <c r="D90" s="46" t="s">
        <v>209</v>
      </c>
      <c r="E90" s="46" t="s">
        <v>209</v>
      </c>
      <c r="F90" s="31">
        <v>44713</v>
      </c>
      <c r="G90" s="46">
        <f t="shared" si="8"/>
        <v>30</v>
      </c>
      <c r="H90" s="47">
        <f t="shared" si="7"/>
        <v>44739</v>
      </c>
      <c r="I90" s="140">
        <f>_xlfn.XLOOKUP(Table12[[#This Row],[Month Year]],'Modelling New'!D:D,'Modelling New'!N:N)</f>
        <v>10.507</v>
      </c>
      <c r="J90" s="50" t="e">
        <f>'Raw Data'!#REF!/J$1</f>
        <v>#REF!</v>
      </c>
      <c r="K90" s="50" t="e">
        <f>'Raw Data'!#REF!/K$1</f>
        <v>#REF!</v>
      </c>
      <c r="L90" s="50" t="e">
        <f>'Raw Data'!#REF!/L$1</f>
        <v>#REF!</v>
      </c>
      <c r="M90" s="50" t="e">
        <f>'Raw Data'!#REF!/M$1</f>
        <v>#REF!</v>
      </c>
      <c r="N90" s="50" t="e">
        <f>'Raw Data'!#REF!/N$1</f>
        <v>#REF!</v>
      </c>
      <c r="O90" s="50" t="e">
        <f>'Raw Data'!#REF!/O$1</f>
        <v>#REF!</v>
      </c>
      <c r="P90" s="50" t="str">
        <f t="shared" si="5"/>
        <v/>
      </c>
      <c r="Q90" s="50" t="e">
        <f t="shared" si="6"/>
        <v>#REF!</v>
      </c>
    </row>
    <row r="91" spans="1:17">
      <c r="A91" s="2" t="s">
        <v>208</v>
      </c>
      <c r="B91" s="44">
        <v>4</v>
      </c>
      <c r="C91" s="44">
        <v>2022</v>
      </c>
      <c r="D91" s="44" t="s">
        <v>209</v>
      </c>
      <c r="E91" s="44" t="s">
        <v>209</v>
      </c>
      <c r="F91" s="31">
        <v>44713</v>
      </c>
      <c r="G91" s="44">
        <f t="shared" si="8"/>
        <v>30</v>
      </c>
      <c r="H91" s="45">
        <f t="shared" si="7"/>
        <v>44740</v>
      </c>
      <c r="I91" s="139">
        <f>_xlfn.XLOOKUP(Table12[[#This Row],[Month Year]],'Modelling New'!D:D,'Modelling New'!N:N)</f>
        <v>10.507</v>
      </c>
      <c r="J91" s="50" t="e">
        <f>'Raw Data'!#REF!/J$1</f>
        <v>#REF!</v>
      </c>
      <c r="K91" s="50" t="e">
        <f>'Raw Data'!#REF!/K$1</f>
        <v>#REF!</v>
      </c>
      <c r="L91" s="50" t="e">
        <f>'Raw Data'!#REF!/L$1</f>
        <v>#REF!</v>
      </c>
      <c r="M91" s="50" t="e">
        <f>'Raw Data'!#REF!/M$1</f>
        <v>#REF!</v>
      </c>
      <c r="N91" s="50" t="e">
        <f>'Raw Data'!#REF!/N$1</f>
        <v>#REF!</v>
      </c>
      <c r="O91" s="50" t="e">
        <f>'Raw Data'!#REF!/O$1</f>
        <v>#REF!</v>
      </c>
      <c r="P91" s="50" t="str">
        <f t="shared" si="5"/>
        <v/>
      </c>
      <c r="Q91" s="50" t="e">
        <f t="shared" si="6"/>
        <v>#REF!</v>
      </c>
    </row>
    <row r="92" spans="1:17">
      <c r="A92" s="2" t="s">
        <v>208</v>
      </c>
      <c r="B92" s="46">
        <v>4</v>
      </c>
      <c r="C92" s="46">
        <v>2022</v>
      </c>
      <c r="D92" s="46" t="s">
        <v>209</v>
      </c>
      <c r="E92" s="46" t="s">
        <v>209</v>
      </c>
      <c r="F92" s="31">
        <v>44713</v>
      </c>
      <c r="G92" s="46">
        <f t="shared" si="8"/>
        <v>30</v>
      </c>
      <c r="H92" s="47">
        <f t="shared" si="7"/>
        <v>44741</v>
      </c>
      <c r="I92" s="140">
        <f>_xlfn.XLOOKUP(Table12[[#This Row],[Month Year]],'Modelling New'!D:D,'Modelling New'!N:N)</f>
        <v>10.507</v>
      </c>
      <c r="J92" s="50" t="e">
        <f>'Raw Data'!#REF!/J$1</f>
        <v>#REF!</v>
      </c>
      <c r="K92" s="50" t="e">
        <f>'Raw Data'!#REF!/K$1</f>
        <v>#REF!</v>
      </c>
      <c r="L92" s="50" t="e">
        <f>'Raw Data'!#REF!/L$1</f>
        <v>#REF!</v>
      </c>
      <c r="M92" s="50" t="e">
        <f>'Raw Data'!#REF!/M$1</f>
        <v>#REF!</v>
      </c>
      <c r="N92" s="50" t="e">
        <f>'Raw Data'!#REF!/N$1</f>
        <v>#REF!</v>
      </c>
      <c r="O92" s="50" t="e">
        <f>'Raw Data'!#REF!/O$1</f>
        <v>#REF!</v>
      </c>
      <c r="P92" s="50" t="str">
        <f t="shared" si="5"/>
        <v/>
      </c>
      <c r="Q92" s="50" t="e">
        <f t="shared" si="6"/>
        <v>#REF!</v>
      </c>
    </row>
    <row r="93" spans="1:17">
      <c r="A93" s="2" t="s">
        <v>208</v>
      </c>
      <c r="B93" s="44">
        <v>4</v>
      </c>
      <c r="C93" s="44">
        <v>2022</v>
      </c>
      <c r="D93" s="44" t="s">
        <v>209</v>
      </c>
      <c r="E93" s="44" t="s">
        <v>209</v>
      </c>
      <c r="F93" s="31">
        <v>44713</v>
      </c>
      <c r="G93" s="44">
        <f t="shared" si="8"/>
        <v>30</v>
      </c>
      <c r="H93" s="45">
        <f t="shared" si="7"/>
        <v>44742</v>
      </c>
      <c r="I93" s="139">
        <f>_xlfn.XLOOKUP(Table12[[#This Row],[Month Year]],'Modelling New'!D:D,'Modelling New'!N:N)</f>
        <v>10.507</v>
      </c>
      <c r="J93" s="50" t="e">
        <f>'Raw Data'!#REF!/J$1</f>
        <v>#REF!</v>
      </c>
      <c r="K93" s="50" t="e">
        <f>'Raw Data'!#REF!/K$1</f>
        <v>#REF!</v>
      </c>
      <c r="L93" s="50" t="e">
        <f>'Raw Data'!#REF!/L$1</f>
        <v>#REF!</v>
      </c>
      <c r="M93" s="50" t="e">
        <f>'Raw Data'!#REF!/M$1</f>
        <v>#REF!</v>
      </c>
      <c r="N93" s="50" t="e">
        <f>'Raw Data'!#REF!/N$1</f>
        <v>#REF!</v>
      </c>
      <c r="O93" s="50" t="e">
        <f>'Raw Data'!#REF!/O$1</f>
        <v>#REF!</v>
      </c>
      <c r="P93" s="50" t="str">
        <f t="shared" si="5"/>
        <v/>
      </c>
      <c r="Q93" s="50" t="e">
        <f t="shared" si="6"/>
        <v>#REF!</v>
      </c>
    </row>
    <row r="94" spans="1:17">
      <c r="A94" s="2" t="s">
        <v>208</v>
      </c>
      <c r="B94" s="46">
        <v>4</v>
      </c>
      <c r="C94" s="46">
        <v>2022</v>
      </c>
      <c r="D94" s="46" t="s">
        <v>209</v>
      </c>
      <c r="E94" s="46" t="s">
        <v>209</v>
      </c>
      <c r="F94" s="31">
        <v>44743</v>
      </c>
      <c r="G94" s="46">
        <f t="shared" si="8"/>
        <v>31</v>
      </c>
      <c r="H94" s="47">
        <f t="shared" si="7"/>
        <v>44743</v>
      </c>
      <c r="I94" s="140">
        <f>_xlfn.XLOOKUP(Table12[[#This Row],[Month Year]],'Modelling New'!D:D,'Modelling New'!N:N)</f>
        <v>10.507</v>
      </c>
      <c r="J94" s="50" t="e">
        <f>'Raw Data'!#REF!/J$1</f>
        <v>#REF!</v>
      </c>
      <c r="K94" s="50" t="e">
        <f>'Raw Data'!#REF!/K$1</f>
        <v>#REF!</v>
      </c>
      <c r="L94" s="50" t="e">
        <f>'Raw Data'!#REF!/L$1</f>
        <v>#REF!</v>
      </c>
      <c r="M94" s="50" t="e">
        <f>'Raw Data'!#REF!/M$1</f>
        <v>#REF!</v>
      </c>
      <c r="N94" s="50" t="e">
        <f>'Raw Data'!#REF!/N$1</f>
        <v>#REF!</v>
      </c>
      <c r="O94" s="50" t="e">
        <f>'Raw Data'!#REF!/O$1</f>
        <v>#REF!</v>
      </c>
      <c r="P94" s="50" t="str">
        <f t="shared" si="5"/>
        <v/>
      </c>
      <c r="Q94" s="50" t="e">
        <f t="shared" si="6"/>
        <v>#REF!</v>
      </c>
    </row>
    <row r="95" spans="1:17">
      <c r="A95" s="2" t="s">
        <v>208</v>
      </c>
      <c r="B95" s="44">
        <v>4</v>
      </c>
      <c r="C95" s="44">
        <v>2022</v>
      </c>
      <c r="D95" s="44" t="s">
        <v>209</v>
      </c>
      <c r="E95" s="44" t="s">
        <v>209</v>
      </c>
      <c r="F95" s="31">
        <v>44743</v>
      </c>
      <c r="G95" s="44">
        <f t="shared" si="8"/>
        <v>31</v>
      </c>
      <c r="H95" s="45">
        <f t="shared" si="7"/>
        <v>44744</v>
      </c>
      <c r="I95" s="139">
        <f>_xlfn.XLOOKUP(Table12[[#This Row],[Month Year]],'Modelling New'!D:D,'Modelling New'!N:N)</f>
        <v>10.507</v>
      </c>
      <c r="J95" s="50" t="e">
        <f>'Raw Data'!#REF!/J$1</f>
        <v>#REF!</v>
      </c>
      <c r="K95" s="50" t="e">
        <f>'Raw Data'!#REF!/K$1</f>
        <v>#REF!</v>
      </c>
      <c r="L95" s="50" t="e">
        <f>'Raw Data'!#REF!/L$1</f>
        <v>#REF!</v>
      </c>
      <c r="M95" s="50" t="e">
        <f>'Raw Data'!#REF!/M$1</f>
        <v>#REF!</v>
      </c>
      <c r="N95" s="50" t="e">
        <f>'Raw Data'!#REF!/N$1</f>
        <v>#REF!</v>
      </c>
      <c r="O95" s="50" t="e">
        <f>'Raw Data'!#REF!/O$1</f>
        <v>#REF!</v>
      </c>
      <c r="P95" s="50" t="str">
        <f t="shared" si="5"/>
        <v/>
      </c>
      <c r="Q95" s="50" t="e">
        <f t="shared" si="6"/>
        <v>#REF!</v>
      </c>
    </row>
    <row r="96" spans="1:17">
      <c r="A96" s="2" t="s">
        <v>208</v>
      </c>
      <c r="B96" s="46">
        <v>4</v>
      </c>
      <c r="C96" s="46">
        <v>2022</v>
      </c>
      <c r="D96" s="46" t="s">
        <v>209</v>
      </c>
      <c r="E96" s="46" t="s">
        <v>209</v>
      </c>
      <c r="F96" s="31">
        <v>44743</v>
      </c>
      <c r="G96" s="46">
        <f t="shared" si="8"/>
        <v>31</v>
      </c>
      <c r="H96" s="47">
        <f t="shared" si="7"/>
        <v>44745</v>
      </c>
      <c r="I96" s="140">
        <f>_xlfn.XLOOKUP(Table12[[#This Row],[Month Year]],'Modelling New'!D:D,'Modelling New'!N:N)</f>
        <v>10.507</v>
      </c>
      <c r="J96" s="50" t="e">
        <f>'Raw Data'!#REF!/J$1</f>
        <v>#REF!</v>
      </c>
      <c r="K96" s="50" t="e">
        <f>'Raw Data'!#REF!/K$1</f>
        <v>#REF!</v>
      </c>
      <c r="L96" s="50" t="e">
        <f>'Raw Data'!#REF!/L$1</f>
        <v>#REF!</v>
      </c>
      <c r="M96" s="50" t="e">
        <f>'Raw Data'!#REF!/M$1</f>
        <v>#REF!</v>
      </c>
      <c r="N96" s="50" t="e">
        <f>'Raw Data'!#REF!/N$1</f>
        <v>#REF!</v>
      </c>
      <c r="O96" s="50" t="e">
        <f>'Raw Data'!#REF!/O$1</f>
        <v>#REF!</v>
      </c>
      <c r="P96" s="50" t="str">
        <f t="shared" si="5"/>
        <v/>
      </c>
      <c r="Q96" s="50" t="e">
        <f t="shared" si="6"/>
        <v>#REF!</v>
      </c>
    </row>
    <row r="97" spans="1:17">
      <c r="A97" s="2" t="s">
        <v>208</v>
      </c>
      <c r="B97" s="44">
        <v>4</v>
      </c>
      <c r="C97" s="44">
        <v>2022</v>
      </c>
      <c r="D97" s="44" t="s">
        <v>209</v>
      </c>
      <c r="E97" s="44" t="s">
        <v>209</v>
      </c>
      <c r="F97" s="31">
        <v>44743</v>
      </c>
      <c r="G97" s="44">
        <f t="shared" si="8"/>
        <v>31</v>
      </c>
      <c r="H97" s="45">
        <f t="shared" si="7"/>
        <v>44746</v>
      </c>
      <c r="I97" s="139">
        <f>_xlfn.XLOOKUP(Table12[[#This Row],[Month Year]],'Modelling New'!D:D,'Modelling New'!N:N)</f>
        <v>10.507</v>
      </c>
      <c r="J97" s="50" t="e">
        <f>'Raw Data'!#REF!/J$1</f>
        <v>#REF!</v>
      </c>
      <c r="K97" s="50" t="e">
        <f>'Raw Data'!#REF!/K$1</f>
        <v>#REF!</v>
      </c>
      <c r="L97" s="50" t="e">
        <f>'Raw Data'!#REF!/L$1</f>
        <v>#REF!</v>
      </c>
      <c r="M97" s="50" t="e">
        <f>'Raw Data'!#REF!/M$1</f>
        <v>#REF!</v>
      </c>
      <c r="N97" s="50" t="e">
        <f>'Raw Data'!#REF!/N$1</f>
        <v>#REF!</v>
      </c>
      <c r="O97" s="50" t="e">
        <f>'Raw Data'!#REF!/O$1</f>
        <v>#REF!</v>
      </c>
      <c r="P97" s="50" t="str">
        <f t="shared" si="5"/>
        <v/>
      </c>
      <c r="Q97" s="50" t="e">
        <f t="shared" si="6"/>
        <v>#REF!</v>
      </c>
    </row>
    <row r="98" spans="1:17">
      <c r="A98" s="2" t="s">
        <v>208</v>
      </c>
      <c r="B98" s="46">
        <v>4</v>
      </c>
      <c r="C98" s="46">
        <v>2022</v>
      </c>
      <c r="D98" s="46" t="s">
        <v>209</v>
      </c>
      <c r="E98" s="46" t="s">
        <v>209</v>
      </c>
      <c r="F98" s="31">
        <v>44743</v>
      </c>
      <c r="G98" s="46">
        <f t="shared" si="8"/>
        <v>31</v>
      </c>
      <c r="H98" s="47">
        <f t="shared" si="7"/>
        <v>44747</v>
      </c>
      <c r="I98" s="140">
        <f>_xlfn.XLOOKUP(Table12[[#This Row],[Month Year]],'Modelling New'!D:D,'Modelling New'!N:N)</f>
        <v>10.507</v>
      </c>
      <c r="J98" s="50" t="e">
        <f>'Raw Data'!#REF!/J$1</f>
        <v>#REF!</v>
      </c>
      <c r="K98" s="50" t="e">
        <f>'Raw Data'!#REF!/K$1</f>
        <v>#REF!</v>
      </c>
      <c r="L98" s="50" t="e">
        <f>'Raw Data'!#REF!/L$1</f>
        <v>#REF!</v>
      </c>
      <c r="M98" s="50" t="e">
        <f>'Raw Data'!#REF!/M$1</f>
        <v>#REF!</v>
      </c>
      <c r="N98" s="50" t="e">
        <f>'Raw Data'!#REF!/N$1</f>
        <v>#REF!</v>
      </c>
      <c r="O98" s="50" t="e">
        <f>'Raw Data'!#REF!/O$1</f>
        <v>#REF!</v>
      </c>
      <c r="P98" s="50" t="str">
        <f t="shared" ref="P98:P161" si="9">IFERROR(AVERAGEIF(J98:O98,"&gt;"&amp;0,J98:O98),"")</f>
        <v/>
      </c>
      <c r="Q98" s="50" t="e">
        <f t="shared" ref="Q98:Q161" si="10">MAXA(J98:O98)</f>
        <v>#REF!</v>
      </c>
    </row>
    <row r="99" spans="1:17">
      <c r="A99" s="2" t="s">
        <v>208</v>
      </c>
      <c r="B99" s="44">
        <v>4</v>
      </c>
      <c r="C99" s="44">
        <v>2022</v>
      </c>
      <c r="D99" s="44" t="s">
        <v>209</v>
      </c>
      <c r="E99" s="44" t="s">
        <v>209</v>
      </c>
      <c r="F99" s="31">
        <v>44743</v>
      </c>
      <c r="G99" s="44">
        <f t="shared" si="8"/>
        <v>31</v>
      </c>
      <c r="H99" s="45">
        <f t="shared" si="7"/>
        <v>44748</v>
      </c>
      <c r="I99" s="139">
        <f>_xlfn.XLOOKUP(Table12[[#This Row],[Month Year]],'Modelling New'!D:D,'Modelling New'!N:N)</f>
        <v>10.507</v>
      </c>
      <c r="J99" s="50" t="e">
        <f>'Raw Data'!#REF!/J$1</f>
        <v>#REF!</v>
      </c>
      <c r="K99" s="50" t="e">
        <f>'Raw Data'!#REF!/K$1</f>
        <v>#REF!</v>
      </c>
      <c r="L99" s="50" t="e">
        <f>'Raw Data'!#REF!/L$1</f>
        <v>#REF!</v>
      </c>
      <c r="M99" s="50" t="e">
        <f>'Raw Data'!#REF!/M$1</f>
        <v>#REF!</v>
      </c>
      <c r="N99" s="50" t="e">
        <f>'Raw Data'!#REF!/N$1</f>
        <v>#REF!</v>
      </c>
      <c r="O99" s="50" t="e">
        <f>'Raw Data'!#REF!/O$1</f>
        <v>#REF!</v>
      </c>
      <c r="P99" s="50" t="str">
        <f t="shared" si="9"/>
        <v/>
      </c>
      <c r="Q99" s="50" t="e">
        <f t="shared" si="10"/>
        <v>#REF!</v>
      </c>
    </row>
    <row r="100" spans="1:17">
      <c r="A100" s="2" t="s">
        <v>208</v>
      </c>
      <c r="B100" s="46">
        <v>4</v>
      </c>
      <c r="C100" s="46">
        <v>2022</v>
      </c>
      <c r="D100" s="46" t="s">
        <v>209</v>
      </c>
      <c r="E100" s="46" t="s">
        <v>209</v>
      </c>
      <c r="F100" s="31">
        <v>44743</v>
      </c>
      <c r="G100" s="46">
        <f t="shared" si="8"/>
        <v>31</v>
      </c>
      <c r="H100" s="47">
        <f t="shared" si="7"/>
        <v>44749</v>
      </c>
      <c r="I100" s="140">
        <f>_xlfn.XLOOKUP(Table12[[#This Row],[Month Year]],'Modelling New'!D:D,'Modelling New'!N:N)</f>
        <v>10.507</v>
      </c>
      <c r="J100" s="50" t="e">
        <f>'Raw Data'!#REF!/J$1</f>
        <v>#REF!</v>
      </c>
      <c r="K100" s="50" t="e">
        <f>'Raw Data'!#REF!/K$1</f>
        <v>#REF!</v>
      </c>
      <c r="L100" s="50" t="e">
        <f>'Raw Data'!#REF!/L$1</f>
        <v>#REF!</v>
      </c>
      <c r="M100" s="50" t="e">
        <f>'Raw Data'!#REF!/M$1</f>
        <v>#REF!</v>
      </c>
      <c r="N100" s="50" t="e">
        <f>'Raw Data'!#REF!/N$1</f>
        <v>#REF!</v>
      </c>
      <c r="O100" s="50" t="e">
        <f>'Raw Data'!#REF!/O$1</f>
        <v>#REF!</v>
      </c>
      <c r="P100" s="50" t="str">
        <f t="shared" si="9"/>
        <v/>
      </c>
      <c r="Q100" s="50" t="e">
        <f t="shared" si="10"/>
        <v>#REF!</v>
      </c>
    </row>
    <row r="101" spans="1:17">
      <c r="A101" s="2" t="s">
        <v>208</v>
      </c>
      <c r="B101" s="44">
        <v>4</v>
      </c>
      <c r="C101" s="44">
        <v>2022</v>
      </c>
      <c r="D101" s="44" t="s">
        <v>209</v>
      </c>
      <c r="E101" s="44" t="s">
        <v>209</v>
      </c>
      <c r="F101" s="31">
        <v>44743</v>
      </c>
      <c r="G101" s="44">
        <f t="shared" si="8"/>
        <v>31</v>
      </c>
      <c r="H101" s="45">
        <f t="shared" si="7"/>
        <v>44750</v>
      </c>
      <c r="I101" s="139">
        <f>_xlfn.XLOOKUP(Table12[[#This Row],[Month Year]],'Modelling New'!D:D,'Modelling New'!N:N)</f>
        <v>10.507</v>
      </c>
      <c r="J101" s="50" t="e">
        <f>'Raw Data'!#REF!/J$1</f>
        <v>#REF!</v>
      </c>
      <c r="K101" s="50" t="e">
        <f>'Raw Data'!#REF!/K$1</f>
        <v>#REF!</v>
      </c>
      <c r="L101" s="50" t="e">
        <f>'Raw Data'!#REF!/L$1</f>
        <v>#REF!</v>
      </c>
      <c r="M101" s="50" t="e">
        <f>'Raw Data'!#REF!/M$1</f>
        <v>#REF!</v>
      </c>
      <c r="N101" s="50" t="e">
        <f>'Raw Data'!#REF!/N$1</f>
        <v>#REF!</v>
      </c>
      <c r="O101" s="50" t="e">
        <f>'Raw Data'!#REF!/O$1</f>
        <v>#REF!</v>
      </c>
      <c r="P101" s="50" t="str">
        <f t="shared" si="9"/>
        <v/>
      </c>
      <c r="Q101" s="50" t="e">
        <f t="shared" si="10"/>
        <v>#REF!</v>
      </c>
    </row>
    <row r="102" spans="1:17">
      <c r="A102" s="2" t="s">
        <v>208</v>
      </c>
      <c r="B102" s="46">
        <v>4</v>
      </c>
      <c r="C102" s="46">
        <v>2022</v>
      </c>
      <c r="D102" s="46" t="s">
        <v>209</v>
      </c>
      <c r="E102" s="46" t="s">
        <v>209</v>
      </c>
      <c r="F102" s="31">
        <v>44743</v>
      </c>
      <c r="G102" s="46">
        <f t="shared" si="8"/>
        <v>31</v>
      </c>
      <c r="H102" s="47">
        <f t="shared" si="7"/>
        <v>44751</v>
      </c>
      <c r="I102" s="140">
        <f>_xlfn.XLOOKUP(Table12[[#This Row],[Month Year]],'Modelling New'!D:D,'Modelling New'!N:N)</f>
        <v>10.507</v>
      </c>
      <c r="J102" s="50" t="e">
        <f>'Raw Data'!#REF!/J$1</f>
        <v>#REF!</v>
      </c>
      <c r="K102" s="50" t="e">
        <f>'Raw Data'!#REF!/K$1</f>
        <v>#REF!</v>
      </c>
      <c r="L102" s="50" t="e">
        <f>'Raw Data'!#REF!/L$1</f>
        <v>#REF!</v>
      </c>
      <c r="M102" s="50" t="e">
        <f>'Raw Data'!#REF!/M$1</f>
        <v>#REF!</v>
      </c>
      <c r="N102" s="50" t="e">
        <f>'Raw Data'!#REF!/N$1</f>
        <v>#REF!</v>
      </c>
      <c r="O102" s="50" t="e">
        <f>'Raw Data'!#REF!/O$1</f>
        <v>#REF!</v>
      </c>
      <c r="P102" s="50" t="str">
        <f t="shared" si="9"/>
        <v/>
      </c>
      <c r="Q102" s="50" t="e">
        <f t="shared" si="10"/>
        <v>#REF!</v>
      </c>
    </row>
    <row r="103" spans="1:17">
      <c r="A103" s="2" t="s">
        <v>208</v>
      </c>
      <c r="B103" s="44">
        <v>4</v>
      </c>
      <c r="C103" s="44">
        <v>2022</v>
      </c>
      <c r="D103" s="44" t="s">
        <v>209</v>
      </c>
      <c r="E103" s="44" t="s">
        <v>209</v>
      </c>
      <c r="F103" s="31">
        <v>44743</v>
      </c>
      <c r="G103" s="44">
        <f t="shared" si="8"/>
        <v>31</v>
      </c>
      <c r="H103" s="45">
        <f t="shared" si="7"/>
        <v>44752</v>
      </c>
      <c r="I103" s="139">
        <f>_xlfn.XLOOKUP(Table12[[#This Row],[Month Year]],'Modelling New'!D:D,'Modelling New'!N:N)</f>
        <v>10.507</v>
      </c>
      <c r="J103" s="50" t="e">
        <f>'Raw Data'!#REF!/J$1</f>
        <v>#REF!</v>
      </c>
      <c r="K103" s="50" t="e">
        <f>'Raw Data'!#REF!/K$1</f>
        <v>#REF!</v>
      </c>
      <c r="L103" s="50" t="e">
        <f>'Raw Data'!#REF!/L$1</f>
        <v>#REF!</v>
      </c>
      <c r="M103" s="50" t="e">
        <f>'Raw Data'!#REF!/M$1</f>
        <v>#REF!</v>
      </c>
      <c r="N103" s="50" t="e">
        <f>'Raw Data'!#REF!/N$1</f>
        <v>#REF!</v>
      </c>
      <c r="O103" s="50" t="e">
        <f>'Raw Data'!#REF!/O$1</f>
        <v>#REF!</v>
      </c>
      <c r="P103" s="50" t="str">
        <f t="shared" si="9"/>
        <v/>
      </c>
      <c r="Q103" s="50" t="e">
        <f t="shared" si="10"/>
        <v>#REF!</v>
      </c>
    </row>
    <row r="104" spans="1:17">
      <c r="A104" s="2" t="s">
        <v>208</v>
      </c>
      <c r="B104" s="46">
        <v>4</v>
      </c>
      <c r="C104" s="46">
        <v>2022</v>
      </c>
      <c r="D104" s="46" t="s">
        <v>209</v>
      </c>
      <c r="E104" s="46" t="s">
        <v>209</v>
      </c>
      <c r="F104" s="31">
        <v>44743</v>
      </c>
      <c r="G104" s="46">
        <f t="shared" si="8"/>
        <v>31</v>
      </c>
      <c r="H104" s="47">
        <f t="shared" si="7"/>
        <v>44753</v>
      </c>
      <c r="I104" s="140">
        <f>_xlfn.XLOOKUP(Table12[[#This Row],[Month Year]],'Modelling New'!D:D,'Modelling New'!N:N)</f>
        <v>10.507</v>
      </c>
      <c r="J104" s="50" t="e">
        <f>'Raw Data'!#REF!/J$1</f>
        <v>#REF!</v>
      </c>
      <c r="K104" s="50" t="e">
        <f>'Raw Data'!#REF!/K$1</f>
        <v>#REF!</v>
      </c>
      <c r="L104" s="50" t="e">
        <f>'Raw Data'!#REF!/L$1</f>
        <v>#REF!</v>
      </c>
      <c r="M104" s="50" t="e">
        <f>'Raw Data'!#REF!/M$1</f>
        <v>#REF!</v>
      </c>
      <c r="N104" s="50" t="e">
        <f>'Raw Data'!#REF!/N$1</f>
        <v>#REF!</v>
      </c>
      <c r="O104" s="50" t="e">
        <f>'Raw Data'!#REF!/O$1</f>
        <v>#REF!</v>
      </c>
      <c r="P104" s="50" t="str">
        <f t="shared" si="9"/>
        <v/>
      </c>
      <c r="Q104" s="50" t="e">
        <f t="shared" si="10"/>
        <v>#REF!</v>
      </c>
    </row>
    <row r="105" spans="1:17">
      <c r="A105" s="2" t="s">
        <v>208</v>
      </c>
      <c r="B105" s="44">
        <v>4</v>
      </c>
      <c r="C105" s="44">
        <v>2022</v>
      </c>
      <c r="D105" s="44" t="s">
        <v>209</v>
      </c>
      <c r="E105" s="44" t="s">
        <v>209</v>
      </c>
      <c r="F105" s="31">
        <v>44743</v>
      </c>
      <c r="G105" s="44">
        <f t="shared" si="8"/>
        <v>31</v>
      </c>
      <c r="H105" s="45">
        <f t="shared" si="7"/>
        <v>44754</v>
      </c>
      <c r="I105" s="139">
        <f>_xlfn.XLOOKUP(Table12[[#This Row],[Month Year]],'Modelling New'!D:D,'Modelling New'!N:N)</f>
        <v>10.507</v>
      </c>
      <c r="J105" s="50" t="e">
        <f>'Raw Data'!#REF!/J$1</f>
        <v>#REF!</v>
      </c>
      <c r="K105" s="50" t="e">
        <f>'Raw Data'!#REF!/K$1</f>
        <v>#REF!</v>
      </c>
      <c r="L105" s="50" t="e">
        <f>'Raw Data'!#REF!/L$1</f>
        <v>#REF!</v>
      </c>
      <c r="M105" s="50" t="e">
        <f>'Raw Data'!#REF!/M$1</f>
        <v>#REF!</v>
      </c>
      <c r="N105" s="50" t="e">
        <f>'Raw Data'!#REF!/N$1</f>
        <v>#REF!</v>
      </c>
      <c r="O105" s="50" t="e">
        <f>'Raw Data'!#REF!/O$1</f>
        <v>#REF!</v>
      </c>
      <c r="P105" s="50" t="str">
        <f t="shared" si="9"/>
        <v/>
      </c>
      <c r="Q105" s="50" t="e">
        <f t="shared" si="10"/>
        <v>#REF!</v>
      </c>
    </row>
    <row r="106" spans="1:17">
      <c r="A106" s="2" t="s">
        <v>208</v>
      </c>
      <c r="B106" s="46">
        <v>4</v>
      </c>
      <c r="C106" s="46">
        <v>2022</v>
      </c>
      <c r="D106" s="46" t="s">
        <v>209</v>
      </c>
      <c r="E106" s="46" t="s">
        <v>209</v>
      </c>
      <c r="F106" s="31">
        <v>44743</v>
      </c>
      <c r="G106" s="46">
        <f t="shared" si="8"/>
        <v>31</v>
      </c>
      <c r="H106" s="47">
        <f t="shared" ref="H106:H169" si="11">H105+1</f>
        <v>44755</v>
      </c>
      <c r="I106" s="140">
        <f>_xlfn.XLOOKUP(Table12[[#This Row],[Month Year]],'Modelling New'!D:D,'Modelling New'!N:N)</f>
        <v>10.507</v>
      </c>
      <c r="J106" s="50" t="e">
        <f>'Raw Data'!#REF!/J$1</f>
        <v>#REF!</v>
      </c>
      <c r="K106" s="50" t="e">
        <f>'Raw Data'!#REF!/K$1</f>
        <v>#REF!</v>
      </c>
      <c r="L106" s="50" t="e">
        <f>'Raw Data'!#REF!/L$1</f>
        <v>#REF!</v>
      </c>
      <c r="M106" s="50" t="e">
        <f>'Raw Data'!#REF!/M$1</f>
        <v>#REF!</v>
      </c>
      <c r="N106" s="50" t="e">
        <f>'Raw Data'!#REF!/N$1</f>
        <v>#REF!</v>
      </c>
      <c r="O106" s="50" t="e">
        <f>'Raw Data'!#REF!/O$1</f>
        <v>#REF!</v>
      </c>
      <c r="P106" s="50" t="str">
        <f t="shared" si="9"/>
        <v/>
      </c>
      <c r="Q106" s="50" t="e">
        <f t="shared" si="10"/>
        <v>#REF!</v>
      </c>
    </row>
    <row r="107" spans="1:17">
      <c r="A107" s="2" t="s">
        <v>208</v>
      </c>
      <c r="B107" s="44">
        <v>4</v>
      </c>
      <c r="C107" s="44">
        <v>2022</v>
      </c>
      <c r="D107" s="44" t="s">
        <v>209</v>
      </c>
      <c r="E107" s="44" t="s">
        <v>209</v>
      </c>
      <c r="F107" s="31">
        <v>44743</v>
      </c>
      <c r="G107" s="44">
        <f t="shared" si="8"/>
        <v>31</v>
      </c>
      <c r="H107" s="45">
        <f t="shared" si="11"/>
        <v>44756</v>
      </c>
      <c r="I107" s="139">
        <f>_xlfn.XLOOKUP(Table12[[#This Row],[Month Year]],'Modelling New'!D:D,'Modelling New'!N:N)</f>
        <v>10.507</v>
      </c>
      <c r="J107" s="50" t="e">
        <f>'Raw Data'!#REF!/J$1</f>
        <v>#REF!</v>
      </c>
      <c r="K107" s="50" t="e">
        <f>'Raw Data'!#REF!/K$1</f>
        <v>#REF!</v>
      </c>
      <c r="L107" s="50" t="e">
        <f>'Raw Data'!#REF!/L$1</f>
        <v>#REF!</v>
      </c>
      <c r="M107" s="50" t="e">
        <f>'Raw Data'!#REF!/M$1</f>
        <v>#REF!</v>
      </c>
      <c r="N107" s="50" t="e">
        <f>'Raw Data'!#REF!/N$1</f>
        <v>#REF!</v>
      </c>
      <c r="O107" s="50" t="e">
        <f>'Raw Data'!#REF!/O$1</f>
        <v>#REF!</v>
      </c>
      <c r="P107" s="50" t="str">
        <f t="shared" si="9"/>
        <v/>
      </c>
      <c r="Q107" s="50" t="e">
        <f t="shared" si="10"/>
        <v>#REF!</v>
      </c>
    </row>
    <row r="108" spans="1:17">
      <c r="A108" s="2" t="s">
        <v>208</v>
      </c>
      <c r="B108" s="46">
        <v>4</v>
      </c>
      <c r="C108" s="46">
        <v>2022</v>
      </c>
      <c r="D108" s="46" t="s">
        <v>209</v>
      </c>
      <c r="E108" s="46" t="s">
        <v>209</v>
      </c>
      <c r="F108" s="31">
        <v>44743</v>
      </c>
      <c r="G108" s="46">
        <f t="shared" si="8"/>
        <v>31</v>
      </c>
      <c r="H108" s="47">
        <f t="shared" si="11"/>
        <v>44757</v>
      </c>
      <c r="I108" s="140">
        <f>_xlfn.XLOOKUP(Table12[[#This Row],[Month Year]],'Modelling New'!D:D,'Modelling New'!N:N)</f>
        <v>10.507</v>
      </c>
      <c r="J108" s="50" t="e">
        <f>'Raw Data'!#REF!/J$1</f>
        <v>#REF!</v>
      </c>
      <c r="K108" s="50" t="e">
        <f>'Raw Data'!#REF!/K$1</f>
        <v>#REF!</v>
      </c>
      <c r="L108" s="50" t="e">
        <f>'Raw Data'!#REF!/L$1</f>
        <v>#REF!</v>
      </c>
      <c r="M108" s="50" t="e">
        <f>'Raw Data'!#REF!/M$1</f>
        <v>#REF!</v>
      </c>
      <c r="N108" s="50" t="e">
        <f>'Raw Data'!#REF!/N$1</f>
        <v>#REF!</v>
      </c>
      <c r="O108" s="50" t="e">
        <f>'Raw Data'!#REF!/O$1</f>
        <v>#REF!</v>
      </c>
      <c r="P108" s="50" t="str">
        <f t="shared" si="9"/>
        <v/>
      </c>
      <c r="Q108" s="50" t="e">
        <f t="shared" si="10"/>
        <v>#REF!</v>
      </c>
    </row>
    <row r="109" spans="1:17">
      <c r="A109" s="2" t="s">
        <v>208</v>
      </c>
      <c r="B109" s="44">
        <v>4</v>
      </c>
      <c r="C109" s="44">
        <v>2022</v>
      </c>
      <c r="D109" s="44" t="s">
        <v>209</v>
      </c>
      <c r="E109" s="44" t="s">
        <v>209</v>
      </c>
      <c r="F109" s="31">
        <v>44743</v>
      </c>
      <c r="G109" s="44">
        <f t="shared" si="8"/>
        <v>31</v>
      </c>
      <c r="H109" s="45">
        <f t="shared" si="11"/>
        <v>44758</v>
      </c>
      <c r="I109" s="139">
        <f>_xlfn.XLOOKUP(Table12[[#This Row],[Month Year]],'Modelling New'!D:D,'Modelling New'!N:N)</f>
        <v>10.507</v>
      </c>
      <c r="J109" s="50" t="e">
        <f>'Raw Data'!#REF!/J$1</f>
        <v>#REF!</v>
      </c>
      <c r="K109" s="50" t="e">
        <f>'Raw Data'!#REF!/K$1</f>
        <v>#REF!</v>
      </c>
      <c r="L109" s="50" t="e">
        <f>'Raw Data'!#REF!/L$1</f>
        <v>#REF!</v>
      </c>
      <c r="M109" s="50" t="e">
        <f>'Raw Data'!#REF!/M$1</f>
        <v>#REF!</v>
      </c>
      <c r="N109" s="50" t="e">
        <f>'Raw Data'!#REF!/N$1</f>
        <v>#REF!</v>
      </c>
      <c r="O109" s="50" t="e">
        <f>'Raw Data'!#REF!/O$1</f>
        <v>#REF!</v>
      </c>
      <c r="P109" s="50" t="str">
        <f t="shared" si="9"/>
        <v/>
      </c>
      <c r="Q109" s="50" t="e">
        <f t="shared" si="10"/>
        <v>#REF!</v>
      </c>
    </row>
    <row r="110" spans="1:17">
      <c r="A110" s="2" t="s">
        <v>208</v>
      </c>
      <c r="B110" s="46">
        <v>4</v>
      </c>
      <c r="C110" s="46">
        <v>2022</v>
      </c>
      <c r="D110" s="46" t="s">
        <v>209</v>
      </c>
      <c r="E110" s="46" t="s">
        <v>209</v>
      </c>
      <c r="F110" s="31">
        <v>44743</v>
      </c>
      <c r="G110" s="46">
        <f t="shared" si="8"/>
        <v>31</v>
      </c>
      <c r="H110" s="47">
        <f t="shared" si="11"/>
        <v>44759</v>
      </c>
      <c r="I110" s="140">
        <f>_xlfn.XLOOKUP(Table12[[#This Row],[Month Year]],'Modelling New'!D:D,'Modelling New'!N:N)</f>
        <v>10.507</v>
      </c>
      <c r="J110" s="50" t="e">
        <f>'Raw Data'!#REF!/J$1</f>
        <v>#REF!</v>
      </c>
      <c r="K110" s="50" t="e">
        <f>'Raw Data'!#REF!/K$1</f>
        <v>#REF!</v>
      </c>
      <c r="L110" s="50" t="e">
        <f>'Raw Data'!#REF!/L$1</f>
        <v>#REF!</v>
      </c>
      <c r="M110" s="50" t="e">
        <f>'Raw Data'!#REF!/M$1</f>
        <v>#REF!</v>
      </c>
      <c r="N110" s="50" t="e">
        <f>'Raw Data'!#REF!/N$1</f>
        <v>#REF!</v>
      </c>
      <c r="O110" s="50" t="e">
        <f>'Raw Data'!#REF!/O$1</f>
        <v>#REF!</v>
      </c>
      <c r="P110" s="50" t="str">
        <f t="shared" si="9"/>
        <v/>
      </c>
      <c r="Q110" s="50" t="e">
        <f t="shared" si="10"/>
        <v>#REF!</v>
      </c>
    </row>
    <row r="111" spans="1:17">
      <c r="A111" s="2" t="s">
        <v>208</v>
      </c>
      <c r="B111" s="44">
        <v>4</v>
      </c>
      <c r="C111" s="44">
        <v>2022</v>
      </c>
      <c r="D111" s="44" t="s">
        <v>209</v>
      </c>
      <c r="E111" s="44" t="s">
        <v>209</v>
      </c>
      <c r="F111" s="31">
        <v>44743</v>
      </c>
      <c r="G111" s="44">
        <f t="shared" si="8"/>
        <v>31</v>
      </c>
      <c r="H111" s="45">
        <f t="shared" si="11"/>
        <v>44760</v>
      </c>
      <c r="I111" s="139">
        <f>_xlfn.XLOOKUP(Table12[[#This Row],[Month Year]],'Modelling New'!D:D,'Modelling New'!N:N)</f>
        <v>10.507</v>
      </c>
      <c r="J111" s="50" t="e">
        <f>'Raw Data'!#REF!/J$1</f>
        <v>#REF!</v>
      </c>
      <c r="K111" s="50" t="e">
        <f>'Raw Data'!#REF!/K$1</f>
        <v>#REF!</v>
      </c>
      <c r="L111" s="50" t="e">
        <f>'Raw Data'!#REF!/L$1</f>
        <v>#REF!</v>
      </c>
      <c r="M111" s="50" t="e">
        <f>'Raw Data'!#REF!/M$1</f>
        <v>#REF!</v>
      </c>
      <c r="N111" s="50" t="e">
        <f>'Raw Data'!#REF!/N$1</f>
        <v>#REF!</v>
      </c>
      <c r="O111" s="50" t="e">
        <f>'Raw Data'!#REF!/O$1</f>
        <v>#REF!</v>
      </c>
      <c r="P111" s="50" t="str">
        <f t="shared" si="9"/>
        <v/>
      </c>
      <c r="Q111" s="50" t="e">
        <f t="shared" si="10"/>
        <v>#REF!</v>
      </c>
    </row>
    <row r="112" spans="1:17">
      <c r="A112" s="2" t="s">
        <v>208</v>
      </c>
      <c r="B112" s="46">
        <v>4</v>
      </c>
      <c r="C112" s="46">
        <v>2022</v>
      </c>
      <c r="D112" s="46" t="s">
        <v>209</v>
      </c>
      <c r="E112" s="46" t="s">
        <v>209</v>
      </c>
      <c r="F112" s="31">
        <v>44743</v>
      </c>
      <c r="G112" s="46">
        <f t="shared" si="8"/>
        <v>31</v>
      </c>
      <c r="H112" s="47">
        <f t="shared" si="11"/>
        <v>44761</v>
      </c>
      <c r="I112" s="140">
        <f>_xlfn.XLOOKUP(Table12[[#This Row],[Month Year]],'Modelling New'!D:D,'Modelling New'!N:N)</f>
        <v>10.507</v>
      </c>
      <c r="J112" s="50" t="e">
        <f>'Raw Data'!#REF!/J$1</f>
        <v>#REF!</v>
      </c>
      <c r="K112" s="50" t="e">
        <f>'Raw Data'!#REF!/K$1</f>
        <v>#REF!</v>
      </c>
      <c r="L112" s="50" t="e">
        <f>'Raw Data'!#REF!/L$1</f>
        <v>#REF!</v>
      </c>
      <c r="M112" s="50" t="e">
        <f>'Raw Data'!#REF!/M$1</f>
        <v>#REF!</v>
      </c>
      <c r="N112" s="50" t="e">
        <f>'Raw Data'!#REF!/N$1</f>
        <v>#REF!</v>
      </c>
      <c r="O112" s="50" t="e">
        <f>'Raw Data'!#REF!/O$1</f>
        <v>#REF!</v>
      </c>
      <c r="P112" s="50" t="str">
        <f t="shared" si="9"/>
        <v/>
      </c>
      <c r="Q112" s="50" t="e">
        <f t="shared" si="10"/>
        <v>#REF!</v>
      </c>
    </row>
    <row r="113" spans="1:17">
      <c r="A113" s="2" t="s">
        <v>208</v>
      </c>
      <c r="B113" s="44">
        <v>4</v>
      </c>
      <c r="C113" s="44">
        <v>2022</v>
      </c>
      <c r="D113" s="44" t="s">
        <v>209</v>
      </c>
      <c r="E113" s="44" t="s">
        <v>209</v>
      </c>
      <c r="F113" s="31">
        <v>44743</v>
      </c>
      <c r="G113" s="44">
        <f t="shared" si="8"/>
        <v>31</v>
      </c>
      <c r="H113" s="45">
        <f t="shared" si="11"/>
        <v>44762</v>
      </c>
      <c r="I113" s="139">
        <f>_xlfn.XLOOKUP(Table12[[#This Row],[Month Year]],'Modelling New'!D:D,'Modelling New'!N:N)</f>
        <v>10.507</v>
      </c>
      <c r="J113" s="50" t="e">
        <f>'Raw Data'!#REF!/J$1</f>
        <v>#REF!</v>
      </c>
      <c r="K113" s="50" t="e">
        <f>'Raw Data'!#REF!/K$1</f>
        <v>#REF!</v>
      </c>
      <c r="L113" s="50" t="e">
        <f>'Raw Data'!#REF!/L$1</f>
        <v>#REF!</v>
      </c>
      <c r="M113" s="50" t="e">
        <f>'Raw Data'!#REF!/M$1</f>
        <v>#REF!</v>
      </c>
      <c r="N113" s="50" t="e">
        <f>'Raw Data'!#REF!/N$1</f>
        <v>#REF!</v>
      </c>
      <c r="O113" s="50" t="e">
        <f>'Raw Data'!#REF!/O$1</f>
        <v>#REF!</v>
      </c>
      <c r="P113" s="50" t="str">
        <f t="shared" si="9"/>
        <v/>
      </c>
      <c r="Q113" s="50" t="e">
        <f t="shared" si="10"/>
        <v>#REF!</v>
      </c>
    </row>
    <row r="114" spans="1:17">
      <c r="A114" s="2" t="s">
        <v>208</v>
      </c>
      <c r="B114" s="46">
        <v>4</v>
      </c>
      <c r="C114" s="46">
        <v>2022</v>
      </c>
      <c r="D114" s="46" t="s">
        <v>209</v>
      </c>
      <c r="E114" s="46" t="s">
        <v>209</v>
      </c>
      <c r="F114" s="31">
        <v>44743</v>
      </c>
      <c r="G114" s="46">
        <f t="shared" si="8"/>
        <v>31</v>
      </c>
      <c r="H114" s="47">
        <f t="shared" si="11"/>
        <v>44763</v>
      </c>
      <c r="I114" s="140">
        <f>_xlfn.XLOOKUP(Table12[[#This Row],[Month Year]],'Modelling New'!D:D,'Modelling New'!N:N)</f>
        <v>10.507</v>
      </c>
      <c r="J114" s="50" t="e">
        <f>'Raw Data'!#REF!/J$1</f>
        <v>#REF!</v>
      </c>
      <c r="K114" s="50" t="e">
        <f>'Raw Data'!#REF!/K$1</f>
        <v>#REF!</v>
      </c>
      <c r="L114" s="50" t="e">
        <f>'Raw Data'!#REF!/L$1</f>
        <v>#REF!</v>
      </c>
      <c r="M114" s="50" t="e">
        <f>'Raw Data'!#REF!/M$1</f>
        <v>#REF!</v>
      </c>
      <c r="N114" s="50" t="e">
        <f>'Raw Data'!#REF!/N$1</f>
        <v>#REF!</v>
      </c>
      <c r="O114" s="50" t="e">
        <f>'Raw Data'!#REF!/O$1</f>
        <v>#REF!</v>
      </c>
      <c r="P114" s="50" t="str">
        <f t="shared" si="9"/>
        <v/>
      </c>
      <c r="Q114" s="50" t="e">
        <f t="shared" si="10"/>
        <v>#REF!</v>
      </c>
    </row>
    <row r="115" spans="1:17">
      <c r="A115" s="2" t="s">
        <v>208</v>
      </c>
      <c r="B115" s="44">
        <v>4</v>
      </c>
      <c r="C115" s="44">
        <v>2022</v>
      </c>
      <c r="D115" s="44" t="s">
        <v>209</v>
      </c>
      <c r="E115" s="44" t="s">
        <v>209</v>
      </c>
      <c r="F115" s="31">
        <v>44743</v>
      </c>
      <c r="G115" s="44">
        <f t="shared" si="8"/>
        <v>31</v>
      </c>
      <c r="H115" s="45">
        <f t="shared" si="11"/>
        <v>44764</v>
      </c>
      <c r="I115" s="139">
        <f>_xlfn.XLOOKUP(Table12[[#This Row],[Month Year]],'Modelling New'!D:D,'Modelling New'!N:N)</f>
        <v>10.507</v>
      </c>
      <c r="J115" s="50" t="e">
        <f>'Raw Data'!#REF!/J$1</f>
        <v>#REF!</v>
      </c>
      <c r="K115" s="50" t="e">
        <f>'Raw Data'!#REF!/K$1</f>
        <v>#REF!</v>
      </c>
      <c r="L115" s="50" t="e">
        <f>'Raw Data'!#REF!/L$1</f>
        <v>#REF!</v>
      </c>
      <c r="M115" s="50" t="e">
        <f>'Raw Data'!#REF!/M$1</f>
        <v>#REF!</v>
      </c>
      <c r="N115" s="50" t="e">
        <f>'Raw Data'!#REF!/N$1</f>
        <v>#REF!</v>
      </c>
      <c r="O115" s="50" t="e">
        <f>'Raw Data'!#REF!/O$1</f>
        <v>#REF!</v>
      </c>
      <c r="P115" s="50" t="str">
        <f t="shared" si="9"/>
        <v/>
      </c>
      <c r="Q115" s="50" t="e">
        <f t="shared" si="10"/>
        <v>#REF!</v>
      </c>
    </row>
    <row r="116" spans="1:17">
      <c r="A116" s="2" t="s">
        <v>208</v>
      </c>
      <c r="B116" s="46">
        <v>4</v>
      </c>
      <c r="C116" s="46">
        <v>2022</v>
      </c>
      <c r="D116" s="46" t="s">
        <v>209</v>
      </c>
      <c r="E116" s="46" t="s">
        <v>209</v>
      </c>
      <c r="F116" s="31">
        <v>44743</v>
      </c>
      <c r="G116" s="46">
        <f t="shared" si="8"/>
        <v>31</v>
      </c>
      <c r="H116" s="47">
        <f t="shared" si="11"/>
        <v>44765</v>
      </c>
      <c r="I116" s="140">
        <f>_xlfn.XLOOKUP(Table12[[#This Row],[Month Year]],'Modelling New'!D:D,'Modelling New'!N:N)</f>
        <v>10.507</v>
      </c>
      <c r="J116" s="50" t="e">
        <f>'Raw Data'!#REF!/J$1</f>
        <v>#REF!</v>
      </c>
      <c r="K116" s="50" t="e">
        <f>'Raw Data'!#REF!/K$1</f>
        <v>#REF!</v>
      </c>
      <c r="L116" s="50" t="e">
        <f>'Raw Data'!#REF!/L$1</f>
        <v>#REF!</v>
      </c>
      <c r="M116" s="50" t="e">
        <f>'Raw Data'!#REF!/M$1</f>
        <v>#REF!</v>
      </c>
      <c r="N116" s="50" t="e">
        <f>'Raw Data'!#REF!/N$1</f>
        <v>#REF!</v>
      </c>
      <c r="O116" s="50" t="e">
        <f>'Raw Data'!#REF!/O$1</f>
        <v>#REF!</v>
      </c>
      <c r="P116" s="50" t="str">
        <f t="shared" si="9"/>
        <v/>
      </c>
      <c r="Q116" s="50" t="e">
        <f t="shared" si="10"/>
        <v>#REF!</v>
      </c>
    </row>
    <row r="117" spans="1:17">
      <c r="A117" s="2" t="s">
        <v>208</v>
      </c>
      <c r="B117" s="44">
        <v>4</v>
      </c>
      <c r="C117" s="44">
        <v>2022</v>
      </c>
      <c r="D117" s="44" t="s">
        <v>209</v>
      </c>
      <c r="E117" s="44" t="s">
        <v>209</v>
      </c>
      <c r="F117" s="31">
        <v>44743</v>
      </c>
      <c r="G117" s="44">
        <f t="shared" si="8"/>
        <v>31</v>
      </c>
      <c r="H117" s="45">
        <f t="shared" si="11"/>
        <v>44766</v>
      </c>
      <c r="I117" s="139">
        <f>_xlfn.XLOOKUP(Table12[[#This Row],[Month Year]],'Modelling New'!D:D,'Modelling New'!N:N)</f>
        <v>10.507</v>
      </c>
      <c r="J117" s="50" t="e">
        <f>'Raw Data'!#REF!/J$1</f>
        <v>#REF!</v>
      </c>
      <c r="K117" s="50" t="e">
        <f>'Raw Data'!#REF!/K$1</f>
        <v>#REF!</v>
      </c>
      <c r="L117" s="50" t="e">
        <f>'Raw Data'!#REF!/L$1</f>
        <v>#REF!</v>
      </c>
      <c r="M117" s="50" t="e">
        <f>'Raw Data'!#REF!/M$1</f>
        <v>#REF!</v>
      </c>
      <c r="N117" s="50" t="e">
        <f>'Raw Data'!#REF!/N$1</f>
        <v>#REF!</v>
      </c>
      <c r="O117" s="50" t="e">
        <f>'Raw Data'!#REF!/O$1</f>
        <v>#REF!</v>
      </c>
      <c r="P117" s="50" t="str">
        <f t="shared" si="9"/>
        <v/>
      </c>
      <c r="Q117" s="50" t="e">
        <f t="shared" si="10"/>
        <v>#REF!</v>
      </c>
    </row>
    <row r="118" spans="1:17">
      <c r="A118" s="2" t="s">
        <v>208</v>
      </c>
      <c r="B118" s="46">
        <v>4</v>
      </c>
      <c r="C118" s="46">
        <v>2022</v>
      </c>
      <c r="D118" s="46" t="s">
        <v>209</v>
      </c>
      <c r="E118" s="46" t="s">
        <v>209</v>
      </c>
      <c r="F118" s="31">
        <v>44743</v>
      </c>
      <c r="G118" s="46">
        <f t="shared" si="8"/>
        <v>31</v>
      </c>
      <c r="H118" s="47">
        <f t="shared" si="11"/>
        <v>44767</v>
      </c>
      <c r="I118" s="140">
        <f>_xlfn.XLOOKUP(Table12[[#This Row],[Month Year]],'Modelling New'!D:D,'Modelling New'!N:N)</f>
        <v>10.507</v>
      </c>
      <c r="J118" s="50" t="e">
        <f>'Raw Data'!#REF!/J$1</f>
        <v>#REF!</v>
      </c>
      <c r="K118" s="50" t="e">
        <f>'Raw Data'!#REF!/K$1</f>
        <v>#REF!</v>
      </c>
      <c r="L118" s="50" t="e">
        <f>'Raw Data'!#REF!/L$1</f>
        <v>#REF!</v>
      </c>
      <c r="M118" s="50" t="e">
        <f>'Raw Data'!#REF!/M$1</f>
        <v>#REF!</v>
      </c>
      <c r="N118" s="50" t="e">
        <f>'Raw Data'!#REF!/N$1</f>
        <v>#REF!</v>
      </c>
      <c r="O118" s="50" t="e">
        <f>'Raw Data'!#REF!/O$1</f>
        <v>#REF!</v>
      </c>
      <c r="P118" s="50" t="str">
        <f t="shared" si="9"/>
        <v/>
      </c>
      <c r="Q118" s="50" t="e">
        <f t="shared" si="10"/>
        <v>#REF!</v>
      </c>
    </row>
    <row r="119" spans="1:17">
      <c r="A119" s="2" t="s">
        <v>208</v>
      </c>
      <c r="B119" s="44">
        <v>4</v>
      </c>
      <c r="C119" s="44">
        <v>2022</v>
      </c>
      <c r="D119" s="44" t="s">
        <v>209</v>
      </c>
      <c r="E119" s="44" t="s">
        <v>209</v>
      </c>
      <c r="F119" s="31">
        <v>44743</v>
      </c>
      <c r="G119" s="44">
        <f t="shared" si="8"/>
        <v>31</v>
      </c>
      <c r="H119" s="45">
        <f t="shared" si="11"/>
        <v>44768</v>
      </c>
      <c r="I119" s="139">
        <f>_xlfn.XLOOKUP(Table12[[#This Row],[Month Year]],'Modelling New'!D:D,'Modelling New'!N:N)</f>
        <v>10.507</v>
      </c>
      <c r="J119" s="50" t="e">
        <f>'Raw Data'!#REF!/J$1</f>
        <v>#REF!</v>
      </c>
      <c r="K119" s="50" t="e">
        <f>'Raw Data'!#REF!/K$1</f>
        <v>#REF!</v>
      </c>
      <c r="L119" s="50" t="e">
        <f>'Raw Data'!#REF!/L$1</f>
        <v>#REF!</v>
      </c>
      <c r="M119" s="50" t="e">
        <f>'Raw Data'!#REF!/M$1</f>
        <v>#REF!</v>
      </c>
      <c r="N119" s="50" t="e">
        <f>'Raw Data'!#REF!/N$1</f>
        <v>#REF!</v>
      </c>
      <c r="O119" s="50" t="e">
        <f>'Raw Data'!#REF!/O$1</f>
        <v>#REF!</v>
      </c>
      <c r="P119" s="50" t="str">
        <f t="shared" si="9"/>
        <v/>
      </c>
      <c r="Q119" s="50" t="e">
        <f t="shared" si="10"/>
        <v>#REF!</v>
      </c>
    </row>
    <row r="120" spans="1:17">
      <c r="A120" s="2" t="s">
        <v>208</v>
      </c>
      <c r="B120" s="46">
        <v>4</v>
      </c>
      <c r="C120" s="46">
        <v>2022</v>
      </c>
      <c r="D120" s="46" t="s">
        <v>209</v>
      </c>
      <c r="E120" s="46" t="s">
        <v>209</v>
      </c>
      <c r="F120" s="31">
        <v>44743</v>
      </c>
      <c r="G120" s="46">
        <f t="shared" si="8"/>
        <v>31</v>
      </c>
      <c r="H120" s="47">
        <f t="shared" si="11"/>
        <v>44769</v>
      </c>
      <c r="I120" s="140">
        <f>_xlfn.XLOOKUP(Table12[[#This Row],[Month Year]],'Modelling New'!D:D,'Modelling New'!N:N)</f>
        <v>10.507</v>
      </c>
      <c r="J120" s="50" t="e">
        <f>'Raw Data'!#REF!/J$1</f>
        <v>#REF!</v>
      </c>
      <c r="K120" s="50" t="e">
        <f>'Raw Data'!#REF!/K$1</f>
        <v>#REF!</v>
      </c>
      <c r="L120" s="50" t="e">
        <f>'Raw Data'!#REF!/L$1</f>
        <v>#REF!</v>
      </c>
      <c r="M120" s="50" t="e">
        <f>'Raw Data'!#REF!/M$1</f>
        <v>#REF!</v>
      </c>
      <c r="N120" s="50" t="e">
        <f>'Raw Data'!#REF!/N$1</f>
        <v>#REF!</v>
      </c>
      <c r="O120" s="50" t="e">
        <f>'Raw Data'!#REF!/O$1</f>
        <v>#REF!</v>
      </c>
      <c r="P120" s="50" t="str">
        <f t="shared" si="9"/>
        <v/>
      </c>
      <c r="Q120" s="50" t="e">
        <f t="shared" si="10"/>
        <v>#REF!</v>
      </c>
    </row>
    <row r="121" spans="1:17">
      <c r="A121" s="2" t="s">
        <v>208</v>
      </c>
      <c r="B121" s="44">
        <v>4</v>
      </c>
      <c r="C121" s="44">
        <v>2022</v>
      </c>
      <c r="D121" s="44" t="s">
        <v>209</v>
      </c>
      <c r="E121" s="44" t="s">
        <v>209</v>
      </c>
      <c r="F121" s="31">
        <v>44743</v>
      </c>
      <c r="G121" s="44">
        <f t="shared" si="8"/>
        <v>31</v>
      </c>
      <c r="H121" s="45">
        <f t="shared" si="11"/>
        <v>44770</v>
      </c>
      <c r="I121" s="139">
        <f>_xlfn.XLOOKUP(Table12[[#This Row],[Month Year]],'Modelling New'!D:D,'Modelling New'!N:N)</f>
        <v>10.507</v>
      </c>
      <c r="J121" s="50" t="e">
        <f>'Raw Data'!#REF!/J$1</f>
        <v>#REF!</v>
      </c>
      <c r="K121" s="50" t="e">
        <f>'Raw Data'!#REF!/K$1</f>
        <v>#REF!</v>
      </c>
      <c r="L121" s="50" t="e">
        <f>'Raw Data'!#REF!/L$1</f>
        <v>#REF!</v>
      </c>
      <c r="M121" s="50" t="e">
        <f>'Raw Data'!#REF!/M$1</f>
        <v>#REF!</v>
      </c>
      <c r="N121" s="50" t="e">
        <f>'Raw Data'!#REF!/N$1</f>
        <v>#REF!</v>
      </c>
      <c r="O121" s="50" t="e">
        <f>'Raw Data'!#REF!/O$1</f>
        <v>#REF!</v>
      </c>
      <c r="P121" s="50" t="str">
        <f t="shared" si="9"/>
        <v/>
      </c>
      <c r="Q121" s="50" t="e">
        <f t="shared" si="10"/>
        <v>#REF!</v>
      </c>
    </row>
    <row r="122" spans="1:17">
      <c r="A122" s="2" t="s">
        <v>208</v>
      </c>
      <c r="B122" s="46">
        <v>4</v>
      </c>
      <c r="C122" s="46">
        <v>2022</v>
      </c>
      <c r="D122" s="46" t="s">
        <v>209</v>
      </c>
      <c r="E122" s="46" t="s">
        <v>209</v>
      </c>
      <c r="F122" s="31">
        <v>44743</v>
      </c>
      <c r="G122" s="46">
        <f t="shared" si="8"/>
        <v>31</v>
      </c>
      <c r="H122" s="47">
        <f t="shared" si="11"/>
        <v>44771</v>
      </c>
      <c r="I122" s="140">
        <f>_xlfn.XLOOKUP(Table12[[#This Row],[Month Year]],'Modelling New'!D:D,'Modelling New'!N:N)</f>
        <v>10.507</v>
      </c>
      <c r="J122" s="50" t="e">
        <f>'Raw Data'!#REF!/J$1</f>
        <v>#REF!</v>
      </c>
      <c r="K122" s="50" t="e">
        <f>'Raw Data'!#REF!/K$1</f>
        <v>#REF!</v>
      </c>
      <c r="L122" s="50" t="e">
        <f>'Raw Data'!#REF!/L$1</f>
        <v>#REF!</v>
      </c>
      <c r="M122" s="50" t="e">
        <f>'Raw Data'!#REF!/M$1</f>
        <v>#REF!</v>
      </c>
      <c r="N122" s="50" t="e">
        <f>'Raw Data'!#REF!/N$1</f>
        <v>#REF!</v>
      </c>
      <c r="O122" s="50" t="e">
        <f>'Raw Data'!#REF!/O$1</f>
        <v>#REF!</v>
      </c>
      <c r="P122" s="50" t="str">
        <f t="shared" si="9"/>
        <v/>
      </c>
      <c r="Q122" s="50" t="e">
        <f t="shared" si="10"/>
        <v>#REF!</v>
      </c>
    </row>
    <row r="123" spans="1:17">
      <c r="A123" s="2" t="s">
        <v>208</v>
      </c>
      <c r="B123" s="44">
        <v>4</v>
      </c>
      <c r="C123" s="44">
        <v>2022</v>
      </c>
      <c r="D123" s="44" t="s">
        <v>209</v>
      </c>
      <c r="E123" s="44" t="s">
        <v>209</v>
      </c>
      <c r="F123" s="31">
        <v>44743</v>
      </c>
      <c r="G123" s="44">
        <f t="shared" si="8"/>
        <v>31</v>
      </c>
      <c r="H123" s="45">
        <f t="shared" si="11"/>
        <v>44772</v>
      </c>
      <c r="I123" s="139">
        <f>_xlfn.XLOOKUP(Table12[[#This Row],[Month Year]],'Modelling New'!D:D,'Modelling New'!N:N)</f>
        <v>10.507</v>
      </c>
      <c r="J123" s="50" t="e">
        <f>'Raw Data'!#REF!/J$1</f>
        <v>#REF!</v>
      </c>
      <c r="K123" s="50" t="e">
        <f>'Raw Data'!#REF!/K$1</f>
        <v>#REF!</v>
      </c>
      <c r="L123" s="50" t="e">
        <f>'Raw Data'!#REF!/L$1</f>
        <v>#REF!</v>
      </c>
      <c r="M123" s="50" t="e">
        <f>'Raw Data'!#REF!/M$1</f>
        <v>#REF!</v>
      </c>
      <c r="N123" s="50" t="e">
        <f>'Raw Data'!#REF!/N$1</f>
        <v>#REF!</v>
      </c>
      <c r="O123" s="50" t="e">
        <f>'Raw Data'!#REF!/O$1</f>
        <v>#REF!</v>
      </c>
      <c r="P123" s="50" t="str">
        <f t="shared" si="9"/>
        <v/>
      </c>
      <c r="Q123" s="50" t="e">
        <f t="shared" si="10"/>
        <v>#REF!</v>
      </c>
    </row>
    <row r="124" spans="1:17">
      <c r="A124" s="2" t="s">
        <v>208</v>
      </c>
      <c r="B124" s="46">
        <v>4</v>
      </c>
      <c r="C124" s="46">
        <v>2022</v>
      </c>
      <c r="D124" s="46" t="s">
        <v>209</v>
      </c>
      <c r="E124" s="46" t="s">
        <v>209</v>
      </c>
      <c r="F124" s="31">
        <v>44743</v>
      </c>
      <c r="G124" s="46">
        <f t="shared" si="8"/>
        <v>31</v>
      </c>
      <c r="H124" s="47">
        <f t="shared" si="11"/>
        <v>44773</v>
      </c>
      <c r="I124" s="140">
        <f>_xlfn.XLOOKUP(Table12[[#This Row],[Month Year]],'Modelling New'!D:D,'Modelling New'!N:N)</f>
        <v>10.507</v>
      </c>
      <c r="J124" s="50" t="e">
        <f>'Raw Data'!#REF!/J$1</f>
        <v>#REF!</v>
      </c>
      <c r="K124" s="50" t="e">
        <f>'Raw Data'!#REF!/K$1</f>
        <v>#REF!</v>
      </c>
      <c r="L124" s="50" t="e">
        <f>'Raw Data'!#REF!/L$1</f>
        <v>#REF!</v>
      </c>
      <c r="M124" s="50" t="e">
        <f>'Raw Data'!#REF!/M$1</f>
        <v>#REF!</v>
      </c>
      <c r="N124" s="50" t="e">
        <f>'Raw Data'!#REF!/N$1</f>
        <v>#REF!</v>
      </c>
      <c r="O124" s="50" t="e">
        <f>'Raw Data'!#REF!/O$1</f>
        <v>#REF!</v>
      </c>
      <c r="P124" s="50" t="str">
        <f t="shared" si="9"/>
        <v/>
      </c>
      <c r="Q124" s="50" t="e">
        <f t="shared" si="10"/>
        <v>#REF!</v>
      </c>
    </row>
    <row r="125" spans="1:17">
      <c r="A125" s="2" t="s">
        <v>208</v>
      </c>
      <c r="B125" s="44">
        <v>4</v>
      </c>
      <c r="C125" s="44">
        <v>2022</v>
      </c>
      <c r="D125" s="44" t="s">
        <v>209</v>
      </c>
      <c r="E125" s="44" t="s">
        <v>209</v>
      </c>
      <c r="F125" s="31">
        <v>44774</v>
      </c>
      <c r="G125" s="44">
        <f t="shared" si="8"/>
        <v>31</v>
      </c>
      <c r="H125" s="45">
        <f t="shared" si="11"/>
        <v>44774</v>
      </c>
      <c r="I125" s="139">
        <f>_xlfn.XLOOKUP(Table12[[#This Row],[Month Year]],'Modelling New'!D:D,'Modelling New'!N:N)</f>
        <v>10.507</v>
      </c>
      <c r="J125" s="50" t="e">
        <f>'Raw Data'!#REF!/J$1</f>
        <v>#REF!</v>
      </c>
      <c r="K125" s="50" t="e">
        <f>'Raw Data'!#REF!/K$1</f>
        <v>#REF!</v>
      </c>
      <c r="L125" s="50" t="e">
        <f>'Raw Data'!#REF!/L$1</f>
        <v>#REF!</v>
      </c>
      <c r="M125" s="50" t="e">
        <f>'Raw Data'!#REF!/M$1</f>
        <v>#REF!</v>
      </c>
      <c r="N125" s="50" t="e">
        <f>'Raw Data'!#REF!/N$1</f>
        <v>#REF!</v>
      </c>
      <c r="O125" s="50" t="e">
        <f>'Raw Data'!#REF!/O$1</f>
        <v>#REF!</v>
      </c>
      <c r="P125" s="50" t="str">
        <f t="shared" si="9"/>
        <v/>
      </c>
      <c r="Q125" s="50" t="e">
        <f t="shared" si="10"/>
        <v>#REF!</v>
      </c>
    </row>
    <row r="126" spans="1:17">
      <c r="A126" s="2" t="s">
        <v>208</v>
      </c>
      <c r="B126" s="46">
        <v>4</v>
      </c>
      <c r="C126" s="46">
        <v>2022</v>
      </c>
      <c r="D126" s="46" t="s">
        <v>209</v>
      </c>
      <c r="E126" s="46" t="s">
        <v>209</v>
      </c>
      <c r="F126" s="31">
        <v>44774</v>
      </c>
      <c r="G126" s="46">
        <f t="shared" si="8"/>
        <v>31</v>
      </c>
      <c r="H126" s="47">
        <f t="shared" si="11"/>
        <v>44775</v>
      </c>
      <c r="I126" s="140">
        <f>_xlfn.XLOOKUP(Table12[[#This Row],[Month Year]],'Modelling New'!D:D,'Modelling New'!N:N)</f>
        <v>10.507</v>
      </c>
      <c r="J126" s="50" t="e">
        <f>'Raw Data'!#REF!/J$1</f>
        <v>#REF!</v>
      </c>
      <c r="K126" s="50" t="e">
        <f>'Raw Data'!#REF!/K$1</f>
        <v>#REF!</v>
      </c>
      <c r="L126" s="50" t="e">
        <f>'Raw Data'!#REF!/L$1</f>
        <v>#REF!</v>
      </c>
      <c r="M126" s="50" t="e">
        <f>'Raw Data'!#REF!/M$1</f>
        <v>#REF!</v>
      </c>
      <c r="N126" s="50" t="e">
        <f>'Raw Data'!#REF!/N$1</f>
        <v>#REF!</v>
      </c>
      <c r="O126" s="50" t="e">
        <f>'Raw Data'!#REF!/O$1</f>
        <v>#REF!</v>
      </c>
      <c r="P126" s="50" t="str">
        <f t="shared" si="9"/>
        <v/>
      </c>
      <c r="Q126" s="50" t="e">
        <f t="shared" si="10"/>
        <v>#REF!</v>
      </c>
    </row>
    <row r="127" spans="1:17">
      <c r="A127" s="2" t="s">
        <v>208</v>
      </c>
      <c r="B127" s="44">
        <v>4</v>
      </c>
      <c r="C127" s="44">
        <v>2022</v>
      </c>
      <c r="D127" s="44" t="s">
        <v>209</v>
      </c>
      <c r="E127" s="44" t="s">
        <v>209</v>
      </c>
      <c r="F127" s="31">
        <v>44774</v>
      </c>
      <c r="G127" s="44">
        <f t="shared" si="8"/>
        <v>31</v>
      </c>
      <c r="H127" s="45">
        <f t="shared" si="11"/>
        <v>44776</v>
      </c>
      <c r="I127" s="139">
        <f>_xlfn.XLOOKUP(Table12[[#This Row],[Month Year]],'Modelling New'!D:D,'Modelling New'!N:N)</f>
        <v>10.507</v>
      </c>
      <c r="J127" s="50" t="e">
        <f>'Raw Data'!#REF!/J$1</f>
        <v>#REF!</v>
      </c>
      <c r="K127" s="50" t="e">
        <f>'Raw Data'!#REF!/K$1</f>
        <v>#REF!</v>
      </c>
      <c r="L127" s="50" t="e">
        <f>'Raw Data'!#REF!/L$1</f>
        <v>#REF!</v>
      </c>
      <c r="M127" s="50" t="e">
        <f>'Raw Data'!#REF!/M$1</f>
        <v>#REF!</v>
      </c>
      <c r="N127" s="50" t="e">
        <f>'Raw Data'!#REF!/N$1</f>
        <v>#REF!</v>
      </c>
      <c r="O127" s="50" t="e">
        <f>'Raw Data'!#REF!/O$1</f>
        <v>#REF!</v>
      </c>
      <c r="P127" s="50" t="str">
        <f t="shared" si="9"/>
        <v/>
      </c>
      <c r="Q127" s="50" t="e">
        <f t="shared" si="10"/>
        <v>#REF!</v>
      </c>
    </row>
    <row r="128" spans="1:17">
      <c r="A128" s="2" t="s">
        <v>208</v>
      </c>
      <c r="B128" s="46">
        <v>4</v>
      </c>
      <c r="C128" s="46">
        <v>2022</v>
      </c>
      <c r="D128" s="46" t="s">
        <v>209</v>
      </c>
      <c r="E128" s="46" t="s">
        <v>209</v>
      </c>
      <c r="F128" s="31">
        <v>44774</v>
      </c>
      <c r="G128" s="46">
        <f t="shared" si="8"/>
        <v>31</v>
      </c>
      <c r="H128" s="47">
        <f t="shared" si="11"/>
        <v>44777</v>
      </c>
      <c r="I128" s="140">
        <f>_xlfn.XLOOKUP(Table12[[#This Row],[Month Year]],'Modelling New'!D:D,'Modelling New'!N:N)</f>
        <v>10.507</v>
      </c>
      <c r="J128" s="50" t="e">
        <f>'Raw Data'!#REF!/J$1</f>
        <v>#REF!</v>
      </c>
      <c r="K128" s="50" t="e">
        <f>'Raw Data'!#REF!/K$1</f>
        <v>#REF!</v>
      </c>
      <c r="L128" s="50" t="e">
        <f>'Raw Data'!#REF!/L$1</f>
        <v>#REF!</v>
      </c>
      <c r="M128" s="50" t="e">
        <f>'Raw Data'!#REF!/M$1</f>
        <v>#REF!</v>
      </c>
      <c r="N128" s="50" t="e">
        <f>'Raw Data'!#REF!/N$1</f>
        <v>#REF!</v>
      </c>
      <c r="O128" s="50" t="e">
        <f>'Raw Data'!#REF!/O$1</f>
        <v>#REF!</v>
      </c>
      <c r="P128" s="50" t="str">
        <f t="shared" si="9"/>
        <v/>
      </c>
      <c r="Q128" s="50" t="e">
        <f t="shared" si="10"/>
        <v>#REF!</v>
      </c>
    </row>
    <row r="129" spans="1:17">
      <c r="A129" s="2" t="s">
        <v>208</v>
      </c>
      <c r="B129" s="44">
        <v>4</v>
      </c>
      <c r="C129" s="44">
        <v>2022</v>
      </c>
      <c r="D129" s="44" t="s">
        <v>209</v>
      </c>
      <c r="E129" s="44" t="s">
        <v>209</v>
      </c>
      <c r="F129" s="31">
        <v>44774</v>
      </c>
      <c r="G129" s="44">
        <f t="shared" si="8"/>
        <v>31</v>
      </c>
      <c r="H129" s="45">
        <f t="shared" si="11"/>
        <v>44778</v>
      </c>
      <c r="I129" s="139">
        <f>_xlfn.XLOOKUP(Table12[[#This Row],[Month Year]],'Modelling New'!D:D,'Modelling New'!N:N)</f>
        <v>10.507</v>
      </c>
      <c r="J129" s="50" t="e">
        <f>'Raw Data'!#REF!/J$1</f>
        <v>#REF!</v>
      </c>
      <c r="K129" s="50" t="e">
        <f>'Raw Data'!#REF!/K$1</f>
        <v>#REF!</v>
      </c>
      <c r="L129" s="50" t="e">
        <f>'Raw Data'!#REF!/L$1</f>
        <v>#REF!</v>
      </c>
      <c r="M129" s="50" t="e">
        <f>'Raw Data'!#REF!/M$1</f>
        <v>#REF!</v>
      </c>
      <c r="N129" s="50" t="e">
        <f>'Raw Data'!#REF!/N$1</f>
        <v>#REF!</v>
      </c>
      <c r="O129" s="50" t="e">
        <f>'Raw Data'!#REF!/O$1</f>
        <v>#REF!</v>
      </c>
      <c r="P129" s="50" t="str">
        <f t="shared" si="9"/>
        <v/>
      </c>
      <c r="Q129" s="50" t="e">
        <f t="shared" si="10"/>
        <v>#REF!</v>
      </c>
    </row>
    <row r="130" spans="1:17">
      <c r="A130" s="2" t="s">
        <v>208</v>
      </c>
      <c r="B130" s="46">
        <v>4</v>
      </c>
      <c r="C130" s="46">
        <v>2022</v>
      </c>
      <c r="D130" s="46" t="s">
        <v>209</v>
      </c>
      <c r="E130" s="46" t="s">
        <v>209</v>
      </c>
      <c r="F130" s="31">
        <v>44774</v>
      </c>
      <c r="G130" s="46">
        <f t="shared" si="8"/>
        <v>31</v>
      </c>
      <c r="H130" s="47">
        <f t="shared" si="11"/>
        <v>44779</v>
      </c>
      <c r="I130" s="140">
        <f>_xlfn.XLOOKUP(Table12[[#This Row],[Month Year]],'Modelling New'!D:D,'Modelling New'!N:N)</f>
        <v>10.507</v>
      </c>
      <c r="J130" s="50" t="e">
        <f>'Raw Data'!#REF!/J$1</f>
        <v>#REF!</v>
      </c>
      <c r="K130" s="50" t="e">
        <f>'Raw Data'!#REF!/K$1</f>
        <v>#REF!</v>
      </c>
      <c r="L130" s="50" t="e">
        <f>'Raw Data'!#REF!/L$1</f>
        <v>#REF!</v>
      </c>
      <c r="M130" s="50" t="e">
        <f>'Raw Data'!#REF!/M$1</f>
        <v>#REF!</v>
      </c>
      <c r="N130" s="50" t="e">
        <f>'Raw Data'!#REF!/N$1</f>
        <v>#REF!</v>
      </c>
      <c r="O130" s="50" t="e">
        <f>'Raw Data'!#REF!/O$1</f>
        <v>#REF!</v>
      </c>
      <c r="P130" s="50" t="str">
        <f t="shared" si="9"/>
        <v/>
      </c>
      <c r="Q130" s="50" t="e">
        <f t="shared" si="10"/>
        <v>#REF!</v>
      </c>
    </row>
    <row r="131" spans="1:17">
      <c r="A131" s="2" t="s">
        <v>208</v>
      </c>
      <c r="B131" s="44">
        <v>4</v>
      </c>
      <c r="C131" s="44">
        <v>2022</v>
      </c>
      <c r="D131" s="44" t="s">
        <v>209</v>
      </c>
      <c r="E131" s="44" t="s">
        <v>209</v>
      </c>
      <c r="F131" s="31">
        <v>44774</v>
      </c>
      <c r="G131" s="44">
        <f t="shared" si="8"/>
        <v>31</v>
      </c>
      <c r="H131" s="45">
        <f t="shared" si="11"/>
        <v>44780</v>
      </c>
      <c r="I131" s="139">
        <f>_xlfn.XLOOKUP(Table12[[#This Row],[Month Year]],'Modelling New'!D:D,'Modelling New'!N:N)</f>
        <v>10.507</v>
      </c>
      <c r="J131" s="50" t="e">
        <f>'Raw Data'!#REF!/J$1</f>
        <v>#REF!</v>
      </c>
      <c r="K131" s="50" t="e">
        <f>'Raw Data'!#REF!/K$1</f>
        <v>#REF!</v>
      </c>
      <c r="L131" s="50" t="e">
        <f>'Raw Data'!#REF!/L$1</f>
        <v>#REF!</v>
      </c>
      <c r="M131" s="50" t="e">
        <f>'Raw Data'!#REF!/M$1</f>
        <v>#REF!</v>
      </c>
      <c r="N131" s="50" t="e">
        <f>'Raw Data'!#REF!/N$1</f>
        <v>#REF!</v>
      </c>
      <c r="O131" s="50" t="e">
        <f>'Raw Data'!#REF!/O$1</f>
        <v>#REF!</v>
      </c>
      <c r="P131" s="50" t="str">
        <f t="shared" si="9"/>
        <v/>
      </c>
      <c r="Q131" s="50" t="e">
        <f t="shared" si="10"/>
        <v>#REF!</v>
      </c>
    </row>
    <row r="132" spans="1:17">
      <c r="A132" s="2" t="s">
        <v>208</v>
      </c>
      <c r="B132" s="46">
        <v>4</v>
      </c>
      <c r="C132" s="46">
        <v>2022</v>
      </c>
      <c r="D132" s="46" t="s">
        <v>209</v>
      </c>
      <c r="E132" s="46" t="s">
        <v>209</v>
      </c>
      <c r="F132" s="31">
        <v>44774</v>
      </c>
      <c r="G132" s="46">
        <f t="shared" ref="G132:G195" si="12">DAY(EOMONTH(F132,0))</f>
        <v>31</v>
      </c>
      <c r="H132" s="47">
        <f t="shared" si="11"/>
        <v>44781</v>
      </c>
      <c r="I132" s="140">
        <f>_xlfn.XLOOKUP(Table12[[#This Row],[Month Year]],'Modelling New'!D:D,'Modelling New'!N:N)</f>
        <v>10.507</v>
      </c>
      <c r="J132" s="50" t="e">
        <f>'Raw Data'!#REF!/J$1</f>
        <v>#REF!</v>
      </c>
      <c r="K132" s="50" t="e">
        <f>'Raw Data'!#REF!/K$1</f>
        <v>#REF!</v>
      </c>
      <c r="L132" s="50" t="e">
        <f>'Raw Data'!#REF!/L$1</f>
        <v>#REF!</v>
      </c>
      <c r="M132" s="50" t="e">
        <f>'Raw Data'!#REF!/M$1</f>
        <v>#REF!</v>
      </c>
      <c r="N132" s="50" t="e">
        <f>'Raw Data'!#REF!/N$1</f>
        <v>#REF!</v>
      </c>
      <c r="O132" s="50" t="e">
        <f>'Raw Data'!#REF!/O$1</f>
        <v>#REF!</v>
      </c>
      <c r="P132" s="50" t="str">
        <f t="shared" si="9"/>
        <v/>
      </c>
      <c r="Q132" s="50" t="e">
        <f t="shared" si="10"/>
        <v>#REF!</v>
      </c>
    </row>
    <row r="133" spans="1:17">
      <c r="A133" s="2" t="s">
        <v>208</v>
      </c>
      <c r="B133" s="44">
        <v>4</v>
      </c>
      <c r="C133" s="44">
        <v>2022</v>
      </c>
      <c r="D133" s="44" t="s">
        <v>209</v>
      </c>
      <c r="E133" s="44" t="s">
        <v>209</v>
      </c>
      <c r="F133" s="31">
        <v>44774</v>
      </c>
      <c r="G133" s="44">
        <f t="shared" si="12"/>
        <v>31</v>
      </c>
      <c r="H133" s="45">
        <f t="shared" si="11"/>
        <v>44782</v>
      </c>
      <c r="I133" s="139">
        <f>_xlfn.XLOOKUP(Table12[[#This Row],[Month Year]],'Modelling New'!D:D,'Modelling New'!N:N)</f>
        <v>10.507</v>
      </c>
      <c r="J133" s="50" t="e">
        <f>'Raw Data'!#REF!/J$1</f>
        <v>#REF!</v>
      </c>
      <c r="K133" s="50" t="e">
        <f>'Raw Data'!#REF!/K$1</f>
        <v>#REF!</v>
      </c>
      <c r="L133" s="50" t="e">
        <f>'Raw Data'!#REF!/L$1</f>
        <v>#REF!</v>
      </c>
      <c r="M133" s="50" t="e">
        <f>'Raw Data'!#REF!/M$1</f>
        <v>#REF!</v>
      </c>
      <c r="N133" s="50" t="e">
        <f>'Raw Data'!#REF!/N$1</f>
        <v>#REF!</v>
      </c>
      <c r="O133" s="50" t="e">
        <f>'Raw Data'!#REF!/O$1</f>
        <v>#REF!</v>
      </c>
      <c r="P133" s="50" t="str">
        <f t="shared" si="9"/>
        <v/>
      </c>
      <c r="Q133" s="50" t="e">
        <f t="shared" si="10"/>
        <v>#REF!</v>
      </c>
    </row>
    <row r="134" spans="1:17">
      <c r="A134" s="2" t="s">
        <v>208</v>
      </c>
      <c r="B134" s="46">
        <v>4</v>
      </c>
      <c r="C134" s="46">
        <v>2022</v>
      </c>
      <c r="D134" s="46" t="s">
        <v>209</v>
      </c>
      <c r="E134" s="46" t="s">
        <v>209</v>
      </c>
      <c r="F134" s="31">
        <v>44774</v>
      </c>
      <c r="G134" s="46">
        <f t="shared" si="12"/>
        <v>31</v>
      </c>
      <c r="H134" s="47">
        <f t="shared" si="11"/>
        <v>44783</v>
      </c>
      <c r="I134" s="140">
        <f>_xlfn.XLOOKUP(Table12[[#This Row],[Month Year]],'Modelling New'!D:D,'Modelling New'!N:N)</f>
        <v>10.507</v>
      </c>
      <c r="J134" s="50" t="e">
        <f>'Raw Data'!#REF!/J$1</f>
        <v>#REF!</v>
      </c>
      <c r="K134" s="50" t="e">
        <f>'Raw Data'!#REF!/K$1</f>
        <v>#REF!</v>
      </c>
      <c r="L134" s="50" t="e">
        <f>'Raw Data'!#REF!/L$1</f>
        <v>#REF!</v>
      </c>
      <c r="M134" s="50" t="e">
        <f>'Raw Data'!#REF!/M$1</f>
        <v>#REF!</v>
      </c>
      <c r="N134" s="50" t="e">
        <f>'Raw Data'!#REF!/N$1</f>
        <v>#REF!</v>
      </c>
      <c r="O134" s="50" t="e">
        <f>'Raw Data'!#REF!/O$1</f>
        <v>#REF!</v>
      </c>
      <c r="P134" s="50" t="str">
        <f t="shared" si="9"/>
        <v/>
      </c>
      <c r="Q134" s="50" t="e">
        <f t="shared" si="10"/>
        <v>#REF!</v>
      </c>
    </row>
    <row r="135" spans="1:17">
      <c r="A135" s="2" t="s">
        <v>208</v>
      </c>
      <c r="B135" s="44">
        <v>4</v>
      </c>
      <c r="C135" s="44">
        <v>2022</v>
      </c>
      <c r="D135" s="44" t="s">
        <v>209</v>
      </c>
      <c r="E135" s="44" t="s">
        <v>209</v>
      </c>
      <c r="F135" s="31">
        <v>44774</v>
      </c>
      <c r="G135" s="44">
        <f t="shared" si="12"/>
        <v>31</v>
      </c>
      <c r="H135" s="45">
        <f t="shared" si="11"/>
        <v>44784</v>
      </c>
      <c r="I135" s="139">
        <f>_xlfn.XLOOKUP(Table12[[#This Row],[Month Year]],'Modelling New'!D:D,'Modelling New'!N:N)</f>
        <v>10.507</v>
      </c>
      <c r="J135" s="50" t="e">
        <f>'Raw Data'!#REF!/J$1</f>
        <v>#REF!</v>
      </c>
      <c r="K135" s="50" t="e">
        <f>'Raw Data'!#REF!/K$1</f>
        <v>#REF!</v>
      </c>
      <c r="L135" s="50" t="e">
        <f>'Raw Data'!#REF!/L$1</f>
        <v>#REF!</v>
      </c>
      <c r="M135" s="50" t="e">
        <f>'Raw Data'!#REF!/M$1</f>
        <v>#REF!</v>
      </c>
      <c r="N135" s="50" t="e">
        <f>'Raw Data'!#REF!/N$1</f>
        <v>#REF!</v>
      </c>
      <c r="O135" s="50" t="e">
        <f>'Raw Data'!#REF!/O$1</f>
        <v>#REF!</v>
      </c>
      <c r="P135" s="50" t="str">
        <f t="shared" si="9"/>
        <v/>
      </c>
      <c r="Q135" s="50" t="e">
        <f t="shared" si="10"/>
        <v>#REF!</v>
      </c>
    </row>
    <row r="136" spans="1:17">
      <c r="A136" s="2" t="s">
        <v>208</v>
      </c>
      <c r="B136" s="46">
        <v>4</v>
      </c>
      <c r="C136" s="46">
        <v>2022</v>
      </c>
      <c r="D136" s="46" t="s">
        <v>209</v>
      </c>
      <c r="E136" s="46" t="s">
        <v>209</v>
      </c>
      <c r="F136" s="31">
        <v>44774</v>
      </c>
      <c r="G136" s="46">
        <f t="shared" si="12"/>
        <v>31</v>
      </c>
      <c r="H136" s="47">
        <f t="shared" si="11"/>
        <v>44785</v>
      </c>
      <c r="I136" s="140">
        <f>_xlfn.XLOOKUP(Table12[[#This Row],[Month Year]],'Modelling New'!D:D,'Modelling New'!N:N)</f>
        <v>10.507</v>
      </c>
      <c r="J136" s="50" t="e">
        <f>'Raw Data'!#REF!/J$1</f>
        <v>#REF!</v>
      </c>
      <c r="K136" s="50" t="e">
        <f>'Raw Data'!#REF!/K$1</f>
        <v>#REF!</v>
      </c>
      <c r="L136" s="50" t="e">
        <f>'Raw Data'!#REF!/L$1</f>
        <v>#REF!</v>
      </c>
      <c r="M136" s="50" t="e">
        <f>'Raw Data'!#REF!/M$1</f>
        <v>#REF!</v>
      </c>
      <c r="N136" s="50" t="e">
        <f>'Raw Data'!#REF!/N$1</f>
        <v>#REF!</v>
      </c>
      <c r="O136" s="50" t="e">
        <f>'Raw Data'!#REF!/O$1</f>
        <v>#REF!</v>
      </c>
      <c r="P136" s="50" t="str">
        <f t="shared" si="9"/>
        <v/>
      </c>
      <c r="Q136" s="50" t="e">
        <f t="shared" si="10"/>
        <v>#REF!</v>
      </c>
    </row>
    <row r="137" spans="1:17">
      <c r="A137" s="2" t="s">
        <v>208</v>
      </c>
      <c r="B137" s="44">
        <v>4</v>
      </c>
      <c r="C137" s="44">
        <v>2022</v>
      </c>
      <c r="D137" s="44" t="s">
        <v>209</v>
      </c>
      <c r="E137" s="44" t="s">
        <v>209</v>
      </c>
      <c r="F137" s="31">
        <v>44774</v>
      </c>
      <c r="G137" s="44">
        <f t="shared" si="12"/>
        <v>31</v>
      </c>
      <c r="H137" s="45">
        <f t="shared" si="11"/>
        <v>44786</v>
      </c>
      <c r="I137" s="139">
        <f>_xlfn.XLOOKUP(Table12[[#This Row],[Month Year]],'Modelling New'!D:D,'Modelling New'!N:N)</f>
        <v>10.507</v>
      </c>
      <c r="J137" s="50" t="e">
        <f>'Raw Data'!#REF!/J$1</f>
        <v>#REF!</v>
      </c>
      <c r="K137" s="50" t="e">
        <f>'Raw Data'!#REF!/K$1</f>
        <v>#REF!</v>
      </c>
      <c r="L137" s="50" t="e">
        <f>'Raw Data'!#REF!/L$1</f>
        <v>#REF!</v>
      </c>
      <c r="M137" s="50" t="e">
        <f>'Raw Data'!#REF!/M$1</f>
        <v>#REF!</v>
      </c>
      <c r="N137" s="50" t="e">
        <f>'Raw Data'!#REF!/N$1</f>
        <v>#REF!</v>
      </c>
      <c r="O137" s="50" t="e">
        <f>'Raw Data'!#REF!/O$1</f>
        <v>#REF!</v>
      </c>
      <c r="P137" s="50" t="str">
        <f t="shared" si="9"/>
        <v/>
      </c>
      <c r="Q137" s="50" t="e">
        <f t="shared" si="10"/>
        <v>#REF!</v>
      </c>
    </row>
    <row r="138" spans="1:17">
      <c r="A138" s="2" t="s">
        <v>208</v>
      </c>
      <c r="B138" s="46">
        <v>4</v>
      </c>
      <c r="C138" s="46">
        <v>2022</v>
      </c>
      <c r="D138" s="46" t="s">
        <v>209</v>
      </c>
      <c r="E138" s="46" t="s">
        <v>209</v>
      </c>
      <c r="F138" s="31">
        <v>44774</v>
      </c>
      <c r="G138" s="46">
        <f t="shared" si="12"/>
        <v>31</v>
      </c>
      <c r="H138" s="47">
        <f t="shared" si="11"/>
        <v>44787</v>
      </c>
      <c r="I138" s="140">
        <f>_xlfn.XLOOKUP(Table12[[#This Row],[Month Year]],'Modelling New'!D:D,'Modelling New'!N:N)</f>
        <v>10.507</v>
      </c>
      <c r="J138" s="50" t="e">
        <f>'Raw Data'!#REF!/J$1</f>
        <v>#REF!</v>
      </c>
      <c r="K138" s="50" t="e">
        <f>'Raw Data'!#REF!/K$1</f>
        <v>#REF!</v>
      </c>
      <c r="L138" s="50" t="e">
        <f>'Raw Data'!#REF!/L$1</f>
        <v>#REF!</v>
      </c>
      <c r="M138" s="50" t="e">
        <f>'Raw Data'!#REF!/M$1</f>
        <v>#REF!</v>
      </c>
      <c r="N138" s="50" t="e">
        <f>'Raw Data'!#REF!/N$1</f>
        <v>#REF!</v>
      </c>
      <c r="O138" s="50" t="e">
        <f>'Raw Data'!#REF!/O$1</f>
        <v>#REF!</v>
      </c>
      <c r="P138" s="50" t="str">
        <f t="shared" si="9"/>
        <v/>
      </c>
      <c r="Q138" s="50" t="e">
        <f t="shared" si="10"/>
        <v>#REF!</v>
      </c>
    </row>
    <row r="139" spans="1:17">
      <c r="A139" s="2" t="s">
        <v>208</v>
      </c>
      <c r="B139" s="44">
        <v>4</v>
      </c>
      <c r="C139" s="44">
        <v>2022</v>
      </c>
      <c r="D139" s="44" t="s">
        <v>209</v>
      </c>
      <c r="E139" s="44" t="s">
        <v>209</v>
      </c>
      <c r="F139" s="31">
        <v>44774</v>
      </c>
      <c r="G139" s="44">
        <f t="shared" si="12"/>
        <v>31</v>
      </c>
      <c r="H139" s="45">
        <f t="shared" si="11"/>
        <v>44788</v>
      </c>
      <c r="I139" s="139">
        <f>_xlfn.XLOOKUP(Table12[[#This Row],[Month Year]],'Modelling New'!D:D,'Modelling New'!N:N)</f>
        <v>10.507</v>
      </c>
      <c r="J139" s="50" t="e">
        <f>'Raw Data'!#REF!/J$1</f>
        <v>#REF!</v>
      </c>
      <c r="K139" s="50" t="e">
        <f>'Raw Data'!#REF!/K$1</f>
        <v>#REF!</v>
      </c>
      <c r="L139" s="50" t="e">
        <f>'Raw Data'!#REF!/L$1</f>
        <v>#REF!</v>
      </c>
      <c r="M139" s="50" t="e">
        <f>'Raw Data'!#REF!/M$1</f>
        <v>#REF!</v>
      </c>
      <c r="N139" s="50" t="e">
        <f>'Raw Data'!#REF!/N$1</f>
        <v>#REF!</v>
      </c>
      <c r="O139" s="50" t="e">
        <f>'Raw Data'!#REF!/O$1</f>
        <v>#REF!</v>
      </c>
      <c r="P139" s="50" t="str">
        <f t="shared" si="9"/>
        <v/>
      </c>
      <c r="Q139" s="50" t="e">
        <f t="shared" si="10"/>
        <v>#REF!</v>
      </c>
    </row>
    <row r="140" spans="1:17">
      <c r="A140" s="2" t="s">
        <v>208</v>
      </c>
      <c r="B140" s="46">
        <v>4</v>
      </c>
      <c r="C140" s="46">
        <v>2022</v>
      </c>
      <c r="D140" s="46" t="s">
        <v>209</v>
      </c>
      <c r="E140" s="46" t="s">
        <v>209</v>
      </c>
      <c r="F140" s="31">
        <v>44774</v>
      </c>
      <c r="G140" s="46">
        <f t="shared" si="12"/>
        <v>31</v>
      </c>
      <c r="H140" s="47">
        <f t="shared" si="11"/>
        <v>44789</v>
      </c>
      <c r="I140" s="140">
        <f>_xlfn.XLOOKUP(Table12[[#This Row],[Month Year]],'Modelling New'!D:D,'Modelling New'!N:N)</f>
        <v>10.507</v>
      </c>
      <c r="J140" s="50" t="e">
        <f>'Raw Data'!#REF!/J$1</f>
        <v>#REF!</v>
      </c>
      <c r="K140" s="50" t="e">
        <f>'Raw Data'!#REF!/K$1</f>
        <v>#REF!</v>
      </c>
      <c r="L140" s="50" t="e">
        <f>'Raw Data'!#REF!/L$1</f>
        <v>#REF!</v>
      </c>
      <c r="M140" s="50" t="e">
        <f>'Raw Data'!#REF!/M$1</f>
        <v>#REF!</v>
      </c>
      <c r="N140" s="50" t="e">
        <f>'Raw Data'!#REF!/N$1</f>
        <v>#REF!</v>
      </c>
      <c r="O140" s="50" t="e">
        <f>'Raw Data'!#REF!/O$1</f>
        <v>#REF!</v>
      </c>
      <c r="P140" s="50" t="str">
        <f t="shared" si="9"/>
        <v/>
      </c>
      <c r="Q140" s="50" t="e">
        <f t="shared" si="10"/>
        <v>#REF!</v>
      </c>
    </row>
    <row r="141" spans="1:17">
      <c r="A141" s="2" t="s">
        <v>208</v>
      </c>
      <c r="B141" s="44">
        <v>4</v>
      </c>
      <c r="C141" s="44">
        <v>2022</v>
      </c>
      <c r="D141" s="44" t="s">
        <v>209</v>
      </c>
      <c r="E141" s="44" t="s">
        <v>209</v>
      </c>
      <c r="F141" s="31">
        <v>44774</v>
      </c>
      <c r="G141" s="44">
        <f t="shared" si="12"/>
        <v>31</v>
      </c>
      <c r="H141" s="45">
        <f t="shared" si="11"/>
        <v>44790</v>
      </c>
      <c r="I141" s="139">
        <f>_xlfn.XLOOKUP(Table12[[#This Row],[Month Year]],'Modelling New'!D:D,'Modelling New'!N:N)</f>
        <v>10.507</v>
      </c>
      <c r="J141" s="50" t="e">
        <f>'Raw Data'!#REF!/J$1</f>
        <v>#REF!</v>
      </c>
      <c r="K141" s="50" t="e">
        <f>'Raw Data'!#REF!/K$1</f>
        <v>#REF!</v>
      </c>
      <c r="L141" s="50" t="e">
        <f>'Raw Data'!#REF!/L$1</f>
        <v>#REF!</v>
      </c>
      <c r="M141" s="50" t="e">
        <f>'Raw Data'!#REF!/M$1</f>
        <v>#REF!</v>
      </c>
      <c r="N141" s="50" t="e">
        <f>'Raw Data'!#REF!/N$1</f>
        <v>#REF!</v>
      </c>
      <c r="O141" s="50" t="e">
        <f>'Raw Data'!#REF!/O$1</f>
        <v>#REF!</v>
      </c>
      <c r="P141" s="50" t="str">
        <f t="shared" si="9"/>
        <v/>
      </c>
      <c r="Q141" s="50" t="e">
        <f t="shared" si="10"/>
        <v>#REF!</v>
      </c>
    </row>
    <row r="142" spans="1:17">
      <c r="A142" s="2" t="s">
        <v>208</v>
      </c>
      <c r="B142" s="46">
        <v>4</v>
      </c>
      <c r="C142" s="46">
        <v>2022</v>
      </c>
      <c r="D142" s="46" t="s">
        <v>209</v>
      </c>
      <c r="E142" s="46" t="s">
        <v>209</v>
      </c>
      <c r="F142" s="31">
        <v>44774</v>
      </c>
      <c r="G142" s="46">
        <f t="shared" si="12"/>
        <v>31</v>
      </c>
      <c r="H142" s="47">
        <f t="shared" si="11"/>
        <v>44791</v>
      </c>
      <c r="I142" s="140">
        <f>_xlfn.XLOOKUP(Table12[[#This Row],[Month Year]],'Modelling New'!D:D,'Modelling New'!N:N)</f>
        <v>10.507</v>
      </c>
      <c r="J142" s="50" t="e">
        <f>'Raw Data'!#REF!/J$1</f>
        <v>#REF!</v>
      </c>
      <c r="K142" s="50" t="e">
        <f>'Raw Data'!#REF!/K$1</f>
        <v>#REF!</v>
      </c>
      <c r="L142" s="50" t="e">
        <f>'Raw Data'!#REF!/L$1</f>
        <v>#REF!</v>
      </c>
      <c r="M142" s="50" t="e">
        <f>'Raw Data'!#REF!/M$1</f>
        <v>#REF!</v>
      </c>
      <c r="N142" s="50" t="e">
        <f>'Raw Data'!#REF!/N$1</f>
        <v>#REF!</v>
      </c>
      <c r="O142" s="50" t="e">
        <f>'Raw Data'!#REF!/O$1</f>
        <v>#REF!</v>
      </c>
      <c r="P142" s="50" t="str">
        <f t="shared" si="9"/>
        <v/>
      </c>
      <c r="Q142" s="50" t="e">
        <f t="shared" si="10"/>
        <v>#REF!</v>
      </c>
    </row>
    <row r="143" spans="1:17">
      <c r="A143" s="2" t="s">
        <v>208</v>
      </c>
      <c r="B143" s="44">
        <v>4</v>
      </c>
      <c r="C143" s="44">
        <v>2022</v>
      </c>
      <c r="D143" s="44" t="s">
        <v>209</v>
      </c>
      <c r="E143" s="44" t="s">
        <v>209</v>
      </c>
      <c r="F143" s="31">
        <v>44774</v>
      </c>
      <c r="G143" s="44">
        <f t="shared" si="12"/>
        <v>31</v>
      </c>
      <c r="H143" s="45">
        <f t="shared" si="11"/>
        <v>44792</v>
      </c>
      <c r="I143" s="139">
        <f>_xlfn.XLOOKUP(Table12[[#This Row],[Month Year]],'Modelling New'!D:D,'Modelling New'!N:N)</f>
        <v>10.507</v>
      </c>
      <c r="J143" s="50" t="e">
        <f>'Raw Data'!#REF!/J$1</f>
        <v>#REF!</v>
      </c>
      <c r="K143" s="50" t="e">
        <f>'Raw Data'!#REF!/K$1</f>
        <v>#REF!</v>
      </c>
      <c r="L143" s="50" t="e">
        <f>'Raw Data'!#REF!/L$1</f>
        <v>#REF!</v>
      </c>
      <c r="M143" s="50" t="e">
        <f>'Raw Data'!#REF!/M$1</f>
        <v>#REF!</v>
      </c>
      <c r="N143" s="50" t="e">
        <f>'Raw Data'!#REF!/N$1</f>
        <v>#REF!</v>
      </c>
      <c r="O143" s="50" t="e">
        <f>'Raw Data'!#REF!/O$1</f>
        <v>#REF!</v>
      </c>
      <c r="P143" s="50" t="str">
        <f t="shared" si="9"/>
        <v/>
      </c>
      <c r="Q143" s="50" t="e">
        <f t="shared" si="10"/>
        <v>#REF!</v>
      </c>
    </row>
    <row r="144" spans="1:17">
      <c r="A144" s="2" t="s">
        <v>208</v>
      </c>
      <c r="B144" s="46">
        <v>4</v>
      </c>
      <c r="C144" s="46">
        <v>2022</v>
      </c>
      <c r="D144" s="46" t="s">
        <v>209</v>
      </c>
      <c r="E144" s="46" t="s">
        <v>209</v>
      </c>
      <c r="F144" s="31">
        <v>44774</v>
      </c>
      <c r="G144" s="46">
        <f t="shared" si="12"/>
        <v>31</v>
      </c>
      <c r="H144" s="47">
        <f t="shared" si="11"/>
        <v>44793</v>
      </c>
      <c r="I144" s="140">
        <f>_xlfn.XLOOKUP(Table12[[#This Row],[Month Year]],'Modelling New'!D:D,'Modelling New'!N:N)</f>
        <v>10.507</v>
      </c>
      <c r="J144" s="50" t="e">
        <f>'Raw Data'!#REF!/J$1</f>
        <v>#REF!</v>
      </c>
      <c r="K144" s="50" t="e">
        <f>'Raw Data'!#REF!/K$1</f>
        <v>#REF!</v>
      </c>
      <c r="L144" s="50" t="e">
        <f>'Raw Data'!#REF!/L$1</f>
        <v>#REF!</v>
      </c>
      <c r="M144" s="50" t="e">
        <f>'Raw Data'!#REF!/M$1</f>
        <v>#REF!</v>
      </c>
      <c r="N144" s="50" t="e">
        <f>'Raw Data'!#REF!/N$1</f>
        <v>#REF!</v>
      </c>
      <c r="O144" s="50" t="e">
        <f>'Raw Data'!#REF!/O$1</f>
        <v>#REF!</v>
      </c>
      <c r="P144" s="50" t="str">
        <f t="shared" si="9"/>
        <v/>
      </c>
      <c r="Q144" s="50" t="e">
        <f t="shared" si="10"/>
        <v>#REF!</v>
      </c>
    </row>
    <row r="145" spans="1:17">
      <c r="A145" s="2" t="s">
        <v>208</v>
      </c>
      <c r="B145" s="44">
        <v>4</v>
      </c>
      <c r="C145" s="44">
        <v>2022</v>
      </c>
      <c r="D145" s="44" t="s">
        <v>209</v>
      </c>
      <c r="E145" s="44" t="s">
        <v>209</v>
      </c>
      <c r="F145" s="31">
        <v>44774</v>
      </c>
      <c r="G145" s="44">
        <f t="shared" si="12"/>
        <v>31</v>
      </c>
      <c r="H145" s="45">
        <f t="shared" si="11"/>
        <v>44794</v>
      </c>
      <c r="I145" s="139">
        <f>_xlfn.XLOOKUP(Table12[[#This Row],[Month Year]],'Modelling New'!D:D,'Modelling New'!N:N)</f>
        <v>10.507</v>
      </c>
      <c r="J145" s="50" t="e">
        <f>'Raw Data'!#REF!/J$1</f>
        <v>#REF!</v>
      </c>
      <c r="K145" s="50" t="e">
        <f>'Raw Data'!#REF!/K$1</f>
        <v>#REF!</v>
      </c>
      <c r="L145" s="50" t="e">
        <f>'Raw Data'!#REF!/L$1</f>
        <v>#REF!</v>
      </c>
      <c r="M145" s="50" t="e">
        <f>'Raw Data'!#REF!/M$1</f>
        <v>#REF!</v>
      </c>
      <c r="N145" s="50" t="e">
        <f>'Raw Data'!#REF!/N$1</f>
        <v>#REF!</v>
      </c>
      <c r="O145" s="50" t="e">
        <f>'Raw Data'!#REF!/O$1</f>
        <v>#REF!</v>
      </c>
      <c r="P145" s="50" t="str">
        <f t="shared" si="9"/>
        <v/>
      </c>
      <c r="Q145" s="50" t="e">
        <f t="shared" si="10"/>
        <v>#REF!</v>
      </c>
    </row>
    <row r="146" spans="1:17">
      <c r="A146" s="2" t="s">
        <v>208</v>
      </c>
      <c r="B146" s="46">
        <v>4</v>
      </c>
      <c r="C146" s="46">
        <v>2022</v>
      </c>
      <c r="D146" s="46" t="s">
        <v>209</v>
      </c>
      <c r="E146" s="46" t="s">
        <v>209</v>
      </c>
      <c r="F146" s="31">
        <v>44774</v>
      </c>
      <c r="G146" s="46">
        <f t="shared" si="12"/>
        <v>31</v>
      </c>
      <c r="H146" s="47">
        <f t="shared" si="11"/>
        <v>44795</v>
      </c>
      <c r="I146" s="140">
        <f>_xlfn.XLOOKUP(Table12[[#This Row],[Month Year]],'Modelling New'!D:D,'Modelling New'!N:N)</f>
        <v>10.507</v>
      </c>
      <c r="J146" s="50" t="e">
        <f>'Raw Data'!#REF!/J$1</f>
        <v>#REF!</v>
      </c>
      <c r="K146" s="50" t="e">
        <f>'Raw Data'!#REF!/K$1</f>
        <v>#REF!</v>
      </c>
      <c r="L146" s="50" t="e">
        <f>'Raw Data'!#REF!/L$1</f>
        <v>#REF!</v>
      </c>
      <c r="M146" s="50" t="e">
        <f>'Raw Data'!#REF!/M$1</f>
        <v>#REF!</v>
      </c>
      <c r="N146" s="50" t="e">
        <f>'Raw Data'!#REF!/N$1</f>
        <v>#REF!</v>
      </c>
      <c r="O146" s="50" t="e">
        <f>'Raw Data'!#REF!/O$1</f>
        <v>#REF!</v>
      </c>
      <c r="P146" s="50" t="str">
        <f t="shared" si="9"/>
        <v/>
      </c>
      <c r="Q146" s="50" t="e">
        <f t="shared" si="10"/>
        <v>#REF!</v>
      </c>
    </row>
    <row r="147" spans="1:17">
      <c r="A147" s="2" t="s">
        <v>208</v>
      </c>
      <c r="B147" s="44">
        <v>4</v>
      </c>
      <c r="C147" s="44">
        <v>2022</v>
      </c>
      <c r="D147" s="44" t="s">
        <v>209</v>
      </c>
      <c r="E147" s="44" t="s">
        <v>209</v>
      </c>
      <c r="F147" s="31">
        <v>44774</v>
      </c>
      <c r="G147" s="44">
        <f t="shared" si="12"/>
        <v>31</v>
      </c>
      <c r="H147" s="45">
        <f t="shared" si="11"/>
        <v>44796</v>
      </c>
      <c r="I147" s="139">
        <f>_xlfn.XLOOKUP(Table12[[#This Row],[Month Year]],'Modelling New'!D:D,'Modelling New'!N:N)</f>
        <v>10.507</v>
      </c>
      <c r="J147" s="50" t="e">
        <f>'Raw Data'!#REF!/J$1</f>
        <v>#REF!</v>
      </c>
      <c r="K147" s="50" t="e">
        <f>'Raw Data'!#REF!/K$1</f>
        <v>#REF!</v>
      </c>
      <c r="L147" s="50" t="e">
        <f>'Raw Data'!#REF!/L$1</f>
        <v>#REF!</v>
      </c>
      <c r="M147" s="50" t="e">
        <f>'Raw Data'!#REF!/M$1</f>
        <v>#REF!</v>
      </c>
      <c r="N147" s="50" t="e">
        <f>'Raw Data'!#REF!/N$1</f>
        <v>#REF!</v>
      </c>
      <c r="O147" s="50" t="e">
        <f>'Raw Data'!#REF!/O$1</f>
        <v>#REF!</v>
      </c>
      <c r="P147" s="50" t="str">
        <f t="shared" si="9"/>
        <v/>
      </c>
      <c r="Q147" s="50" t="e">
        <f t="shared" si="10"/>
        <v>#REF!</v>
      </c>
    </row>
    <row r="148" spans="1:17">
      <c r="A148" s="2" t="s">
        <v>208</v>
      </c>
      <c r="B148" s="46">
        <v>4</v>
      </c>
      <c r="C148" s="46">
        <v>2022</v>
      </c>
      <c r="D148" s="46" t="s">
        <v>209</v>
      </c>
      <c r="E148" s="46" t="s">
        <v>209</v>
      </c>
      <c r="F148" s="31">
        <v>44774</v>
      </c>
      <c r="G148" s="46">
        <f t="shared" si="12"/>
        <v>31</v>
      </c>
      <c r="H148" s="47">
        <f t="shared" si="11"/>
        <v>44797</v>
      </c>
      <c r="I148" s="140">
        <f>_xlfn.XLOOKUP(Table12[[#This Row],[Month Year]],'Modelling New'!D:D,'Modelling New'!N:N)</f>
        <v>10.507</v>
      </c>
      <c r="J148" s="50" t="e">
        <f>'Raw Data'!#REF!/J$1</f>
        <v>#REF!</v>
      </c>
      <c r="K148" s="50" t="e">
        <f>'Raw Data'!#REF!/K$1</f>
        <v>#REF!</v>
      </c>
      <c r="L148" s="50" t="e">
        <f>'Raw Data'!#REF!/L$1</f>
        <v>#REF!</v>
      </c>
      <c r="M148" s="50" t="e">
        <f>'Raw Data'!#REF!/M$1</f>
        <v>#REF!</v>
      </c>
      <c r="N148" s="50" t="e">
        <f>'Raw Data'!#REF!/N$1</f>
        <v>#REF!</v>
      </c>
      <c r="O148" s="50" t="e">
        <f>'Raw Data'!#REF!/O$1</f>
        <v>#REF!</v>
      </c>
      <c r="P148" s="50" t="str">
        <f t="shared" si="9"/>
        <v/>
      </c>
      <c r="Q148" s="50" t="e">
        <f t="shared" si="10"/>
        <v>#REF!</v>
      </c>
    </row>
    <row r="149" spans="1:17">
      <c r="A149" s="2" t="s">
        <v>208</v>
      </c>
      <c r="B149" s="44">
        <v>4</v>
      </c>
      <c r="C149" s="44">
        <v>2022</v>
      </c>
      <c r="D149" s="44" t="s">
        <v>209</v>
      </c>
      <c r="E149" s="44" t="s">
        <v>209</v>
      </c>
      <c r="F149" s="31">
        <v>44774</v>
      </c>
      <c r="G149" s="44">
        <f t="shared" si="12"/>
        <v>31</v>
      </c>
      <c r="H149" s="45">
        <f t="shared" si="11"/>
        <v>44798</v>
      </c>
      <c r="I149" s="139">
        <f>_xlfn.XLOOKUP(Table12[[#This Row],[Month Year]],'Modelling New'!D:D,'Modelling New'!N:N)</f>
        <v>10.507</v>
      </c>
      <c r="J149" s="50" t="e">
        <f>'Raw Data'!#REF!/J$1</f>
        <v>#REF!</v>
      </c>
      <c r="K149" s="50" t="e">
        <f>'Raw Data'!#REF!/K$1</f>
        <v>#REF!</v>
      </c>
      <c r="L149" s="50" t="e">
        <f>'Raw Data'!#REF!/L$1</f>
        <v>#REF!</v>
      </c>
      <c r="M149" s="50" t="e">
        <f>'Raw Data'!#REF!/M$1</f>
        <v>#REF!</v>
      </c>
      <c r="N149" s="50" t="e">
        <f>'Raw Data'!#REF!/N$1</f>
        <v>#REF!</v>
      </c>
      <c r="O149" s="50" t="e">
        <f>'Raw Data'!#REF!/O$1</f>
        <v>#REF!</v>
      </c>
      <c r="P149" s="50" t="str">
        <f t="shared" si="9"/>
        <v/>
      </c>
      <c r="Q149" s="50" t="e">
        <f t="shared" si="10"/>
        <v>#REF!</v>
      </c>
    </row>
    <row r="150" spans="1:17">
      <c r="A150" s="2" t="s">
        <v>208</v>
      </c>
      <c r="B150" s="46">
        <v>4</v>
      </c>
      <c r="C150" s="46">
        <v>2022</v>
      </c>
      <c r="D150" s="46" t="s">
        <v>209</v>
      </c>
      <c r="E150" s="46" t="s">
        <v>209</v>
      </c>
      <c r="F150" s="31">
        <v>44774</v>
      </c>
      <c r="G150" s="46">
        <f t="shared" si="12"/>
        <v>31</v>
      </c>
      <c r="H150" s="47">
        <f t="shared" si="11"/>
        <v>44799</v>
      </c>
      <c r="I150" s="140">
        <f>_xlfn.XLOOKUP(Table12[[#This Row],[Month Year]],'Modelling New'!D:D,'Modelling New'!N:N)</f>
        <v>10.507</v>
      </c>
      <c r="J150" s="50" t="e">
        <f>'Raw Data'!#REF!/J$1</f>
        <v>#REF!</v>
      </c>
      <c r="K150" s="50" t="e">
        <f>'Raw Data'!#REF!/K$1</f>
        <v>#REF!</v>
      </c>
      <c r="L150" s="50" t="e">
        <f>'Raw Data'!#REF!/L$1</f>
        <v>#REF!</v>
      </c>
      <c r="M150" s="50" t="e">
        <f>'Raw Data'!#REF!/M$1</f>
        <v>#REF!</v>
      </c>
      <c r="N150" s="50" t="e">
        <f>'Raw Data'!#REF!/N$1</f>
        <v>#REF!</v>
      </c>
      <c r="O150" s="50" t="e">
        <f>'Raw Data'!#REF!/O$1</f>
        <v>#REF!</v>
      </c>
      <c r="P150" s="50" t="str">
        <f t="shared" si="9"/>
        <v/>
      </c>
      <c r="Q150" s="50" t="e">
        <f t="shared" si="10"/>
        <v>#REF!</v>
      </c>
    </row>
    <row r="151" spans="1:17">
      <c r="A151" s="2" t="s">
        <v>208</v>
      </c>
      <c r="B151" s="44">
        <v>4</v>
      </c>
      <c r="C151" s="44">
        <v>2022</v>
      </c>
      <c r="D151" s="44" t="s">
        <v>209</v>
      </c>
      <c r="E151" s="44" t="s">
        <v>209</v>
      </c>
      <c r="F151" s="31">
        <v>44774</v>
      </c>
      <c r="G151" s="44">
        <f t="shared" si="12"/>
        <v>31</v>
      </c>
      <c r="H151" s="45">
        <f t="shared" si="11"/>
        <v>44800</v>
      </c>
      <c r="I151" s="139">
        <f>_xlfn.XLOOKUP(Table12[[#This Row],[Month Year]],'Modelling New'!D:D,'Modelling New'!N:N)</f>
        <v>10.507</v>
      </c>
      <c r="J151" s="50" t="e">
        <f>'Raw Data'!#REF!/J$1</f>
        <v>#REF!</v>
      </c>
      <c r="K151" s="50" t="e">
        <f>'Raw Data'!#REF!/K$1</f>
        <v>#REF!</v>
      </c>
      <c r="L151" s="50" t="e">
        <f>'Raw Data'!#REF!/L$1</f>
        <v>#REF!</v>
      </c>
      <c r="M151" s="50" t="e">
        <f>'Raw Data'!#REF!/M$1</f>
        <v>#REF!</v>
      </c>
      <c r="N151" s="50" t="e">
        <f>'Raw Data'!#REF!/N$1</f>
        <v>#REF!</v>
      </c>
      <c r="O151" s="50" t="e">
        <f>'Raw Data'!#REF!/O$1</f>
        <v>#REF!</v>
      </c>
      <c r="P151" s="50" t="str">
        <f t="shared" si="9"/>
        <v/>
      </c>
      <c r="Q151" s="50" t="e">
        <f t="shared" si="10"/>
        <v>#REF!</v>
      </c>
    </row>
    <row r="152" spans="1:17">
      <c r="A152" s="2" t="s">
        <v>208</v>
      </c>
      <c r="B152" s="46">
        <v>4</v>
      </c>
      <c r="C152" s="46">
        <v>2022</v>
      </c>
      <c r="D152" s="46" t="s">
        <v>209</v>
      </c>
      <c r="E152" s="46" t="s">
        <v>209</v>
      </c>
      <c r="F152" s="31">
        <v>44774</v>
      </c>
      <c r="G152" s="46">
        <f t="shared" si="12"/>
        <v>31</v>
      </c>
      <c r="H152" s="47">
        <f t="shared" si="11"/>
        <v>44801</v>
      </c>
      <c r="I152" s="140">
        <f>_xlfn.XLOOKUP(Table12[[#This Row],[Month Year]],'Modelling New'!D:D,'Modelling New'!N:N)</f>
        <v>10.507</v>
      </c>
      <c r="J152" s="50" t="e">
        <f>'Raw Data'!#REF!/J$1</f>
        <v>#REF!</v>
      </c>
      <c r="K152" s="50" t="e">
        <f>'Raw Data'!#REF!/K$1</f>
        <v>#REF!</v>
      </c>
      <c r="L152" s="50" t="e">
        <f>'Raw Data'!#REF!/L$1</f>
        <v>#REF!</v>
      </c>
      <c r="M152" s="50" t="e">
        <f>'Raw Data'!#REF!/M$1</f>
        <v>#REF!</v>
      </c>
      <c r="N152" s="50" t="e">
        <f>'Raw Data'!#REF!/N$1</f>
        <v>#REF!</v>
      </c>
      <c r="O152" s="50" t="e">
        <f>'Raw Data'!#REF!/O$1</f>
        <v>#REF!</v>
      </c>
      <c r="P152" s="50" t="str">
        <f t="shared" si="9"/>
        <v/>
      </c>
      <c r="Q152" s="50" t="e">
        <f t="shared" si="10"/>
        <v>#REF!</v>
      </c>
    </row>
    <row r="153" spans="1:17">
      <c r="A153" s="2" t="s">
        <v>208</v>
      </c>
      <c r="B153" s="44">
        <v>4</v>
      </c>
      <c r="C153" s="44">
        <v>2022</v>
      </c>
      <c r="D153" s="44" t="s">
        <v>209</v>
      </c>
      <c r="E153" s="44" t="s">
        <v>209</v>
      </c>
      <c r="F153" s="31">
        <v>44774</v>
      </c>
      <c r="G153" s="44">
        <f t="shared" si="12"/>
        <v>31</v>
      </c>
      <c r="H153" s="45">
        <f t="shared" si="11"/>
        <v>44802</v>
      </c>
      <c r="I153" s="139">
        <f>_xlfn.XLOOKUP(Table12[[#This Row],[Month Year]],'Modelling New'!D:D,'Modelling New'!N:N)</f>
        <v>10.507</v>
      </c>
      <c r="J153" s="50" t="e">
        <f>'Raw Data'!#REF!/J$1</f>
        <v>#REF!</v>
      </c>
      <c r="K153" s="50" t="e">
        <f>'Raw Data'!#REF!/K$1</f>
        <v>#REF!</v>
      </c>
      <c r="L153" s="50" t="e">
        <f>'Raw Data'!#REF!/L$1</f>
        <v>#REF!</v>
      </c>
      <c r="M153" s="50" t="e">
        <f>'Raw Data'!#REF!/M$1</f>
        <v>#REF!</v>
      </c>
      <c r="N153" s="50" t="e">
        <f>'Raw Data'!#REF!/N$1</f>
        <v>#REF!</v>
      </c>
      <c r="O153" s="50" t="e">
        <f>'Raw Data'!#REF!/O$1</f>
        <v>#REF!</v>
      </c>
      <c r="P153" s="50" t="str">
        <f t="shared" si="9"/>
        <v/>
      </c>
      <c r="Q153" s="50" t="e">
        <f t="shared" si="10"/>
        <v>#REF!</v>
      </c>
    </row>
    <row r="154" spans="1:17">
      <c r="A154" s="2" t="s">
        <v>208</v>
      </c>
      <c r="B154" s="46">
        <v>4</v>
      </c>
      <c r="C154" s="46">
        <v>2022</v>
      </c>
      <c r="D154" s="46" t="s">
        <v>209</v>
      </c>
      <c r="E154" s="46" t="s">
        <v>209</v>
      </c>
      <c r="F154" s="31">
        <v>44774</v>
      </c>
      <c r="G154" s="46">
        <f t="shared" si="12"/>
        <v>31</v>
      </c>
      <c r="H154" s="47">
        <f t="shared" si="11"/>
        <v>44803</v>
      </c>
      <c r="I154" s="140">
        <f>_xlfn.XLOOKUP(Table12[[#This Row],[Month Year]],'Modelling New'!D:D,'Modelling New'!N:N)</f>
        <v>10.507</v>
      </c>
      <c r="J154" s="50" t="e">
        <f>'Raw Data'!#REF!/J$1</f>
        <v>#REF!</v>
      </c>
      <c r="K154" s="50" t="e">
        <f>'Raw Data'!#REF!/K$1</f>
        <v>#REF!</v>
      </c>
      <c r="L154" s="50" t="e">
        <f>'Raw Data'!#REF!/L$1</f>
        <v>#REF!</v>
      </c>
      <c r="M154" s="50" t="e">
        <f>'Raw Data'!#REF!/M$1</f>
        <v>#REF!</v>
      </c>
      <c r="N154" s="50" t="e">
        <f>'Raw Data'!#REF!/N$1</f>
        <v>#REF!</v>
      </c>
      <c r="O154" s="50" t="e">
        <f>'Raw Data'!#REF!/O$1</f>
        <v>#REF!</v>
      </c>
      <c r="P154" s="50" t="str">
        <f t="shared" si="9"/>
        <v/>
      </c>
      <c r="Q154" s="50" t="e">
        <f t="shared" si="10"/>
        <v>#REF!</v>
      </c>
    </row>
    <row r="155" spans="1:17">
      <c r="A155" s="2" t="s">
        <v>208</v>
      </c>
      <c r="B155" s="44">
        <v>4</v>
      </c>
      <c r="C155" s="44">
        <v>2022</v>
      </c>
      <c r="D155" s="44" t="s">
        <v>209</v>
      </c>
      <c r="E155" s="44" t="s">
        <v>209</v>
      </c>
      <c r="F155" s="31">
        <v>44774</v>
      </c>
      <c r="G155" s="44">
        <f t="shared" si="12"/>
        <v>31</v>
      </c>
      <c r="H155" s="45">
        <f t="shared" si="11"/>
        <v>44804</v>
      </c>
      <c r="I155" s="139">
        <f>_xlfn.XLOOKUP(Table12[[#This Row],[Month Year]],'Modelling New'!D:D,'Modelling New'!N:N)</f>
        <v>10.507</v>
      </c>
      <c r="J155" s="50" t="e">
        <f>'Raw Data'!#REF!/J$1</f>
        <v>#REF!</v>
      </c>
      <c r="K155" s="50" t="e">
        <f>'Raw Data'!#REF!/K$1</f>
        <v>#REF!</v>
      </c>
      <c r="L155" s="50" t="e">
        <f>'Raw Data'!#REF!/L$1</f>
        <v>#REF!</v>
      </c>
      <c r="M155" s="50" t="e">
        <f>'Raw Data'!#REF!/M$1</f>
        <v>#REF!</v>
      </c>
      <c r="N155" s="50" t="e">
        <f>'Raw Data'!#REF!/N$1</f>
        <v>#REF!</v>
      </c>
      <c r="O155" s="50" t="e">
        <f>'Raw Data'!#REF!/O$1</f>
        <v>#REF!</v>
      </c>
      <c r="P155" s="50" t="str">
        <f t="shared" si="9"/>
        <v/>
      </c>
      <c r="Q155" s="50" t="e">
        <f t="shared" si="10"/>
        <v>#REF!</v>
      </c>
    </row>
    <row r="156" spans="1:17">
      <c r="A156" s="2" t="s">
        <v>208</v>
      </c>
      <c r="B156" s="46">
        <v>4</v>
      </c>
      <c r="C156" s="46">
        <v>2022</v>
      </c>
      <c r="D156" s="46" t="s">
        <v>209</v>
      </c>
      <c r="E156" s="46" t="s">
        <v>209</v>
      </c>
      <c r="F156" s="31">
        <v>44805</v>
      </c>
      <c r="G156" s="46">
        <f t="shared" si="12"/>
        <v>30</v>
      </c>
      <c r="H156" s="47">
        <f t="shared" si="11"/>
        <v>44805</v>
      </c>
      <c r="I156" s="140">
        <f>_xlfn.XLOOKUP(Table12[[#This Row],[Month Year]],'Modelling New'!D:D,'Modelling New'!N:N)</f>
        <v>10.507</v>
      </c>
      <c r="J156" s="50" t="e">
        <f>'Raw Data'!#REF!/J$1</f>
        <v>#REF!</v>
      </c>
      <c r="K156" s="50" t="e">
        <f>'Raw Data'!#REF!/K$1</f>
        <v>#REF!</v>
      </c>
      <c r="L156" s="50" t="e">
        <f>'Raw Data'!#REF!/L$1</f>
        <v>#REF!</v>
      </c>
      <c r="M156" s="50" t="e">
        <f>'Raw Data'!#REF!/M$1</f>
        <v>#REF!</v>
      </c>
      <c r="N156" s="50" t="e">
        <f>'Raw Data'!#REF!/N$1</f>
        <v>#REF!</v>
      </c>
      <c r="O156" s="50" t="e">
        <f>'Raw Data'!#REF!/O$1</f>
        <v>#REF!</v>
      </c>
      <c r="P156" s="50" t="str">
        <f t="shared" si="9"/>
        <v/>
      </c>
      <c r="Q156" s="50" t="e">
        <f t="shared" si="10"/>
        <v>#REF!</v>
      </c>
    </row>
    <row r="157" spans="1:17">
      <c r="A157" s="2" t="s">
        <v>208</v>
      </c>
      <c r="B157" s="44">
        <v>4</v>
      </c>
      <c r="C157" s="44">
        <v>2022</v>
      </c>
      <c r="D157" s="44" t="s">
        <v>209</v>
      </c>
      <c r="E157" s="44" t="s">
        <v>209</v>
      </c>
      <c r="F157" s="31">
        <v>44805</v>
      </c>
      <c r="G157" s="44">
        <f t="shared" si="12"/>
        <v>30</v>
      </c>
      <c r="H157" s="45">
        <f t="shared" si="11"/>
        <v>44806</v>
      </c>
      <c r="I157" s="139">
        <f>_xlfn.XLOOKUP(Table12[[#This Row],[Month Year]],'Modelling New'!D:D,'Modelling New'!N:N)</f>
        <v>10.507</v>
      </c>
      <c r="J157" s="50" t="e">
        <f>'Raw Data'!#REF!/J$1</f>
        <v>#REF!</v>
      </c>
      <c r="K157" s="50" t="e">
        <f>'Raw Data'!#REF!/K$1</f>
        <v>#REF!</v>
      </c>
      <c r="L157" s="50" t="e">
        <f>'Raw Data'!#REF!/L$1</f>
        <v>#REF!</v>
      </c>
      <c r="M157" s="50" t="e">
        <f>'Raw Data'!#REF!/M$1</f>
        <v>#REF!</v>
      </c>
      <c r="N157" s="50" t="e">
        <f>'Raw Data'!#REF!/N$1</f>
        <v>#REF!</v>
      </c>
      <c r="O157" s="50" t="e">
        <f>'Raw Data'!#REF!/O$1</f>
        <v>#REF!</v>
      </c>
      <c r="P157" s="50" t="str">
        <f t="shared" si="9"/>
        <v/>
      </c>
      <c r="Q157" s="50" t="e">
        <f t="shared" si="10"/>
        <v>#REF!</v>
      </c>
    </row>
    <row r="158" spans="1:17">
      <c r="A158" s="2" t="s">
        <v>208</v>
      </c>
      <c r="B158" s="46">
        <v>4</v>
      </c>
      <c r="C158" s="46">
        <v>2022</v>
      </c>
      <c r="D158" s="46" t="s">
        <v>209</v>
      </c>
      <c r="E158" s="46" t="s">
        <v>209</v>
      </c>
      <c r="F158" s="31">
        <v>44805</v>
      </c>
      <c r="G158" s="46">
        <f t="shared" si="12"/>
        <v>30</v>
      </c>
      <c r="H158" s="47">
        <f t="shared" si="11"/>
        <v>44807</v>
      </c>
      <c r="I158" s="140">
        <f>_xlfn.XLOOKUP(Table12[[#This Row],[Month Year]],'Modelling New'!D:D,'Modelling New'!N:N)</f>
        <v>10.507</v>
      </c>
      <c r="J158" s="50" t="e">
        <f>'Raw Data'!#REF!/J$1</f>
        <v>#REF!</v>
      </c>
      <c r="K158" s="50" t="e">
        <f>'Raw Data'!#REF!/K$1</f>
        <v>#REF!</v>
      </c>
      <c r="L158" s="50" t="e">
        <f>'Raw Data'!#REF!/L$1</f>
        <v>#REF!</v>
      </c>
      <c r="M158" s="50" t="e">
        <f>'Raw Data'!#REF!/M$1</f>
        <v>#REF!</v>
      </c>
      <c r="N158" s="50" t="e">
        <f>'Raw Data'!#REF!/N$1</f>
        <v>#REF!</v>
      </c>
      <c r="O158" s="50" t="e">
        <f>'Raw Data'!#REF!/O$1</f>
        <v>#REF!</v>
      </c>
      <c r="P158" s="50" t="str">
        <f t="shared" si="9"/>
        <v/>
      </c>
      <c r="Q158" s="50" t="e">
        <f t="shared" si="10"/>
        <v>#REF!</v>
      </c>
    </row>
    <row r="159" spans="1:17">
      <c r="A159" s="2" t="s">
        <v>208</v>
      </c>
      <c r="B159" s="44">
        <v>4</v>
      </c>
      <c r="C159" s="44">
        <v>2022</v>
      </c>
      <c r="D159" s="44" t="s">
        <v>209</v>
      </c>
      <c r="E159" s="44" t="s">
        <v>209</v>
      </c>
      <c r="F159" s="31">
        <v>44805</v>
      </c>
      <c r="G159" s="44">
        <f t="shared" si="12"/>
        <v>30</v>
      </c>
      <c r="H159" s="45">
        <f t="shared" si="11"/>
        <v>44808</v>
      </c>
      <c r="I159" s="139">
        <f>_xlfn.XLOOKUP(Table12[[#This Row],[Month Year]],'Modelling New'!D:D,'Modelling New'!N:N)</f>
        <v>10.507</v>
      </c>
      <c r="J159" s="50" t="e">
        <f>'Raw Data'!#REF!/J$1</f>
        <v>#REF!</v>
      </c>
      <c r="K159" s="50" t="e">
        <f>'Raw Data'!#REF!/K$1</f>
        <v>#REF!</v>
      </c>
      <c r="L159" s="50" t="e">
        <f>'Raw Data'!#REF!/L$1</f>
        <v>#REF!</v>
      </c>
      <c r="M159" s="50" t="e">
        <f>'Raw Data'!#REF!/M$1</f>
        <v>#REF!</v>
      </c>
      <c r="N159" s="50" t="e">
        <f>'Raw Data'!#REF!/N$1</f>
        <v>#REF!</v>
      </c>
      <c r="O159" s="50" t="e">
        <f>'Raw Data'!#REF!/O$1</f>
        <v>#REF!</v>
      </c>
      <c r="P159" s="50" t="str">
        <f t="shared" si="9"/>
        <v/>
      </c>
      <c r="Q159" s="50" t="e">
        <f t="shared" si="10"/>
        <v>#REF!</v>
      </c>
    </row>
    <row r="160" spans="1:17">
      <c r="A160" s="2" t="s">
        <v>208</v>
      </c>
      <c r="B160" s="46">
        <v>4</v>
      </c>
      <c r="C160" s="46">
        <v>2022</v>
      </c>
      <c r="D160" s="46" t="s">
        <v>209</v>
      </c>
      <c r="E160" s="46" t="s">
        <v>209</v>
      </c>
      <c r="F160" s="31">
        <v>44805</v>
      </c>
      <c r="G160" s="46">
        <f t="shared" si="12"/>
        <v>30</v>
      </c>
      <c r="H160" s="47">
        <f t="shared" si="11"/>
        <v>44809</v>
      </c>
      <c r="I160" s="140">
        <f>_xlfn.XLOOKUP(Table12[[#This Row],[Month Year]],'Modelling New'!D:D,'Modelling New'!N:N)</f>
        <v>10.507</v>
      </c>
      <c r="J160" s="50" t="e">
        <f>'Raw Data'!#REF!/J$1</f>
        <v>#REF!</v>
      </c>
      <c r="K160" s="50" t="e">
        <f>'Raw Data'!#REF!/K$1</f>
        <v>#REF!</v>
      </c>
      <c r="L160" s="50" t="e">
        <f>'Raw Data'!#REF!/L$1</f>
        <v>#REF!</v>
      </c>
      <c r="M160" s="50" t="e">
        <f>'Raw Data'!#REF!/M$1</f>
        <v>#REF!</v>
      </c>
      <c r="N160" s="50" t="e">
        <f>'Raw Data'!#REF!/N$1</f>
        <v>#REF!</v>
      </c>
      <c r="O160" s="50" t="e">
        <f>'Raw Data'!#REF!/O$1</f>
        <v>#REF!</v>
      </c>
      <c r="P160" s="50" t="str">
        <f t="shared" si="9"/>
        <v/>
      </c>
      <c r="Q160" s="50" t="e">
        <f t="shared" si="10"/>
        <v>#REF!</v>
      </c>
    </row>
    <row r="161" spans="1:17">
      <c r="A161" s="2" t="s">
        <v>208</v>
      </c>
      <c r="B161" s="44">
        <v>4</v>
      </c>
      <c r="C161" s="44">
        <v>2022</v>
      </c>
      <c r="D161" s="44" t="s">
        <v>209</v>
      </c>
      <c r="E161" s="44" t="s">
        <v>209</v>
      </c>
      <c r="F161" s="31">
        <v>44805</v>
      </c>
      <c r="G161" s="44">
        <f t="shared" si="12"/>
        <v>30</v>
      </c>
      <c r="H161" s="45">
        <f t="shared" si="11"/>
        <v>44810</v>
      </c>
      <c r="I161" s="139">
        <f>_xlfn.XLOOKUP(Table12[[#This Row],[Month Year]],'Modelling New'!D:D,'Modelling New'!N:N)</f>
        <v>10.507</v>
      </c>
      <c r="J161" s="50" t="e">
        <f>'Raw Data'!#REF!/J$1</f>
        <v>#REF!</v>
      </c>
      <c r="K161" s="50" t="e">
        <f>'Raw Data'!#REF!/K$1</f>
        <v>#REF!</v>
      </c>
      <c r="L161" s="50" t="e">
        <f>'Raw Data'!#REF!/L$1</f>
        <v>#REF!</v>
      </c>
      <c r="M161" s="50" t="e">
        <f>'Raw Data'!#REF!/M$1</f>
        <v>#REF!</v>
      </c>
      <c r="N161" s="50" t="e">
        <f>'Raw Data'!#REF!/N$1</f>
        <v>#REF!</v>
      </c>
      <c r="O161" s="50" t="e">
        <f>'Raw Data'!#REF!/O$1</f>
        <v>#REF!</v>
      </c>
      <c r="P161" s="50" t="str">
        <f t="shared" si="9"/>
        <v/>
      </c>
      <c r="Q161" s="50" t="e">
        <f t="shared" si="10"/>
        <v>#REF!</v>
      </c>
    </row>
    <row r="162" spans="1:17">
      <c r="A162" s="2" t="s">
        <v>208</v>
      </c>
      <c r="B162" s="46">
        <v>4</v>
      </c>
      <c r="C162" s="46">
        <v>2022</v>
      </c>
      <c r="D162" s="46" t="s">
        <v>209</v>
      </c>
      <c r="E162" s="46" t="s">
        <v>209</v>
      </c>
      <c r="F162" s="31">
        <v>44805</v>
      </c>
      <c r="G162" s="46">
        <f t="shared" si="12"/>
        <v>30</v>
      </c>
      <c r="H162" s="47">
        <f t="shared" si="11"/>
        <v>44811</v>
      </c>
      <c r="I162" s="140">
        <f>_xlfn.XLOOKUP(Table12[[#This Row],[Month Year]],'Modelling New'!D:D,'Modelling New'!N:N)</f>
        <v>10.507</v>
      </c>
      <c r="J162" s="50" t="e">
        <f>'Raw Data'!#REF!/J$1</f>
        <v>#REF!</v>
      </c>
      <c r="K162" s="50" t="e">
        <f>'Raw Data'!#REF!/K$1</f>
        <v>#REF!</v>
      </c>
      <c r="L162" s="50" t="e">
        <f>'Raw Data'!#REF!/L$1</f>
        <v>#REF!</v>
      </c>
      <c r="M162" s="50" t="e">
        <f>'Raw Data'!#REF!/M$1</f>
        <v>#REF!</v>
      </c>
      <c r="N162" s="50" t="e">
        <f>'Raw Data'!#REF!/N$1</f>
        <v>#REF!</v>
      </c>
      <c r="O162" s="50" t="e">
        <f>'Raw Data'!#REF!/O$1</f>
        <v>#REF!</v>
      </c>
      <c r="P162" s="50" t="str">
        <f t="shared" ref="P162:P225" si="13">IFERROR(AVERAGEIF(J162:O162,"&gt;"&amp;0,J162:O162),"")</f>
        <v/>
      </c>
      <c r="Q162" s="50" t="e">
        <f t="shared" ref="Q162:Q225" si="14">MAXA(J162:O162)</f>
        <v>#REF!</v>
      </c>
    </row>
    <row r="163" spans="1:17">
      <c r="A163" s="2" t="s">
        <v>208</v>
      </c>
      <c r="B163" s="44">
        <v>4</v>
      </c>
      <c r="C163" s="44">
        <v>2022</v>
      </c>
      <c r="D163" s="44" t="s">
        <v>209</v>
      </c>
      <c r="E163" s="44" t="s">
        <v>209</v>
      </c>
      <c r="F163" s="31">
        <v>44805</v>
      </c>
      <c r="G163" s="44">
        <f t="shared" si="12"/>
        <v>30</v>
      </c>
      <c r="H163" s="45">
        <f t="shared" si="11"/>
        <v>44812</v>
      </c>
      <c r="I163" s="139">
        <f>_xlfn.XLOOKUP(Table12[[#This Row],[Month Year]],'Modelling New'!D:D,'Modelling New'!N:N)</f>
        <v>10.507</v>
      </c>
      <c r="J163" s="50" t="e">
        <f>'Raw Data'!#REF!/J$1</f>
        <v>#REF!</v>
      </c>
      <c r="K163" s="50" t="e">
        <f>'Raw Data'!#REF!/K$1</f>
        <v>#REF!</v>
      </c>
      <c r="L163" s="50" t="e">
        <f>'Raw Data'!#REF!/L$1</f>
        <v>#REF!</v>
      </c>
      <c r="M163" s="50" t="e">
        <f>'Raw Data'!#REF!/M$1</f>
        <v>#REF!</v>
      </c>
      <c r="N163" s="50" t="e">
        <f>'Raw Data'!#REF!/N$1</f>
        <v>#REF!</v>
      </c>
      <c r="O163" s="50" t="e">
        <f>'Raw Data'!#REF!/O$1</f>
        <v>#REF!</v>
      </c>
      <c r="P163" s="50" t="str">
        <f t="shared" si="13"/>
        <v/>
      </c>
      <c r="Q163" s="50" t="e">
        <f t="shared" si="14"/>
        <v>#REF!</v>
      </c>
    </row>
    <row r="164" spans="1:17">
      <c r="A164" s="2" t="s">
        <v>208</v>
      </c>
      <c r="B164" s="46">
        <v>4</v>
      </c>
      <c r="C164" s="46">
        <v>2022</v>
      </c>
      <c r="D164" s="46" t="s">
        <v>209</v>
      </c>
      <c r="E164" s="46" t="s">
        <v>209</v>
      </c>
      <c r="F164" s="31">
        <v>44805</v>
      </c>
      <c r="G164" s="46">
        <f t="shared" si="12"/>
        <v>30</v>
      </c>
      <c r="H164" s="47">
        <f t="shared" si="11"/>
        <v>44813</v>
      </c>
      <c r="I164" s="140">
        <f>_xlfn.XLOOKUP(Table12[[#This Row],[Month Year]],'Modelling New'!D:D,'Modelling New'!N:N)</f>
        <v>10.507</v>
      </c>
      <c r="J164" s="50" t="e">
        <f>'Raw Data'!#REF!/J$1</f>
        <v>#REF!</v>
      </c>
      <c r="K164" s="50" t="e">
        <f>'Raw Data'!#REF!/K$1</f>
        <v>#REF!</v>
      </c>
      <c r="L164" s="50" t="e">
        <f>'Raw Data'!#REF!/L$1</f>
        <v>#REF!</v>
      </c>
      <c r="M164" s="50" t="e">
        <f>'Raw Data'!#REF!/M$1</f>
        <v>#REF!</v>
      </c>
      <c r="N164" s="50" t="e">
        <f>'Raw Data'!#REF!/N$1</f>
        <v>#REF!</v>
      </c>
      <c r="O164" s="50" t="e">
        <f>'Raw Data'!#REF!/O$1</f>
        <v>#REF!</v>
      </c>
      <c r="P164" s="50" t="str">
        <f t="shared" si="13"/>
        <v/>
      </c>
      <c r="Q164" s="50" t="e">
        <f t="shared" si="14"/>
        <v>#REF!</v>
      </c>
    </row>
    <row r="165" spans="1:17">
      <c r="A165" s="2" t="s">
        <v>208</v>
      </c>
      <c r="B165" s="44">
        <v>4</v>
      </c>
      <c r="C165" s="44">
        <v>2022</v>
      </c>
      <c r="D165" s="44" t="s">
        <v>209</v>
      </c>
      <c r="E165" s="44" t="s">
        <v>209</v>
      </c>
      <c r="F165" s="31">
        <v>44805</v>
      </c>
      <c r="G165" s="44">
        <f t="shared" si="12"/>
        <v>30</v>
      </c>
      <c r="H165" s="45">
        <f t="shared" si="11"/>
        <v>44814</v>
      </c>
      <c r="I165" s="139">
        <f>_xlfn.XLOOKUP(Table12[[#This Row],[Month Year]],'Modelling New'!D:D,'Modelling New'!N:N)</f>
        <v>10.507</v>
      </c>
      <c r="J165" s="50" t="e">
        <f>'Raw Data'!#REF!/J$1</f>
        <v>#REF!</v>
      </c>
      <c r="K165" s="50" t="e">
        <f>'Raw Data'!#REF!/K$1</f>
        <v>#REF!</v>
      </c>
      <c r="L165" s="50" t="e">
        <f>'Raw Data'!#REF!/L$1</f>
        <v>#REF!</v>
      </c>
      <c r="M165" s="50" t="e">
        <f>'Raw Data'!#REF!/M$1</f>
        <v>#REF!</v>
      </c>
      <c r="N165" s="50" t="e">
        <f>'Raw Data'!#REF!/N$1</f>
        <v>#REF!</v>
      </c>
      <c r="O165" s="50" t="e">
        <f>'Raw Data'!#REF!/O$1</f>
        <v>#REF!</v>
      </c>
      <c r="P165" s="50" t="str">
        <f t="shared" si="13"/>
        <v/>
      </c>
      <c r="Q165" s="50" t="e">
        <f t="shared" si="14"/>
        <v>#REF!</v>
      </c>
    </row>
    <row r="166" spans="1:17">
      <c r="A166" s="2" t="s">
        <v>208</v>
      </c>
      <c r="B166" s="46">
        <v>4</v>
      </c>
      <c r="C166" s="46">
        <v>2022</v>
      </c>
      <c r="D166" s="46" t="s">
        <v>209</v>
      </c>
      <c r="E166" s="46" t="s">
        <v>209</v>
      </c>
      <c r="F166" s="31">
        <v>44805</v>
      </c>
      <c r="G166" s="46">
        <f t="shared" si="12"/>
        <v>30</v>
      </c>
      <c r="H166" s="47">
        <f t="shared" si="11"/>
        <v>44815</v>
      </c>
      <c r="I166" s="140">
        <f>_xlfn.XLOOKUP(Table12[[#This Row],[Month Year]],'Modelling New'!D:D,'Modelling New'!N:N)</f>
        <v>10.507</v>
      </c>
      <c r="J166" s="50" t="e">
        <f>'Raw Data'!#REF!/J$1</f>
        <v>#REF!</v>
      </c>
      <c r="K166" s="50" t="e">
        <f>'Raw Data'!#REF!/K$1</f>
        <v>#REF!</v>
      </c>
      <c r="L166" s="50" t="e">
        <f>'Raw Data'!#REF!/L$1</f>
        <v>#REF!</v>
      </c>
      <c r="M166" s="50" t="e">
        <f>'Raw Data'!#REF!/M$1</f>
        <v>#REF!</v>
      </c>
      <c r="N166" s="50" t="e">
        <f>'Raw Data'!#REF!/N$1</f>
        <v>#REF!</v>
      </c>
      <c r="O166" s="50" t="e">
        <f>'Raw Data'!#REF!/O$1</f>
        <v>#REF!</v>
      </c>
      <c r="P166" s="50" t="str">
        <f t="shared" si="13"/>
        <v/>
      </c>
      <c r="Q166" s="50" t="e">
        <f t="shared" si="14"/>
        <v>#REF!</v>
      </c>
    </row>
    <row r="167" spans="1:17">
      <c r="A167" s="2" t="s">
        <v>208</v>
      </c>
      <c r="B167" s="44">
        <v>4</v>
      </c>
      <c r="C167" s="44">
        <v>2022</v>
      </c>
      <c r="D167" s="44" t="s">
        <v>209</v>
      </c>
      <c r="E167" s="44" t="s">
        <v>209</v>
      </c>
      <c r="F167" s="31">
        <v>44805</v>
      </c>
      <c r="G167" s="44">
        <f t="shared" si="12"/>
        <v>30</v>
      </c>
      <c r="H167" s="45">
        <f t="shared" si="11"/>
        <v>44816</v>
      </c>
      <c r="I167" s="139">
        <f>_xlfn.XLOOKUP(Table12[[#This Row],[Month Year]],'Modelling New'!D:D,'Modelling New'!N:N)</f>
        <v>10.507</v>
      </c>
      <c r="J167" s="50" t="e">
        <f>'Raw Data'!#REF!/J$1</f>
        <v>#REF!</v>
      </c>
      <c r="K167" s="50" t="e">
        <f>'Raw Data'!#REF!/K$1</f>
        <v>#REF!</v>
      </c>
      <c r="L167" s="50" t="e">
        <f>'Raw Data'!#REF!/L$1</f>
        <v>#REF!</v>
      </c>
      <c r="M167" s="50" t="e">
        <f>'Raw Data'!#REF!/M$1</f>
        <v>#REF!</v>
      </c>
      <c r="N167" s="50" t="e">
        <f>'Raw Data'!#REF!/N$1</f>
        <v>#REF!</v>
      </c>
      <c r="O167" s="50" t="e">
        <f>'Raw Data'!#REF!/O$1</f>
        <v>#REF!</v>
      </c>
      <c r="P167" s="50" t="str">
        <f t="shared" si="13"/>
        <v/>
      </c>
      <c r="Q167" s="50" t="e">
        <f t="shared" si="14"/>
        <v>#REF!</v>
      </c>
    </row>
    <row r="168" spans="1:17">
      <c r="A168" s="2" t="s">
        <v>208</v>
      </c>
      <c r="B168" s="46">
        <v>4</v>
      </c>
      <c r="C168" s="46">
        <v>2022</v>
      </c>
      <c r="D168" s="46" t="s">
        <v>209</v>
      </c>
      <c r="E168" s="46" t="s">
        <v>209</v>
      </c>
      <c r="F168" s="31">
        <v>44805</v>
      </c>
      <c r="G168" s="46">
        <f t="shared" si="12"/>
        <v>30</v>
      </c>
      <c r="H168" s="47">
        <f t="shared" si="11"/>
        <v>44817</v>
      </c>
      <c r="I168" s="140">
        <f>_xlfn.XLOOKUP(Table12[[#This Row],[Month Year]],'Modelling New'!D:D,'Modelling New'!N:N)</f>
        <v>10.507</v>
      </c>
      <c r="J168" s="50" t="e">
        <f>'Raw Data'!#REF!/J$1</f>
        <v>#REF!</v>
      </c>
      <c r="K168" s="50" t="e">
        <f>'Raw Data'!#REF!/K$1</f>
        <v>#REF!</v>
      </c>
      <c r="L168" s="50" t="e">
        <f>'Raw Data'!#REF!/L$1</f>
        <v>#REF!</v>
      </c>
      <c r="M168" s="50" t="e">
        <f>'Raw Data'!#REF!/M$1</f>
        <v>#REF!</v>
      </c>
      <c r="N168" s="50" t="e">
        <f>'Raw Data'!#REF!/N$1</f>
        <v>#REF!</v>
      </c>
      <c r="O168" s="50" t="e">
        <f>'Raw Data'!#REF!/O$1</f>
        <v>#REF!</v>
      </c>
      <c r="P168" s="50" t="str">
        <f t="shared" si="13"/>
        <v/>
      </c>
      <c r="Q168" s="50" t="e">
        <f t="shared" si="14"/>
        <v>#REF!</v>
      </c>
    </row>
    <row r="169" spans="1:17">
      <c r="A169" s="2" t="s">
        <v>208</v>
      </c>
      <c r="B169" s="44">
        <v>4</v>
      </c>
      <c r="C169" s="44">
        <v>2022</v>
      </c>
      <c r="D169" s="44" t="s">
        <v>209</v>
      </c>
      <c r="E169" s="44" t="s">
        <v>209</v>
      </c>
      <c r="F169" s="31">
        <v>44805</v>
      </c>
      <c r="G169" s="44">
        <f t="shared" si="12"/>
        <v>30</v>
      </c>
      <c r="H169" s="45">
        <f t="shared" si="11"/>
        <v>44818</v>
      </c>
      <c r="I169" s="139">
        <f>_xlfn.XLOOKUP(Table12[[#This Row],[Month Year]],'Modelling New'!D:D,'Modelling New'!N:N)</f>
        <v>10.507</v>
      </c>
      <c r="J169" s="50" t="e">
        <f>'Raw Data'!#REF!/J$1</f>
        <v>#REF!</v>
      </c>
      <c r="K169" s="50" t="e">
        <f>'Raw Data'!#REF!/K$1</f>
        <v>#REF!</v>
      </c>
      <c r="L169" s="50" t="e">
        <f>'Raw Data'!#REF!/L$1</f>
        <v>#REF!</v>
      </c>
      <c r="M169" s="50" t="e">
        <f>'Raw Data'!#REF!/M$1</f>
        <v>#REF!</v>
      </c>
      <c r="N169" s="50" t="e">
        <f>'Raw Data'!#REF!/N$1</f>
        <v>#REF!</v>
      </c>
      <c r="O169" s="50" t="e">
        <f>'Raw Data'!#REF!/O$1</f>
        <v>#REF!</v>
      </c>
      <c r="P169" s="50" t="str">
        <f t="shared" si="13"/>
        <v/>
      </c>
      <c r="Q169" s="50" t="e">
        <f t="shared" si="14"/>
        <v>#REF!</v>
      </c>
    </row>
    <row r="170" spans="1:17">
      <c r="A170" s="2" t="s">
        <v>208</v>
      </c>
      <c r="B170" s="46">
        <v>4</v>
      </c>
      <c r="C170" s="46">
        <v>2022</v>
      </c>
      <c r="D170" s="46" t="s">
        <v>209</v>
      </c>
      <c r="E170" s="46" t="s">
        <v>209</v>
      </c>
      <c r="F170" s="31">
        <v>44805</v>
      </c>
      <c r="G170" s="46">
        <f t="shared" si="12"/>
        <v>30</v>
      </c>
      <c r="H170" s="47">
        <f t="shared" ref="H170:H233" si="15">H169+1</f>
        <v>44819</v>
      </c>
      <c r="I170" s="140">
        <f>_xlfn.XLOOKUP(Table12[[#This Row],[Month Year]],'Modelling New'!D:D,'Modelling New'!N:N)</f>
        <v>10.507</v>
      </c>
      <c r="J170" s="50" t="e">
        <f>'Raw Data'!#REF!/J$1</f>
        <v>#REF!</v>
      </c>
      <c r="K170" s="50" t="e">
        <f>'Raw Data'!#REF!/K$1</f>
        <v>#REF!</v>
      </c>
      <c r="L170" s="50" t="e">
        <f>'Raw Data'!#REF!/L$1</f>
        <v>#REF!</v>
      </c>
      <c r="M170" s="50" t="e">
        <f>'Raw Data'!#REF!/M$1</f>
        <v>#REF!</v>
      </c>
      <c r="N170" s="50" t="e">
        <f>'Raw Data'!#REF!/N$1</f>
        <v>#REF!</v>
      </c>
      <c r="O170" s="50" t="e">
        <f>'Raw Data'!#REF!/O$1</f>
        <v>#REF!</v>
      </c>
      <c r="P170" s="50" t="str">
        <f t="shared" si="13"/>
        <v/>
      </c>
      <c r="Q170" s="50" t="e">
        <f t="shared" si="14"/>
        <v>#REF!</v>
      </c>
    </row>
    <row r="171" spans="1:17">
      <c r="A171" s="2" t="s">
        <v>208</v>
      </c>
      <c r="B171" s="44">
        <v>4</v>
      </c>
      <c r="C171" s="44">
        <v>2022</v>
      </c>
      <c r="D171" s="44" t="s">
        <v>209</v>
      </c>
      <c r="E171" s="44" t="s">
        <v>209</v>
      </c>
      <c r="F171" s="31">
        <v>44805</v>
      </c>
      <c r="G171" s="44">
        <f t="shared" si="12"/>
        <v>30</v>
      </c>
      <c r="H171" s="45">
        <f t="shared" si="15"/>
        <v>44820</v>
      </c>
      <c r="I171" s="139">
        <f>_xlfn.XLOOKUP(Table12[[#This Row],[Month Year]],'Modelling New'!D:D,'Modelling New'!N:N)</f>
        <v>10.507</v>
      </c>
      <c r="J171" s="50" t="e">
        <f>'Raw Data'!#REF!/J$1</f>
        <v>#REF!</v>
      </c>
      <c r="K171" s="50" t="e">
        <f>'Raw Data'!#REF!/K$1</f>
        <v>#REF!</v>
      </c>
      <c r="L171" s="50" t="e">
        <f>'Raw Data'!#REF!/L$1</f>
        <v>#REF!</v>
      </c>
      <c r="M171" s="50" t="e">
        <f>'Raw Data'!#REF!/M$1</f>
        <v>#REF!</v>
      </c>
      <c r="N171" s="50" t="e">
        <f>'Raw Data'!#REF!/N$1</f>
        <v>#REF!</v>
      </c>
      <c r="O171" s="50" t="e">
        <f>'Raw Data'!#REF!/O$1</f>
        <v>#REF!</v>
      </c>
      <c r="P171" s="50" t="str">
        <f t="shared" si="13"/>
        <v/>
      </c>
      <c r="Q171" s="50" t="e">
        <f t="shared" si="14"/>
        <v>#REF!</v>
      </c>
    </row>
    <row r="172" spans="1:17">
      <c r="A172" s="2" t="s">
        <v>208</v>
      </c>
      <c r="B172" s="46">
        <v>4</v>
      </c>
      <c r="C172" s="46">
        <v>2022</v>
      </c>
      <c r="D172" s="46" t="s">
        <v>209</v>
      </c>
      <c r="E172" s="46" t="s">
        <v>209</v>
      </c>
      <c r="F172" s="31">
        <v>44805</v>
      </c>
      <c r="G172" s="46">
        <f t="shared" si="12"/>
        <v>30</v>
      </c>
      <c r="H172" s="47">
        <f t="shared" si="15"/>
        <v>44821</v>
      </c>
      <c r="I172" s="140">
        <f>_xlfn.XLOOKUP(Table12[[#This Row],[Month Year]],'Modelling New'!D:D,'Modelling New'!N:N)</f>
        <v>10.507</v>
      </c>
      <c r="J172" s="50" t="e">
        <f>'Raw Data'!#REF!/J$1</f>
        <v>#REF!</v>
      </c>
      <c r="K172" s="50" t="e">
        <f>'Raw Data'!#REF!/K$1</f>
        <v>#REF!</v>
      </c>
      <c r="L172" s="50" t="e">
        <f>'Raw Data'!#REF!/L$1</f>
        <v>#REF!</v>
      </c>
      <c r="M172" s="50" t="e">
        <f>'Raw Data'!#REF!/M$1</f>
        <v>#REF!</v>
      </c>
      <c r="N172" s="50" t="e">
        <f>'Raw Data'!#REF!/N$1</f>
        <v>#REF!</v>
      </c>
      <c r="O172" s="50" t="e">
        <f>'Raw Data'!#REF!/O$1</f>
        <v>#REF!</v>
      </c>
      <c r="P172" s="50" t="str">
        <f t="shared" si="13"/>
        <v/>
      </c>
      <c r="Q172" s="50" t="e">
        <f t="shared" si="14"/>
        <v>#REF!</v>
      </c>
    </row>
    <row r="173" spans="1:17">
      <c r="A173" s="2" t="s">
        <v>208</v>
      </c>
      <c r="B173" s="44">
        <v>4</v>
      </c>
      <c r="C173" s="44">
        <v>2022</v>
      </c>
      <c r="D173" s="44" t="s">
        <v>209</v>
      </c>
      <c r="E173" s="44" t="s">
        <v>209</v>
      </c>
      <c r="F173" s="31">
        <v>44805</v>
      </c>
      <c r="G173" s="44">
        <f t="shared" si="12"/>
        <v>30</v>
      </c>
      <c r="H173" s="45">
        <f t="shared" si="15"/>
        <v>44822</v>
      </c>
      <c r="I173" s="139">
        <f>_xlfn.XLOOKUP(Table12[[#This Row],[Month Year]],'Modelling New'!D:D,'Modelling New'!N:N)</f>
        <v>10.507</v>
      </c>
      <c r="J173" s="50" t="e">
        <f>'Raw Data'!#REF!/J$1</f>
        <v>#REF!</v>
      </c>
      <c r="K173" s="50" t="e">
        <f>'Raw Data'!#REF!/K$1</f>
        <v>#REF!</v>
      </c>
      <c r="L173" s="50" t="e">
        <f>'Raw Data'!#REF!/L$1</f>
        <v>#REF!</v>
      </c>
      <c r="M173" s="50" t="e">
        <f>'Raw Data'!#REF!/M$1</f>
        <v>#REF!</v>
      </c>
      <c r="N173" s="50" t="e">
        <f>'Raw Data'!#REF!/N$1</f>
        <v>#REF!</v>
      </c>
      <c r="O173" s="50" t="e">
        <f>'Raw Data'!#REF!/O$1</f>
        <v>#REF!</v>
      </c>
      <c r="P173" s="50" t="str">
        <f t="shared" si="13"/>
        <v/>
      </c>
      <c r="Q173" s="50" t="e">
        <f t="shared" si="14"/>
        <v>#REF!</v>
      </c>
    </row>
    <row r="174" spans="1:17">
      <c r="A174" s="2" t="s">
        <v>208</v>
      </c>
      <c r="B174" s="46">
        <v>4</v>
      </c>
      <c r="C174" s="46">
        <v>2022</v>
      </c>
      <c r="D174" s="46" t="s">
        <v>209</v>
      </c>
      <c r="E174" s="46" t="s">
        <v>209</v>
      </c>
      <c r="F174" s="31">
        <v>44805</v>
      </c>
      <c r="G174" s="46">
        <f t="shared" si="12"/>
        <v>30</v>
      </c>
      <c r="H174" s="47">
        <f t="shared" si="15"/>
        <v>44823</v>
      </c>
      <c r="I174" s="140">
        <f>_xlfn.XLOOKUP(Table12[[#This Row],[Month Year]],'Modelling New'!D:D,'Modelling New'!N:N)</f>
        <v>10.507</v>
      </c>
      <c r="J174" s="50" t="e">
        <f>'Raw Data'!#REF!/J$1</f>
        <v>#REF!</v>
      </c>
      <c r="K174" s="50" t="e">
        <f>'Raw Data'!#REF!/K$1</f>
        <v>#REF!</v>
      </c>
      <c r="L174" s="50" t="e">
        <f>'Raw Data'!#REF!/L$1</f>
        <v>#REF!</v>
      </c>
      <c r="M174" s="50" t="e">
        <f>'Raw Data'!#REF!/M$1</f>
        <v>#REF!</v>
      </c>
      <c r="N174" s="50" t="e">
        <f>'Raw Data'!#REF!/N$1</f>
        <v>#REF!</v>
      </c>
      <c r="O174" s="50" t="e">
        <f>'Raw Data'!#REF!/O$1</f>
        <v>#REF!</v>
      </c>
      <c r="P174" s="50" t="str">
        <f t="shared" si="13"/>
        <v/>
      </c>
      <c r="Q174" s="50" t="e">
        <f t="shared" si="14"/>
        <v>#REF!</v>
      </c>
    </row>
    <row r="175" spans="1:17">
      <c r="A175" s="2" t="s">
        <v>208</v>
      </c>
      <c r="B175" s="44">
        <v>4</v>
      </c>
      <c r="C175" s="44">
        <v>2022</v>
      </c>
      <c r="D175" s="44" t="s">
        <v>209</v>
      </c>
      <c r="E175" s="44" t="s">
        <v>209</v>
      </c>
      <c r="F175" s="31">
        <v>44805</v>
      </c>
      <c r="G175" s="44">
        <f t="shared" si="12"/>
        <v>30</v>
      </c>
      <c r="H175" s="45">
        <f t="shared" si="15"/>
        <v>44824</v>
      </c>
      <c r="I175" s="139">
        <f>_xlfn.XLOOKUP(Table12[[#This Row],[Month Year]],'Modelling New'!D:D,'Modelling New'!N:N)</f>
        <v>10.507</v>
      </c>
      <c r="J175" s="50" t="e">
        <f>'Raw Data'!#REF!/J$1</f>
        <v>#REF!</v>
      </c>
      <c r="K175" s="50" t="e">
        <f>'Raw Data'!#REF!/K$1</f>
        <v>#REF!</v>
      </c>
      <c r="L175" s="50" t="e">
        <f>'Raw Data'!#REF!/L$1</f>
        <v>#REF!</v>
      </c>
      <c r="M175" s="50" t="e">
        <f>'Raw Data'!#REF!/M$1</f>
        <v>#REF!</v>
      </c>
      <c r="N175" s="50" t="e">
        <f>'Raw Data'!#REF!/N$1</f>
        <v>#REF!</v>
      </c>
      <c r="O175" s="50" t="e">
        <f>'Raw Data'!#REF!/O$1</f>
        <v>#REF!</v>
      </c>
      <c r="P175" s="50" t="str">
        <f t="shared" si="13"/>
        <v/>
      </c>
      <c r="Q175" s="50" t="e">
        <f t="shared" si="14"/>
        <v>#REF!</v>
      </c>
    </row>
    <row r="176" spans="1:17">
      <c r="A176" s="2" t="s">
        <v>208</v>
      </c>
      <c r="B176" s="46">
        <v>4</v>
      </c>
      <c r="C176" s="46">
        <v>2022</v>
      </c>
      <c r="D176" s="46" t="s">
        <v>209</v>
      </c>
      <c r="E176" s="46" t="s">
        <v>209</v>
      </c>
      <c r="F176" s="31">
        <v>44805</v>
      </c>
      <c r="G176" s="46">
        <f t="shared" si="12"/>
        <v>30</v>
      </c>
      <c r="H176" s="47">
        <f t="shared" si="15"/>
        <v>44825</v>
      </c>
      <c r="I176" s="140">
        <f>_xlfn.XLOOKUP(Table12[[#This Row],[Month Year]],'Modelling New'!D:D,'Modelling New'!N:N)</f>
        <v>10.507</v>
      </c>
      <c r="J176" s="50" t="e">
        <f>'Raw Data'!#REF!/J$1</f>
        <v>#REF!</v>
      </c>
      <c r="K176" s="50" t="e">
        <f>'Raw Data'!#REF!/K$1</f>
        <v>#REF!</v>
      </c>
      <c r="L176" s="50" t="e">
        <f>'Raw Data'!#REF!/L$1</f>
        <v>#REF!</v>
      </c>
      <c r="M176" s="50" t="e">
        <f>'Raw Data'!#REF!/M$1</f>
        <v>#REF!</v>
      </c>
      <c r="N176" s="50" t="e">
        <f>'Raw Data'!#REF!/N$1</f>
        <v>#REF!</v>
      </c>
      <c r="O176" s="50" t="e">
        <f>'Raw Data'!#REF!/O$1</f>
        <v>#REF!</v>
      </c>
      <c r="P176" s="50" t="str">
        <f t="shared" si="13"/>
        <v/>
      </c>
      <c r="Q176" s="50" t="e">
        <f t="shared" si="14"/>
        <v>#REF!</v>
      </c>
    </row>
    <row r="177" spans="1:17">
      <c r="A177" s="2" t="s">
        <v>208</v>
      </c>
      <c r="B177" s="44">
        <v>4</v>
      </c>
      <c r="C177" s="44">
        <v>2022</v>
      </c>
      <c r="D177" s="44" t="s">
        <v>209</v>
      </c>
      <c r="E177" s="44" t="s">
        <v>209</v>
      </c>
      <c r="F177" s="31">
        <v>44805</v>
      </c>
      <c r="G177" s="44">
        <f t="shared" si="12"/>
        <v>30</v>
      </c>
      <c r="H177" s="45">
        <f t="shared" si="15"/>
        <v>44826</v>
      </c>
      <c r="I177" s="139">
        <f>_xlfn.XLOOKUP(Table12[[#This Row],[Month Year]],'Modelling New'!D:D,'Modelling New'!N:N)</f>
        <v>10.507</v>
      </c>
      <c r="J177" s="50" t="e">
        <f>'Raw Data'!#REF!/J$1</f>
        <v>#REF!</v>
      </c>
      <c r="K177" s="50" t="e">
        <f>'Raw Data'!#REF!/K$1</f>
        <v>#REF!</v>
      </c>
      <c r="L177" s="50" t="e">
        <f>'Raw Data'!#REF!/L$1</f>
        <v>#REF!</v>
      </c>
      <c r="M177" s="50" t="e">
        <f>'Raw Data'!#REF!/M$1</f>
        <v>#REF!</v>
      </c>
      <c r="N177" s="50" t="e">
        <f>'Raw Data'!#REF!/N$1</f>
        <v>#REF!</v>
      </c>
      <c r="O177" s="50" t="e">
        <f>'Raw Data'!#REF!/O$1</f>
        <v>#REF!</v>
      </c>
      <c r="P177" s="50" t="str">
        <f t="shared" si="13"/>
        <v/>
      </c>
      <c r="Q177" s="50" t="e">
        <f t="shared" si="14"/>
        <v>#REF!</v>
      </c>
    </row>
    <row r="178" spans="1:17">
      <c r="A178" s="2" t="s">
        <v>208</v>
      </c>
      <c r="B178" s="46">
        <v>4</v>
      </c>
      <c r="C178" s="46">
        <v>2022</v>
      </c>
      <c r="D178" s="46" t="s">
        <v>209</v>
      </c>
      <c r="E178" s="46" t="s">
        <v>209</v>
      </c>
      <c r="F178" s="31">
        <v>44805</v>
      </c>
      <c r="G178" s="46">
        <f t="shared" si="12"/>
        <v>30</v>
      </c>
      <c r="H178" s="47">
        <f t="shared" si="15"/>
        <v>44827</v>
      </c>
      <c r="I178" s="140">
        <f>_xlfn.XLOOKUP(Table12[[#This Row],[Month Year]],'Modelling New'!D:D,'Modelling New'!N:N)</f>
        <v>10.507</v>
      </c>
      <c r="J178" s="50" t="e">
        <f>'Raw Data'!#REF!/J$1</f>
        <v>#REF!</v>
      </c>
      <c r="K178" s="50" t="e">
        <f>'Raw Data'!#REF!/K$1</f>
        <v>#REF!</v>
      </c>
      <c r="L178" s="50" t="e">
        <f>'Raw Data'!#REF!/L$1</f>
        <v>#REF!</v>
      </c>
      <c r="M178" s="50" t="e">
        <f>'Raw Data'!#REF!/M$1</f>
        <v>#REF!</v>
      </c>
      <c r="N178" s="50" t="e">
        <f>'Raw Data'!#REF!/N$1</f>
        <v>#REF!</v>
      </c>
      <c r="O178" s="50" t="e">
        <f>'Raw Data'!#REF!/O$1</f>
        <v>#REF!</v>
      </c>
      <c r="P178" s="50" t="str">
        <f t="shared" si="13"/>
        <v/>
      </c>
      <c r="Q178" s="50" t="e">
        <f t="shared" si="14"/>
        <v>#REF!</v>
      </c>
    </row>
    <row r="179" spans="1:17">
      <c r="A179" s="2" t="s">
        <v>208</v>
      </c>
      <c r="B179" s="44">
        <v>4</v>
      </c>
      <c r="C179" s="44">
        <v>2022</v>
      </c>
      <c r="D179" s="44" t="s">
        <v>209</v>
      </c>
      <c r="E179" s="44" t="s">
        <v>209</v>
      </c>
      <c r="F179" s="31">
        <v>44805</v>
      </c>
      <c r="G179" s="44">
        <f t="shared" si="12"/>
        <v>30</v>
      </c>
      <c r="H179" s="45">
        <f t="shared" si="15"/>
        <v>44828</v>
      </c>
      <c r="I179" s="139">
        <f>_xlfn.XLOOKUP(Table12[[#This Row],[Month Year]],'Modelling New'!D:D,'Modelling New'!N:N)</f>
        <v>10.507</v>
      </c>
      <c r="J179" s="50" t="e">
        <f>'Raw Data'!#REF!/J$1</f>
        <v>#REF!</v>
      </c>
      <c r="K179" s="50" t="e">
        <f>'Raw Data'!#REF!/K$1</f>
        <v>#REF!</v>
      </c>
      <c r="L179" s="50" t="e">
        <f>'Raw Data'!#REF!/L$1</f>
        <v>#REF!</v>
      </c>
      <c r="M179" s="50" t="e">
        <f>'Raw Data'!#REF!/M$1</f>
        <v>#REF!</v>
      </c>
      <c r="N179" s="50" t="e">
        <f>'Raw Data'!#REF!/N$1</f>
        <v>#REF!</v>
      </c>
      <c r="O179" s="50" t="e">
        <f>'Raw Data'!#REF!/O$1</f>
        <v>#REF!</v>
      </c>
      <c r="P179" s="50" t="str">
        <f t="shared" si="13"/>
        <v/>
      </c>
      <c r="Q179" s="50" t="e">
        <f t="shared" si="14"/>
        <v>#REF!</v>
      </c>
    </row>
    <row r="180" spans="1:17">
      <c r="A180" s="2" t="s">
        <v>208</v>
      </c>
      <c r="B180" s="46">
        <v>4</v>
      </c>
      <c r="C180" s="46">
        <v>2022</v>
      </c>
      <c r="D180" s="46" t="s">
        <v>209</v>
      </c>
      <c r="E180" s="46" t="s">
        <v>209</v>
      </c>
      <c r="F180" s="31">
        <v>44805</v>
      </c>
      <c r="G180" s="46">
        <f t="shared" si="12"/>
        <v>30</v>
      </c>
      <c r="H180" s="47">
        <f t="shared" si="15"/>
        <v>44829</v>
      </c>
      <c r="I180" s="140">
        <f>_xlfn.XLOOKUP(Table12[[#This Row],[Month Year]],'Modelling New'!D:D,'Modelling New'!N:N)</f>
        <v>10.507</v>
      </c>
      <c r="J180" s="50" t="e">
        <f>'Raw Data'!#REF!/J$1</f>
        <v>#REF!</v>
      </c>
      <c r="K180" s="50" t="e">
        <f>'Raw Data'!#REF!/K$1</f>
        <v>#REF!</v>
      </c>
      <c r="L180" s="50" t="e">
        <f>'Raw Data'!#REF!/L$1</f>
        <v>#REF!</v>
      </c>
      <c r="M180" s="50" t="e">
        <f>'Raw Data'!#REF!/M$1</f>
        <v>#REF!</v>
      </c>
      <c r="N180" s="50" t="e">
        <f>'Raw Data'!#REF!/N$1</f>
        <v>#REF!</v>
      </c>
      <c r="O180" s="50" t="e">
        <f>'Raw Data'!#REF!/O$1</f>
        <v>#REF!</v>
      </c>
      <c r="P180" s="50" t="str">
        <f t="shared" si="13"/>
        <v/>
      </c>
      <c r="Q180" s="50" t="e">
        <f t="shared" si="14"/>
        <v>#REF!</v>
      </c>
    </row>
    <row r="181" spans="1:17">
      <c r="A181" s="2" t="s">
        <v>208</v>
      </c>
      <c r="B181" s="44">
        <v>4</v>
      </c>
      <c r="C181" s="44">
        <v>2022</v>
      </c>
      <c r="D181" s="44" t="s">
        <v>209</v>
      </c>
      <c r="E181" s="44" t="s">
        <v>209</v>
      </c>
      <c r="F181" s="31">
        <v>44805</v>
      </c>
      <c r="G181" s="44">
        <f t="shared" si="12"/>
        <v>30</v>
      </c>
      <c r="H181" s="45">
        <f t="shared" si="15"/>
        <v>44830</v>
      </c>
      <c r="I181" s="139">
        <f>_xlfn.XLOOKUP(Table12[[#This Row],[Month Year]],'Modelling New'!D:D,'Modelling New'!N:N)</f>
        <v>10.507</v>
      </c>
      <c r="J181" s="50" t="e">
        <f>'Raw Data'!#REF!/J$1</f>
        <v>#REF!</v>
      </c>
      <c r="K181" s="50" t="e">
        <f>'Raw Data'!#REF!/K$1</f>
        <v>#REF!</v>
      </c>
      <c r="L181" s="50" t="e">
        <f>'Raw Data'!#REF!/L$1</f>
        <v>#REF!</v>
      </c>
      <c r="M181" s="50" t="e">
        <f>'Raw Data'!#REF!/M$1</f>
        <v>#REF!</v>
      </c>
      <c r="N181" s="50" t="e">
        <f>'Raw Data'!#REF!/N$1</f>
        <v>#REF!</v>
      </c>
      <c r="O181" s="50" t="e">
        <f>'Raw Data'!#REF!/O$1</f>
        <v>#REF!</v>
      </c>
      <c r="P181" s="50" t="str">
        <f t="shared" si="13"/>
        <v/>
      </c>
      <c r="Q181" s="50" t="e">
        <f t="shared" si="14"/>
        <v>#REF!</v>
      </c>
    </row>
    <row r="182" spans="1:17">
      <c r="A182" s="2" t="s">
        <v>208</v>
      </c>
      <c r="B182" s="46">
        <v>4</v>
      </c>
      <c r="C182" s="46">
        <v>2022</v>
      </c>
      <c r="D182" s="46" t="s">
        <v>209</v>
      </c>
      <c r="E182" s="46" t="s">
        <v>209</v>
      </c>
      <c r="F182" s="31">
        <v>44805</v>
      </c>
      <c r="G182" s="46">
        <f t="shared" si="12"/>
        <v>30</v>
      </c>
      <c r="H182" s="47">
        <f t="shared" si="15"/>
        <v>44831</v>
      </c>
      <c r="I182" s="140">
        <f>_xlfn.XLOOKUP(Table12[[#This Row],[Month Year]],'Modelling New'!D:D,'Modelling New'!N:N)</f>
        <v>10.507</v>
      </c>
      <c r="J182" s="50" t="e">
        <f>'Raw Data'!#REF!/J$1</f>
        <v>#REF!</v>
      </c>
      <c r="K182" s="50" t="e">
        <f>'Raw Data'!#REF!/K$1</f>
        <v>#REF!</v>
      </c>
      <c r="L182" s="50" t="e">
        <f>'Raw Data'!#REF!/L$1</f>
        <v>#REF!</v>
      </c>
      <c r="M182" s="50" t="e">
        <f>'Raw Data'!#REF!/M$1</f>
        <v>#REF!</v>
      </c>
      <c r="N182" s="50" t="e">
        <f>'Raw Data'!#REF!/N$1</f>
        <v>#REF!</v>
      </c>
      <c r="O182" s="50" t="e">
        <f>'Raw Data'!#REF!/O$1</f>
        <v>#REF!</v>
      </c>
      <c r="P182" s="50" t="str">
        <f t="shared" si="13"/>
        <v/>
      </c>
      <c r="Q182" s="50" t="e">
        <f t="shared" si="14"/>
        <v>#REF!</v>
      </c>
    </row>
    <row r="183" spans="1:17">
      <c r="A183" s="2" t="s">
        <v>208</v>
      </c>
      <c r="B183" s="44">
        <v>4</v>
      </c>
      <c r="C183" s="44">
        <v>2022</v>
      </c>
      <c r="D183" s="44" t="s">
        <v>209</v>
      </c>
      <c r="E183" s="44" t="s">
        <v>209</v>
      </c>
      <c r="F183" s="31">
        <v>44805</v>
      </c>
      <c r="G183" s="44">
        <f t="shared" si="12"/>
        <v>30</v>
      </c>
      <c r="H183" s="45">
        <f t="shared" si="15"/>
        <v>44832</v>
      </c>
      <c r="I183" s="139">
        <f>_xlfn.XLOOKUP(Table12[[#This Row],[Month Year]],'Modelling New'!D:D,'Modelling New'!N:N)</f>
        <v>10.507</v>
      </c>
      <c r="J183" s="50" t="e">
        <f>'Raw Data'!#REF!/J$1</f>
        <v>#REF!</v>
      </c>
      <c r="K183" s="50" t="e">
        <f>'Raw Data'!#REF!/K$1</f>
        <v>#REF!</v>
      </c>
      <c r="L183" s="50" t="e">
        <f>'Raw Data'!#REF!/L$1</f>
        <v>#REF!</v>
      </c>
      <c r="M183" s="50" t="e">
        <f>'Raw Data'!#REF!/M$1</f>
        <v>#REF!</v>
      </c>
      <c r="N183" s="50" t="e">
        <f>'Raw Data'!#REF!/N$1</f>
        <v>#REF!</v>
      </c>
      <c r="O183" s="50" t="e">
        <f>'Raw Data'!#REF!/O$1</f>
        <v>#REF!</v>
      </c>
      <c r="P183" s="50" t="str">
        <f t="shared" si="13"/>
        <v/>
      </c>
      <c r="Q183" s="50" t="e">
        <f t="shared" si="14"/>
        <v>#REF!</v>
      </c>
    </row>
    <row r="184" spans="1:17">
      <c r="A184" s="2" t="s">
        <v>208</v>
      </c>
      <c r="B184" s="46">
        <v>4</v>
      </c>
      <c r="C184" s="46">
        <v>2022</v>
      </c>
      <c r="D184" s="46" t="s">
        <v>209</v>
      </c>
      <c r="E184" s="46" t="s">
        <v>209</v>
      </c>
      <c r="F184" s="31">
        <v>44805</v>
      </c>
      <c r="G184" s="46">
        <f t="shared" si="12"/>
        <v>30</v>
      </c>
      <c r="H184" s="47">
        <f t="shared" si="15"/>
        <v>44833</v>
      </c>
      <c r="I184" s="140">
        <f>_xlfn.XLOOKUP(Table12[[#This Row],[Month Year]],'Modelling New'!D:D,'Modelling New'!N:N)</f>
        <v>10.507</v>
      </c>
      <c r="J184" s="50" t="e">
        <f>'Raw Data'!#REF!/J$1</f>
        <v>#REF!</v>
      </c>
      <c r="K184" s="50" t="e">
        <f>'Raw Data'!#REF!/K$1</f>
        <v>#REF!</v>
      </c>
      <c r="L184" s="50" t="e">
        <f>'Raw Data'!#REF!/L$1</f>
        <v>#REF!</v>
      </c>
      <c r="M184" s="50" t="e">
        <f>'Raw Data'!#REF!/M$1</f>
        <v>#REF!</v>
      </c>
      <c r="N184" s="50" t="e">
        <f>'Raw Data'!#REF!/N$1</f>
        <v>#REF!</v>
      </c>
      <c r="O184" s="50" t="e">
        <f>'Raw Data'!#REF!/O$1</f>
        <v>#REF!</v>
      </c>
      <c r="P184" s="50" t="str">
        <f t="shared" si="13"/>
        <v/>
      </c>
      <c r="Q184" s="50" t="e">
        <f t="shared" si="14"/>
        <v>#REF!</v>
      </c>
    </row>
    <row r="185" spans="1:17">
      <c r="A185" s="2" t="s">
        <v>208</v>
      </c>
      <c r="B185" s="44">
        <v>4</v>
      </c>
      <c r="C185" s="44">
        <v>2022</v>
      </c>
      <c r="D185" s="44" t="s">
        <v>209</v>
      </c>
      <c r="E185" s="44" t="s">
        <v>209</v>
      </c>
      <c r="F185" s="31">
        <v>44805</v>
      </c>
      <c r="G185" s="44">
        <f t="shared" si="12"/>
        <v>30</v>
      </c>
      <c r="H185" s="45">
        <f t="shared" si="15"/>
        <v>44834</v>
      </c>
      <c r="I185" s="139">
        <f>_xlfn.XLOOKUP(Table12[[#This Row],[Month Year]],'Modelling New'!D:D,'Modelling New'!N:N)</f>
        <v>10.507</v>
      </c>
      <c r="J185" s="50" t="e">
        <f>'Raw Data'!#REF!/J$1</f>
        <v>#REF!</v>
      </c>
      <c r="K185" s="50" t="e">
        <f>'Raw Data'!#REF!/K$1</f>
        <v>#REF!</v>
      </c>
      <c r="L185" s="50" t="e">
        <f>'Raw Data'!#REF!/L$1</f>
        <v>#REF!</v>
      </c>
      <c r="M185" s="50" t="e">
        <f>'Raw Data'!#REF!/M$1</f>
        <v>#REF!</v>
      </c>
      <c r="N185" s="50" t="e">
        <f>'Raw Data'!#REF!/N$1</f>
        <v>#REF!</v>
      </c>
      <c r="O185" s="50" t="e">
        <f>'Raw Data'!#REF!/O$1</f>
        <v>#REF!</v>
      </c>
      <c r="P185" s="50" t="str">
        <f t="shared" si="13"/>
        <v/>
      </c>
      <c r="Q185" s="50" t="e">
        <f t="shared" si="14"/>
        <v>#REF!</v>
      </c>
    </row>
    <row r="186" spans="1:17">
      <c r="A186" s="2" t="s">
        <v>208</v>
      </c>
      <c r="B186" s="46">
        <v>4</v>
      </c>
      <c r="C186" s="46">
        <v>2022</v>
      </c>
      <c r="D186" s="46" t="s">
        <v>209</v>
      </c>
      <c r="E186" s="46" t="s">
        <v>209</v>
      </c>
      <c r="F186" s="31">
        <v>44835</v>
      </c>
      <c r="G186" s="46">
        <f t="shared" si="12"/>
        <v>31</v>
      </c>
      <c r="H186" s="47">
        <f t="shared" si="15"/>
        <v>44835</v>
      </c>
      <c r="I186" s="140">
        <f>_xlfn.XLOOKUP(Table12[[#This Row],[Month Year]],'Modelling New'!D:D,'Modelling New'!N:N)</f>
        <v>10.507</v>
      </c>
      <c r="J186" s="50" t="e">
        <f>'Raw Data'!#REF!/J$1</f>
        <v>#REF!</v>
      </c>
      <c r="K186" s="50" t="e">
        <f>'Raw Data'!#REF!/K$1</f>
        <v>#REF!</v>
      </c>
      <c r="L186" s="50" t="e">
        <f>'Raw Data'!#REF!/L$1</f>
        <v>#REF!</v>
      </c>
      <c r="M186" s="50" t="e">
        <f>'Raw Data'!#REF!/M$1</f>
        <v>#REF!</v>
      </c>
      <c r="N186" s="50" t="e">
        <f>'Raw Data'!#REF!/N$1</f>
        <v>#REF!</v>
      </c>
      <c r="O186" s="50" t="e">
        <f>'Raw Data'!#REF!/O$1</f>
        <v>#REF!</v>
      </c>
      <c r="P186" s="50" t="str">
        <f t="shared" si="13"/>
        <v/>
      </c>
      <c r="Q186" s="50" t="e">
        <f t="shared" si="14"/>
        <v>#REF!</v>
      </c>
    </row>
    <row r="187" spans="1:17">
      <c r="A187" s="2" t="s">
        <v>208</v>
      </c>
      <c r="B187" s="44">
        <v>4</v>
      </c>
      <c r="C187" s="44">
        <v>2022</v>
      </c>
      <c r="D187" s="44" t="s">
        <v>209</v>
      </c>
      <c r="E187" s="44" t="s">
        <v>209</v>
      </c>
      <c r="F187" s="31">
        <v>44835</v>
      </c>
      <c r="G187" s="44">
        <f t="shared" si="12"/>
        <v>31</v>
      </c>
      <c r="H187" s="45">
        <f t="shared" si="15"/>
        <v>44836</v>
      </c>
      <c r="I187" s="139">
        <f>_xlfn.XLOOKUP(Table12[[#This Row],[Month Year]],'Modelling New'!D:D,'Modelling New'!N:N)</f>
        <v>10.507</v>
      </c>
      <c r="J187" s="50" t="e">
        <f>'Raw Data'!#REF!/J$1</f>
        <v>#REF!</v>
      </c>
      <c r="K187" s="50" t="e">
        <f>'Raw Data'!#REF!/K$1</f>
        <v>#REF!</v>
      </c>
      <c r="L187" s="50" t="e">
        <f>'Raw Data'!#REF!/L$1</f>
        <v>#REF!</v>
      </c>
      <c r="M187" s="50" t="e">
        <f>'Raw Data'!#REF!/M$1</f>
        <v>#REF!</v>
      </c>
      <c r="N187" s="50" t="e">
        <f>'Raw Data'!#REF!/N$1</f>
        <v>#REF!</v>
      </c>
      <c r="O187" s="50" t="e">
        <f>'Raw Data'!#REF!/O$1</f>
        <v>#REF!</v>
      </c>
      <c r="P187" s="50" t="str">
        <f t="shared" si="13"/>
        <v/>
      </c>
      <c r="Q187" s="50" t="e">
        <f t="shared" si="14"/>
        <v>#REF!</v>
      </c>
    </row>
    <row r="188" spans="1:17">
      <c r="A188" s="2" t="s">
        <v>208</v>
      </c>
      <c r="B188" s="46">
        <v>4</v>
      </c>
      <c r="C188" s="46">
        <v>2022</v>
      </c>
      <c r="D188" s="46" t="s">
        <v>209</v>
      </c>
      <c r="E188" s="46" t="s">
        <v>209</v>
      </c>
      <c r="F188" s="31">
        <v>44835</v>
      </c>
      <c r="G188" s="46">
        <f t="shared" si="12"/>
        <v>31</v>
      </c>
      <c r="H188" s="47">
        <f t="shared" si="15"/>
        <v>44837</v>
      </c>
      <c r="I188" s="140">
        <f>_xlfn.XLOOKUP(Table12[[#This Row],[Month Year]],'Modelling New'!D:D,'Modelling New'!N:N)</f>
        <v>10.507</v>
      </c>
      <c r="J188" s="50" t="e">
        <f>'Raw Data'!#REF!/J$1</f>
        <v>#REF!</v>
      </c>
      <c r="K188" s="50" t="e">
        <f>'Raw Data'!#REF!/K$1</f>
        <v>#REF!</v>
      </c>
      <c r="L188" s="50" t="e">
        <f>'Raw Data'!#REF!/L$1</f>
        <v>#REF!</v>
      </c>
      <c r="M188" s="50" t="e">
        <f>'Raw Data'!#REF!/M$1</f>
        <v>#REF!</v>
      </c>
      <c r="N188" s="50" t="e">
        <f>'Raw Data'!#REF!/N$1</f>
        <v>#REF!</v>
      </c>
      <c r="O188" s="50" t="e">
        <f>'Raw Data'!#REF!/O$1</f>
        <v>#REF!</v>
      </c>
      <c r="P188" s="50" t="str">
        <f t="shared" si="13"/>
        <v/>
      </c>
      <c r="Q188" s="50" t="e">
        <f t="shared" si="14"/>
        <v>#REF!</v>
      </c>
    </row>
    <row r="189" spans="1:17">
      <c r="A189" s="2" t="s">
        <v>208</v>
      </c>
      <c r="B189" s="44">
        <v>4</v>
      </c>
      <c r="C189" s="44">
        <v>2022</v>
      </c>
      <c r="D189" s="44" t="s">
        <v>209</v>
      </c>
      <c r="E189" s="44" t="s">
        <v>209</v>
      </c>
      <c r="F189" s="31">
        <v>44835</v>
      </c>
      <c r="G189" s="44">
        <f t="shared" si="12"/>
        <v>31</v>
      </c>
      <c r="H189" s="45">
        <f t="shared" si="15"/>
        <v>44838</v>
      </c>
      <c r="I189" s="139">
        <f>_xlfn.XLOOKUP(Table12[[#This Row],[Month Year]],'Modelling New'!D:D,'Modelling New'!N:N)</f>
        <v>10.507</v>
      </c>
      <c r="J189" s="50" t="e">
        <f>'Raw Data'!#REF!/J$1</f>
        <v>#REF!</v>
      </c>
      <c r="K189" s="50" t="e">
        <f>'Raw Data'!#REF!/K$1</f>
        <v>#REF!</v>
      </c>
      <c r="L189" s="50" t="e">
        <f>'Raw Data'!#REF!/L$1</f>
        <v>#REF!</v>
      </c>
      <c r="M189" s="50" t="e">
        <f>'Raw Data'!#REF!/M$1</f>
        <v>#REF!</v>
      </c>
      <c r="N189" s="50" t="e">
        <f>'Raw Data'!#REF!/N$1</f>
        <v>#REF!</v>
      </c>
      <c r="O189" s="50" t="e">
        <f>'Raw Data'!#REF!/O$1</f>
        <v>#REF!</v>
      </c>
      <c r="P189" s="50" t="str">
        <f t="shared" si="13"/>
        <v/>
      </c>
      <c r="Q189" s="50" t="e">
        <f t="shared" si="14"/>
        <v>#REF!</v>
      </c>
    </row>
    <row r="190" spans="1:17">
      <c r="A190" s="2" t="s">
        <v>208</v>
      </c>
      <c r="B190" s="46">
        <v>4</v>
      </c>
      <c r="C190" s="46">
        <v>2022</v>
      </c>
      <c r="D190" s="46" t="s">
        <v>209</v>
      </c>
      <c r="E190" s="46" t="s">
        <v>209</v>
      </c>
      <c r="F190" s="31">
        <v>44835</v>
      </c>
      <c r="G190" s="46">
        <f t="shared" si="12"/>
        <v>31</v>
      </c>
      <c r="H190" s="47">
        <f t="shared" si="15"/>
        <v>44839</v>
      </c>
      <c r="I190" s="140">
        <f>_xlfn.XLOOKUP(Table12[[#This Row],[Month Year]],'Modelling New'!D:D,'Modelling New'!N:N)</f>
        <v>10.507</v>
      </c>
      <c r="J190" s="50" t="e">
        <f>'Raw Data'!#REF!/J$1</f>
        <v>#REF!</v>
      </c>
      <c r="K190" s="50" t="e">
        <f>'Raw Data'!#REF!/K$1</f>
        <v>#REF!</v>
      </c>
      <c r="L190" s="50" t="e">
        <f>'Raw Data'!#REF!/L$1</f>
        <v>#REF!</v>
      </c>
      <c r="M190" s="50" t="e">
        <f>'Raw Data'!#REF!/M$1</f>
        <v>#REF!</v>
      </c>
      <c r="N190" s="50" t="e">
        <f>'Raw Data'!#REF!/N$1</f>
        <v>#REF!</v>
      </c>
      <c r="O190" s="50" t="e">
        <f>'Raw Data'!#REF!/O$1</f>
        <v>#REF!</v>
      </c>
      <c r="P190" s="50" t="str">
        <f t="shared" si="13"/>
        <v/>
      </c>
      <c r="Q190" s="50" t="e">
        <f t="shared" si="14"/>
        <v>#REF!</v>
      </c>
    </row>
    <row r="191" spans="1:17">
      <c r="A191" s="2" t="s">
        <v>208</v>
      </c>
      <c r="B191" s="44">
        <v>4</v>
      </c>
      <c r="C191" s="44">
        <v>2022</v>
      </c>
      <c r="D191" s="44" t="s">
        <v>209</v>
      </c>
      <c r="E191" s="44" t="s">
        <v>209</v>
      </c>
      <c r="F191" s="31">
        <v>44835</v>
      </c>
      <c r="G191" s="44">
        <f t="shared" si="12"/>
        <v>31</v>
      </c>
      <c r="H191" s="45">
        <f t="shared" si="15"/>
        <v>44840</v>
      </c>
      <c r="I191" s="139">
        <f>_xlfn.XLOOKUP(Table12[[#This Row],[Month Year]],'Modelling New'!D:D,'Modelling New'!N:N)</f>
        <v>10.507</v>
      </c>
      <c r="J191" s="50" t="e">
        <f>'Raw Data'!#REF!/J$1</f>
        <v>#REF!</v>
      </c>
      <c r="K191" s="50" t="e">
        <f>'Raw Data'!#REF!/K$1</f>
        <v>#REF!</v>
      </c>
      <c r="L191" s="50" t="e">
        <f>'Raw Data'!#REF!/L$1</f>
        <v>#REF!</v>
      </c>
      <c r="M191" s="50" t="e">
        <f>'Raw Data'!#REF!/M$1</f>
        <v>#REF!</v>
      </c>
      <c r="N191" s="50" t="e">
        <f>'Raw Data'!#REF!/N$1</f>
        <v>#REF!</v>
      </c>
      <c r="O191" s="50" t="e">
        <f>'Raw Data'!#REF!/O$1</f>
        <v>#REF!</v>
      </c>
      <c r="P191" s="50" t="str">
        <f t="shared" si="13"/>
        <v/>
      </c>
      <c r="Q191" s="50" t="e">
        <f t="shared" si="14"/>
        <v>#REF!</v>
      </c>
    </row>
    <row r="192" spans="1:17">
      <c r="A192" s="2" t="s">
        <v>208</v>
      </c>
      <c r="B192" s="46">
        <v>4</v>
      </c>
      <c r="C192" s="46">
        <v>2022</v>
      </c>
      <c r="D192" s="46" t="s">
        <v>209</v>
      </c>
      <c r="E192" s="46" t="s">
        <v>209</v>
      </c>
      <c r="F192" s="31">
        <v>44835</v>
      </c>
      <c r="G192" s="46">
        <f t="shared" si="12"/>
        <v>31</v>
      </c>
      <c r="H192" s="47">
        <f t="shared" si="15"/>
        <v>44841</v>
      </c>
      <c r="I192" s="140">
        <f>_xlfn.XLOOKUP(Table12[[#This Row],[Month Year]],'Modelling New'!D:D,'Modelling New'!N:N)</f>
        <v>10.507</v>
      </c>
      <c r="J192" s="50" t="e">
        <f>'Raw Data'!#REF!/J$1</f>
        <v>#REF!</v>
      </c>
      <c r="K192" s="50" t="e">
        <f>'Raw Data'!#REF!/K$1</f>
        <v>#REF!</v>
      </c>
      <c r="L192" s="50" t="e">
        <f>'Raw Data'!#REF!/L$1</f>
        <v>#REF!</v>
      </c>
      <c r="M192" s="50" t="e">
        <f>'Raw Data'!#REF!/M$1</f>
        <v>#REF!</v>
      </c>
      <c r="N192" s="50" t="e">
        <f>'Raw Data'!#REF!/N$1</f>
        <v>#REF!</v>
      </c>
      <c r="O192" s="50" t="e">
        <f>'Raw Data'!#REF!/O$1</f>
        <v>#REF!</v>
      </c>
      <c r="P192" s="50" t="str">
        <f t="shared" si="13"/>
        <v/>
      </c>
      <c r="Q192" s="50" t="e">
        <f t="shared" si="14"/>
        <v>#REF!</v>
      </c>
    </row>
    <row r="193" spans="1:17">
      <c r="A193" s="2" t="s">
        <v>208</v>
      </c>
      <c r="B193" s="44">
        <v>4</v>
      </c>
      <c r="C193" s="44">
        <v>2022</v>
      </c>
      <c r="D193" s="44" t="s">
        <v>209</v>
      </c>
      <c r="E193" s="44" t="s">
        <v>209</v>
      </c>
      <c r="F193" s="31">
        <v>44835</v>
      </c>
      <c r="G193" s="44">
        <f t="shared" si="12"/>
        <v>31</v>
      </c>
      <c r="H193" s="45">
        <f t="shared" si="15"/>
        <v>44842</v>
      </c>
      <c r="I193" s="139">
        <f>_xlfn.XLOOKUP(Table12[[#This Row],[Month Year]],'Modelling New'!D:D,'Modelling New'!N:N)</f>
        <v>10.507</v>
      </c>
      <c r="J193" s="50" t="e">
        <f>'Raw Data'!#REF!/J$1</f>
        <v>#REF!</v>
      </c>
      <c r="K193" s="50" t="e">
        <f>'Raw Data'!#REF!/K$1</f>
        <v>#REF!</v>
      </c>
      <c r="L193" s="50" t="e">
        <f>'Raw Data'!#REF!/L$1</f>
        <v>#REF!</v>
      </c>
      <c r="M193" s="50" t="e">
        <f>'Raw Data'!#REF!/M$1</f>
        <v>#REF!</v>
      </c>
      <c r="N193" s="50" t="e">
        <f>'Raw Data'!#REF!/N$1</f>
        <v>#REF!</v>
      </c>
      <c r="O193" s="50" t="e">
        <f>'Raw Data'!#REF!/O$1</f>
        <v>#REF!</v>
      </c>
      <c r="P193" s="50" t="str">
        <f t="shared" si="13"/>
        <v/>
      </c>
      <c r="Q193" s="50" t="e">
        <f t="shared" si="14"/>
        <v>#REF!</v>
      </c>
    </row>
    <row r="194" spans="1:17">
      <c r="A194" s="2" t="s">
        <v>208</v>
      </c>
      <c r="B194" s="46">
        <v>4</v>
      </c>
      <c r="C194" s="46">
        <v>2022</v>
      </c>
      <c r="D194" s="46" t="s">
        <v>209</v>
      </c>
      <c r="E194" s="46" t="s">
        <v>209</v>
      </c>
      <c r="F194" s="31">
        <v>44835</v>
      </c>
      <c r="G194" s="46">
        <f t="shared" si="12"/>
        <v>31</v>
      </c>
      <c r="H194" s="47">
        <f t="shared" si="15"/>
        <v>44843</v>
      </c>
      <c r="I194" s="140">
        <f>_xlfn.XLOOKUP(Table12[[#This Row],[Month Year]],'Modelling New'!D:D,'Modelling New'!N:N)</f>
        <v>10.507</v>
      </c>
      <c r="J194" s="50" t="e">
        <f>'Raw Data'!#REF!/J$1</f>
        <v>#REF!</v>
      </c>
      <c r="K194" s="50" t="e">
        <f>'Raw Data'!#REF!/K$1</f>
        <v>#REF!</v>
      </c>
      <c r="L194" s="50" t="e">
        <f>'Raw Data'!#REF!/L$1</f>
        <v>#REF!</v>
      </c>
      <c r="M194" s="50" t="e">
        <f>'Raw Data'!#REF!/M$1</f>
        <v>#REF!</v>
      </c>
      <c r="N194" s="50" t="e">
        <f>'Raw Data'!#REF!/N$1</f>
        <v>#REF!</v>
      </c>
      <c r="O194" s="50" t="e">
        <f>'Raw Data'!#REF!/O$1</f>
        <v>#REF!</v>
      </c>
      <c r="P194" s="50" t="str">
        <f t="shared" si="13"/>
        <v/>
      </c>
      <c r="Q194" s="50" t="e">
        <f t="shared" si="14"/>
        <v>#REF!</v>
      </c>
    </row>
    <row r="195" spans="1:17">
      <c r="A195" s="2" t="s">
        <v>208</v>
      </c>
      <c r="B195" s="44">
        <v>4</v>
      </c>
      <c r="C195" s="44">
        <v>2022</v>
      </c>
      <c r="D195" s="44" t="s">
        <v>209</v>
      </c>
      <c r="E195" s="44" t="s">
        <v>209</v>
      </c>
      <c r="F195" s="31">
        <v>44835</v>
      </c>
      <c r="G195" s="44">
        <f t="shared" si="12"/>
        <v>31</v>
      </c>
      <c r="H195" s="45">
        <f t="shared" si="15"/>
        <v>44844</v>
      </c>
      <c r="I195" s="139">
        <f>_xlfn.XLOOKUP(Table12[[#This Row],[Month Year]],'Modelling New'!D:D,'Modelling New'!N:N)</f>
        <v>10.507</v>
      </c>
      <c r="J195" s="50" t="e">
        <f>'Raw Data'!#REF!/J$1</f>
        <v>#REF!</v>
      </c>
      <c r="K195" s="50" t="e">
        <f>'Raw Data'!#REF!/K$1</f>
        <v>#REF!</v>
      </c>
      <c r="L195" s="50" t="e">
        <f>'Raw Data'!#REF!/L$1</f>
        <v>#REF!</v>
      </c>
      <c r="M195" s="50" t="e">
        <f>'Raw Data'!#REF!/M$1</f>
        <v>#REF!</v>
      </c>
      <c r="N195" s="50" t="e">
        <f>'Raw Data'!#REF!/N$1</f>
        <v>#REF!</v>
      </c>
      <c r="O195" s="50" t="e">
        <f>'Raw Data'!#REF!/O$1</f>
        <v>#REF!</v>
      </c>
      <c r="P195" s="50" t="str">
        <f t="shared" si="13"/>
        <v/>
      </c>
      <c r="Q195" s="50" t="e">
        <f t="shared" si="14"/>
        <v>#REF!</v>
      </c>
    </row>
    <row r="196" spans="1:17">
      <c r="A196" s="2" t="s">
        <v>208</v>
      </c>
      <c r="B196" s="46">
        <v>4</v>
      </c>
      <c r="C196" s="46">
        <v>2022</v>
      </c>
      <c r="D196" s="46" t="s">
        <v>209</v>
      </c>
      <c r="E196" s="46" t="s">
        <v>209</v>
      </c>
      <c r="F196" s="31">
        <v>44835</v>
      </c>
      <c r="G196" s="46">
        <f t="shared" ref="G196:G259" si="16">DAY(EOMONTH(F196,0))</f>
        <v>31</v>
      </c>
      <c r="H196" s="47">
        <f t="shared" si="15"/>
        <v>44845</v>
      </c>
      <c r="I196" s="140">
        <f>_xlfn.XLOOKUP(Table12[[#This Row],[Month Year]],'Modelling New'!D:D,'Modelling New'!N:N)</f>
        <v>10.507</v>
      </c>
      <c r="J196" s="50" t="e">
        <f>'Raw Data'!#REF!/J$1</f>
        <v>#REF!</v>
      </c>
      <c r="K196" s="50" t="e">
        <f>'Raw Data'!#REF!/K$1</f>
        <v>#REF!</v>
      </c>
      <c r="L196" s="50" t="e">
        <f>'Raw Data'!#REF!/L$1</f>
        <v>#REF!</v>
      </c>
      <c r="M196" s="50" t="e">
        <f>'Raw Data'!#REF!/M$1</f>
        <v>#REF!</v>
      </c>
      <c r="N196" s="50" t="e">
        <f>'Raw Data'!#REF!/N$1</f>
        <v>#REF!</v>
      </c>
      <c r="O196" s="50" t="e">
        <f>'Raw Data'!#REF!/O$1</f>
        <v>#REF!</v>
      </c>
      <c r="P196" s="50" t="str">
        <f t="shared" si="13"/>
        <v/>
      </c>
      <c r="Q196" s="50" t="e">
        <f t="shared" si="14"/>
        <v>#REF!</v>
      </c>
    </row>
    <row r="197" spans="1:17">
      <c r="A197" s="2" t="s">
        <v>208</v>
      </c>
      <c r="B197" s="44">
        <v>4</v>
      </c>
      <c r="C197" s="44">
        <v>2022</v>
      </c>
      <c r="D197" s="44" t="s">
        <v>209</v>
      </c>
      <c r="E197" s="44" t="s">
        <v>209</v>
      </c>
      <c r="F197" s="31">
        <v>44835</v>
      </c>
      <c r="G197" s="44">
        <f t="shared" si="16"/>
        <v>31</v>
      </c>
      <c r="H197" s="45">
        <f t="shared" si="15"/>
        <v>44846</v>
      </c>
      <c r="I197" s="139">
        <f>_xlfn.XLOOKUP(Table12[[#This Row],[Month Year]],'Modelling New'!D:D,'Modelling New'!N:N)</f>
        <v>10.507</v>
      </c>
      <c r="J197" s="50" t="e">
        <f>'Raw Data'!#REF!/J$1</f>
        <v>#REF!</v>
      </c>
      <c r="K197" s="50" t="e">
        <f>'Raw Data'!#REF!/K$1</f>
        <v>#REF!</v>
      </c>
      <c r="L197" s="50" t="e">
        <f>'Raw Data'!#REF!/L$1</f>
        <v>#REF!</v>
      </c>
      <c r="M197" s="50" t="e">
        <f>'Raw Data'!#REF!/M$1</f>
        <v>#REF!</v>
      </c>
      <c r="N197" s="50" t="e">
        <f>'Raw Data'!#REF!/N$1</f>
        <v>#REF!</v>
      </c>
      <c r="O197" s="50" t="e">
        <f>'Raw Data'!#REF!/O$1</f>
        <v>#REF!</v>
      </c>
      <c r="P197" s="50" t="str">
        <f t="shared" si="13"/>
        <v/>
      </c>
      <c r="Q197" s="50" t="e">
        <f t="shared" si="14"/>
        <v>#REF!</v>
      </c>
    </row>
    <row r="198" spans="1:17">
      <c r="A198" s="2" t="s">
        <v>208</v>
      </c>
      <c r="B198" s="46">
        <v>4</v>
      </c>
      <c r="C198" s="46">
        <v>2022</v>
      </c>
      <c r="D198" s="46" t="s">
        <v>209</v>
      </c>
      <c r="E198" s="46" t="s">
        <v>209</v>
      </c>
      <c r="F198" s="31">
        <v>44835</v>
      </c>
      <c r="G198" s="46">
        <f t="shared" si="16"/>
        <v>31</v>
      </c>
      <c r="H198" s="47">
        <f t="shared" si="15"/>
        <v>44847</v>
      </c>
      <c r="I198" s="140">
        <f>_xlfn.XLOOKUP(Table12[[#This Row],[Month Year]],'Modelling New'!D:D,'Modelling New'!N:N)</f>
        <v>10.507</v>
      </c>
      <c r="J198" s="50" t="e">
        <f>'Raw Data'!#REF!/J$1</f>
        <v>#REF!</v>
      </c>
      <c r="K198" s="50" t="e">
        <f>'Raw Data'!#REF!/K$1</f>
        <v>#REF!</v>
      </c>
      <c r="L198" s="50" t="e">
        <f>'Raw Data'!#REF!/L$1</f>
        <v>#REF!</v>
      </c>
      <c r="M198" s="50" t="e">
        <f>'Raw Data'!#REF!/M$1</f>
        <v>#REF!</v>
      </c>
      <c r="N198" s="50" t="e">
        <f>'Raw Data'!#REF!/N$1</f>
        <v>#REF!</v>
      </c>
      <c r="O198" s="50" t="e">
        <f>'Raw Data'!#REF!/O$1</f>
        <v>#REF!</v>
      </c>
      <c r="P198" s="50" t="str">
        <f t="shared" si="13"/>
        <v/>
      </c>
      <c r="Q198" s="50" t="e">
        <f t="shared" si="14"/>
        <v>#REF!</v>
      </c>
    </row>
    <row r="199" spans="1:17">
      <c r="A199" s="2" t="s">
        <v>208</v>
      </c>
      <c r="B199" s="44">
        <v>4</v>
      </c>
      <c r="C199" s="44">
        <v>2022</v>
      </c>
      <c r="D199" s="44" t="s">
        <v>209</v>
      </c>
      <c r="E199" s="44" t="s">
        <v>209</v>
      </c>
      <c r="F199" s="31">
        <v>44835</v>
      </c>
      <c r="G199" s="44">
        <f t="shared" si="16"/>
        <v>31</v>
      </c>
      <c r="H199" s="45">
        <f t="shared" si="15"/>
        <v>44848</v>
      </c>
      <c r="I199" s="139">
        <f>_xlfn.XLOOKUP(Table12[[#This Row],[Month Year]],'Modelling New'!D:D,'Modelling New'!N:N)</f>
        <v>10.507</v>
      </c>
      <c r="J199" s="50" t="e">
        <f>'Raw Data'!#REF!/J$1</f>
        <v>#REF!</v>
      </c>
      <c r="K199" s="50" t="e">
        <f>'Raw Data'!#REF!/K$1</f>
        <v>#REF!</v>
      </c>
      <c r="L199" s="50" t="e">
        <f>'Raw Data'!#REF!/L$1</f>
        <v>#REF!</v>
      </c>
      <c r="M199" s="50" t="e">
        <f>'Raw Data'!#REF!/M$1</f>
        <v>#REF!</v>
      </c>
      <c r="N199" s="50" t="e">
        <f>'Raw Data'!#REF!/N$1</f>
        <v>#REF!</v>
      </c>
      <c r="O199" s="50" t="e">
        <f>'Raw Data'!#REF!/O$1</f>
        <v>#REF!</v>
      </c>
      <c r="P199" s="50" t="str">
        <f t="shared" si="13"/>
        <v/>
      </c>
      <c r="Q199" s="50" t="e">
        <f t="shared" si="14"/>
        <v>#REF!</v>
      </c>
    </row>
    <row r="200" spans="1:17">
      <c r="A200" s="2" t="s">
        <v>208</v>
      </c>
      <c r="B200" s="46">
        <v>4</v>
      </c>
      <c r="C200" s="46">
        <v>2022</v>
      </c>
      <c r="D200" s="46" t="s">
        <v>209</v>
      </c>
      <c r="E200" s="46" t="s">
        <v>209</v>
      </c>
      <c r="F200" s="31">
        <v>44835</v>
      </c>
      <c r="G200" s="46">
        <f t="shared" si="16"/>
        <v>31</v>
      </c>
      <c r="H200" s="47">
        <f t="shared" si="15"/>
        <v>44849</v>
      </c>
      <c r="I200" s="140">
        <f>_xlfn.XLOOKUP(Table12[[#This Row],[Month Year]],'Modelling New'!D:D,'Modelling New'!N:N)</f>
        <v>10.507</v>
      </c>
      <c r="J200" s="50" t="e">
        <f>'Raw Data'!#REF!/J$1</f>
        <v>#REF!</v>
      </c>
      <c r="K200" s="50" t="e">
        <f>'Raw Data'!#REF!/K$1</f>
        <v>#REF!</v>
      </c>
      <c r="L200" s="50" t="e">
        <f>'Raw Data'!#REF!/L$1</f>
        <v>#REF!</v>
      </c>
      <c r="M200" s="50" t="e">
        <f>'Raw Data'!#REF!/M$1</f>
        <v>#REF!</v>
      </c>
      <c r="N200" s="50" t="e">
        <f>'Raw Data'!#REF!/N$1</f>
        <v>#REF!</v>
      </c>
      <c r="O200" s="50" t="e">
        <f>'Raw Data'!#REF!/O$1</f>
        <v>#REF!</v>
      </c>
      <c r="P200" s="50" t="str">
        <f t="shared" si="13"/>
        <v/>
      </c>
      <c r="Q200" s="50" t="e">
        <f t="shared" si="14"/>
        <v>#REF!</v>
      </c>
    </row>
    <row r="201" spans="1:17">
      <c r="A201" s="2" t="s">
        <v>208</v>
      </c>
      <c r="B201" s="44">
        <v>4</v>
      </c>
      <c r="C201" s="44">
        <v>2022</v>
      </c>
      <c r="D201" s="44" t="s">
        <v>209</v>
      </c>
      <c r="E201" s="44" t="s">
        <v>209</v>
      </c>
      <c r="F201" s="31">
        <v>44835</v>
      </c>
      <c r="G201" s="44">
        <f t="shared" si="16"/>
        <v>31</v>
      </c>
      <c r="H201" s="45">
        <f t="shared" si="15"/>
        <v>44850</v>
      </c>
      <c r="I201" s="139">
        <f>_xlfn.XLOOKUP(Table12[[#This Row],[Month Year]],'Modelling New'!D:D,'Modelling New'!N:N)</f>
        <v>10.507</v>
      </c>
      <c r="J201" s="50" t="e">
        <f>'Raw Data'!#REF!/J$1</f>
        <v>#REF!</v>
      </c>
      <c r="K201" s="50" t="e">
        <f>'Raw Data'!#REF!/K$1</f>
        <v>#REF!</v>
      </c>
      <c r="L201" s="50" t="e">
        <f>'Raw Data'!#REF!/L$1</f>
        <v>#REF!</v>
      </c>
      <c r="M201" s="50" t="e">
        <f>'Raw Data'!#REF!/M$1</f>
        <v>#REF!</v>
      </c>
      <c r="N201" s="50" t="e">
        <f>'Raw Data'!#REF!/N$1</f>
        <v>#REF!</v>
      </c>
      <c r="O201" s="50" t="e">
        <f>'Raw Data'!#REF!/O$1</f>
        <v>#REF!</v>
      </c>
      <c r="P201" s="50" t="str">
        <f t="shared" si="13"/>
        <v/>
      </c>
      <c r="Q201" s="50" t="e">
        <f t="shared" si="14"/>
        <v>#REF!</v>
      </c>
    </row>
    <row r="202" spans="1:17">
      <c r="A202" s="2" t="s">
        <v>208</v>
      </c>
      <c r="B202" s="46">
        <v>4</v>
      </c>
      <c r="C202" s="46">
        <v>2022</v>
      </c>
      <c r="D202" s="46" t="s">
        <v>209</v>
      </c>
      <c r="E202" s="46" t="s">
        <v>209</v>
      </c>
      <c r="F202" s="31">
        <v>44835</v>
      </c>
      <c r="G202" s="46">
        <f t="shared" si="16"/>
        <v>31</v>
      </c>
      <c r="H202" s="47">
        <f t="shared" si="15"/>
        <v>44851</v>
      </c>
      <c r="I202" s="140">
        <f>_xlfn.XLOOKUP(Table12[[#This Row],[Month Year]],'Modelling New'!D:D,'Modelling New'!N:N)</f>
        <v>10.507</v>
      </c>
      <c r="J202" s="50" t="e">
        <f>'Raw Data'!#REF!/J$1</f>
        <v>#REF!</v>
      </c>
      <c r="K202" s="50" t="e">
        <f>'Raw Data'!#REF!/K$1</f>
        <v>#REF!</v>
      </c>
      <c r="L202" s="50" t="e">
        <f>'Raw Data'!#REF!/L$1</f>
        <v>#REF!</v>
      </c>
      <c r="M202" s="50" t="e">
        <f>'Raw Data'!#REF!/M$1</f>
        <v>#REF!</v>
      </c>
      <c r="N202" s="50" t="e">
        <f>'Raw Data'!#REF!/N$1</f>
        <v>#REF!</v>
      </c>
      <c r="O202" s="50" t="e">
        <f>'Raw Data'!#REF!/O$1</f>
        <v>#REF!</v>
      </c>
      <c r="P202" s="50" t="str">
        <f t="shared" si="13"/>
        <v/>
      </c>
      <c r="Q202" s="50" t="e">
        <f t="shared" si="14"/>
        <v>#REF!</v>
      </c>
    </row>
    <row r="203" spans="1:17">
      <c r="A203" s="2" t="s">
        <v>208</v>
      </c>
      <c r="B203" s="44">
        <v>4</v>
      </c>
      <c r="C203" s="44">
        <v>2022</v>
      </c>
      <c r="D203" s="44" t="s">
        <v>209</v>
      </c>
      <c r="E203" s="44" t="s">
        <v>209</v>
      </c>
      <c r="F203" s="31">
        <v>44835</v>
      </c>
      <c r="G203" s="44">
        <f t="shared" si="16"/>
        <v>31</v>
      </c>
      <c r="H203" s="45">
        <f t="shared" si="15"/>
        <v>44852</v>
      </c>
      <c r="I203" s="139">
        <f>_xlfn.XLOOKUP(Table12[[#This Row],[Month Year]],'Modelling New'!D:D,'Modelling New'!N:N)</f>
        <v>10.507</v>
      </c>
      <c r="J203" s="50" t="e">
        <f>'Raw Data'!#REF!/J$1</f>
        <v>#REF!</v>
      </c>
      <c r="K203" s="50" t="e">
        <f>'Raw Data'!#REF!/K$1</f>
        <v>#REF!</v>
      </c>
      <c r="L203" s="50" t="e">
        <f>'Raw Data'!#REF!/L$1</f>
        <v>#REF!</v>
      </c>
      <c r="M203" s="50" t="e">
        <f>'Raw Data'!#REF!/M$1</f>
        <v>#REF!</v>
      </c>
      <c r="N203" s="50" t="e">
        <f>'Raw Data'!#REF!/N$1</f>
        <v>#REF!</v>
      </c>
      <c r="O203" s="50" t="e">
        <f>'Raw Data'!#REF!/O$1</f>
        <v>#REF!</v>
      </c>
      <c r="P203" s="50" t="str">
        <f t="shared" si="13"/>
        <v/>
      </c>
      <c r="Q203" s="50" t="e">
        <f t="shared" si="14"/>
        <v>#REF!</v>
      </c>
    </row>
    <row r="204" spans="1:17">
      <c r="A204" s="2" t="s">
        <v>208</v>
      </c>
      <c r="B204" s="46">
        <v>4</v>
      </c>
      <c r="C204" s="46">
        <v>2022</v>
      </c>
      <c r="D204" s="46" t="s">
        <v>209</v>
      </c>
      <c r="E204" s="46" t="s">
        <v>209</v>
      </c>
      <c r="F204" s="31">
        <v>44835</v>
      </c>
      <c r="G204" s="46">
        <f t="shared" si="16"/>
        <v>31</v>
      </c>
      <c r="H204" s="47">
        <f t="shared" si="15"/>
        <v>44853</v>
      </c>
      <c r="I204" s="140">
        <f>_xlfn.XLOOKUP(Table12[[#This Row],[Month Year]],'Modelling New'!D:D,'Modelling New'!N:N)</f>
        <v>10.507</v>
      </c>
      <c r="J204" s="50" t="e">
        <f>'Raw Data'!#REF!/J$1</f>
        <v>#REF!</v>
      </c>
      <c r="K204" s="50" t="e">
        <f>'Raw Data'!#REF!/K$1</f>
        <v>#REF!</v>
      </c>
      <c r="L204" s="50" t="e">
        <f>'Raw Data'!#REF!/L$1</f>
        <v>#REF!</v>
      </c>
      <c r="M204" s="50" t="e">
        <f>'Raw Data'!#REF!/M$1</f>
        <v>#REF!</v>
      </c>
      <c r="N204" s="50" t="e">
        <f>'Raw Data'!#REF!/N$1</f>
        <v>#REF!</v>
      </c>
      <c r="O204" s="50" t="e">
        <f>'Raw Data'!#REF!/O$1</f>
        <v>#REF!</v>
      </c>
      <c r="P204" s="50" t="str">
        <f t="shared" si="13"/>
        <v/>
      </c>
      <c r="Q204" s="50" t="e">
        <f t="shared" si="14"/>
        <v>#REF!</v>
      </c>
    </row>
    <row r="205" spans="1:17">
      <c r="A205" s="2" t="s">
        <v>208</v>
      </c>
      <c r="B205" s="44">
        <v>4</v>
      </c>
      <c r="C205" s="44">
        <v>2022</v>
      </c>
      <c r="D205" s="44" t="s">
        <v>209</v>
      </c>
      <c r="E205" s="44" t="s">
        <v>209</v>
      </c>
      <c r="F205" s="31">
        <v>44835</v>
      </c>
      <c r="G205" s="44">
        <f t="shared" si="16"/>
        <v>31</v>
      </c>
      <c r="H205" s="45">
        <f t="shared" si="15"/>
        <v>44854</v>
      </c>
      <c r="I205" s="139">
        <f>_xlfn.XLOOKUP(Table12[[#This Row],[Month Year]],'Modelling New'!D:D,'Modelling New'!N:N)</f>
        <v>10.507</v>
      </c>
      <c r="J205" s="50" t="e">
        <f>'Raw Data'!#REF!/J$1</f>
        <v>#REF!</v>
      </c>
      <c r="K205" s="50" t="e">
        <f>'Raw Data'!#REF!/K$1</f>
        <v>#REF!</v>
      </c>
      <c r="L205" s="50" t="e">
        <f>'Raw Data'!#REF!/L$1</f>
        <v>#REF!</v>
      </c>
      <c r="M205" s="50" t="e">
        <f>'Raw Data'!#REF!/M$1</f>
        <v>#REF!</v>
      </c>
      <c r="N205" s="50" t="e">
        <f>'Raw Data'!#REF!/N$1</f>
        <v>#REF!</v>
      </c>
      <c r="O205" s="50" t="e">
        <f>'Raw Data'!#REF!/O$1</f>
        <v>#REF!</v>
      </c>
      <c r="P205" s="50" t="str">
        <f t="shared" si="13"/>
        <v/>
      </c>
      <c r="Q205" s="50" t="e">
        <f t="shared" si="14"/>
        <v>#REF!</v>
      </c>
    </row>
    <row r="206" spans="1:17">
      <c r="A206" s="2" t="s">
        <v>208</v>
      </c>
      <c r="B206" s="46">
        <v>4</v>
      </c>
      <c r="C206" s="46">
        <v>2022</v>
      </c>
      <c r="D206" s="46" t="s">
        <v>209</v>
      </c>
      <c r="E206" s="46" t="s">
        <v>209</v>
      </c>
      <c r="F206" s="31">
        <v>44835</v>
      </c>
      <c r="G206" s="46">
        <f t="shared" si="16"/>
        <v>31</v>
      </c>
      <c r="H206" s="47">
        <f t="shared" si="15"/>
        <v>44855</v>
      </c>
      <c r="I206" s="140">
        <f>_xlfn.XLOOKUP(Table12[[#This Row],[Month Year]],'Modelling New'!D:D,'Modelling New'!N:N)</f>
        <v>10.507</v>
      </c>
      <c r="J206" s="50" t="e">
        <f>'Raw Data'!#REF!/J$1</f>
        <v>#REF!</v>
      </c>
      <c r="K206" s="50" t="e">
        <f>'Raw Data'!#REF!/K$1</f>
        <v>#REF!</v>
      </c>
      <c r="L206" s="50" t="e">
        <f>'Raw Data'!#REF!/L$1</f>
        <v>#REF!</v>
      </c>
      <c r="M206" s="50" t="e">
        <f>'Raw Data'!#REF!/M$1</f>
        <v>#REF!</v>
      </c>
      <c r="N206" s="50" t="e">
        <f>'Raw Data'!#REF!/N$1</f>
        <v>#REF!</v>
      </c>
      <c r="O206" s="50" t="e">
        <f>'Raw Data'!#REF!/O$1</f>
        <v>#REF!</v>
      </c>
      <c r="P206" s="50" t="str">
        <f t="shared" si="13"/>
        <v/>
      </c>
      <c r="Q206" s="50" t="e">
        <f t="shared" si="14"/>
        <v>#REF!</v>
      </c>
    </row>
    <row r="207" spans="1:17">
      <c r="A207" s="2" t="s">
        <v>208</v>
      </c>
      <c r="B207" s="44">
        <v>4</v>
      </c>
      <c r="C207" s="44">
        <v>2022</v>
      </c>
      <c r="D207" s="44" t="s">
        <v>209</v>
      </c>
      <c r="E207" s="44" t="s">
        <v>209</v>
      </c>
      <c r="F207" s="31">
        <v>44835</v>
      </c>
      <c r="G207" s="44">
        <f t="shared" si="16"/>
        <v>31</v>
      </c>
      <c r="H207" s="45">
        <f t="shared" si="15"/>
        <v>44856</v>
      </c>
      <c r="I207" s="139">
        <f>_xlfn.XLOOKUP(Table12[[#This Row],[Month Year]],'Modelling New'!D:D,'Modelling New'!N:N)</f>
        <v>10.507</v>
      </c>
      <c r="J207" s="50" t="e">
        <f>'Raw Data'!#REF!/J$1</f>
        <v>#REF!</v>
      </c>
      <c r="K207" s="50" t="e">
        <f>'Raw Data'!#REF!/K$1</f>
        <v>#REF!</v>
      </c>
      <c r="L207" s="50" t="e">
        <f>'Raw Data'!#REF!/L$1</f>
        <v>#REF!</v>
      </c>
      <c r="M207" s="50" t="e">
        <f>'Raw Data'!#REF!/M$1</f>
        <v>#REF!</v>
      </c>
      <c r="N207" s="50" t="e">
        <f>'Raw Data'!#REF!/N$1</f>
        <v>#REF!</v>
      </c>
      <c r="O207" s="50" t="e">
        <f>'Raw Data'!#REF!/O$1</f>
        <v>#REF!</v>
      </c>
      <c r="P207" s="50" t="str">
        <f t="shared" si="13"/>
        <v/>
      </c>
      <c r="Q207" s="50" t="e">
        <f t="shared" si="14"/>
        <v>#REF!</v>
      </c>
    </row>
    <row r="208" spans="1:17">
      <c r="A208" s="2" t="s">
        <v>208</v>
      </c>
      <c r="B208" s="46">
        <v>4</v>
      </c>
      <c r="C208" s="46">
        <v>2022</v>
      </c>
      <c r="D208" s="46" t="s">
        <v>209</v>
      </c>
      <c r="E208" s="46" t="s">
        <v>209</v>
      </c>
      <c r="F208" s="31">
        <v>44835</v>
      </c>
      <c r="G208" s="46">
        <f t="shared" si="16"/>
        <v>31</v>
      </c>
      <c r="H208" s="47">
        <f t="shared" si="15"/>
        <v>44857</v>
      </c>
      <c r="I208" s="140">
        <f>_xlfn.XLOOKUP(Table12[[#This Row],[Month Year]],'Modelling New'!D:D,'Modelling New'!N:N)</f>
        <v>10.507</v>
      </c>
      <c r="J208" s="50" t="e">
        <f>'Raw Data'!#REF!/J$1</f>
        <v>#REF!</v>
      </c>
      <c r="K208" s="50" t="e">
        <f>'Raw Data'!#REF!/K$1</f>
        <v>#REF!</v>
      </c>
      <c r="L208" s="50" t="e">
        <f>'Raw Data'!#REF!/L$1</f>
        <v>#REF!</v>
      </c>
      <c r="M208" s="50" t="e">
        <f>'Raw Data'!#REF!/M$1</f>
        <v>#REF!</v>
      </c>
      <c r="N208" s="50" t="e">
        <f>'Raw Data'!#REF!/N$1</f>
        <v>#REF!</v>
      </c>
      <c r="O208" s="50" t="e">
        <f>'Raw Data'!#REF!/O$1</f>
        <v>#REF!</v>
      </c>
      <c r="P208" s="50" t="str">
        <f t="shared" si="13"/>
        <v/>
      </c>
      <c r="Q208" s="50" t="e">
        <f t="shared" si="14"/>
        <v>#REF!</v>
      </c>
    </row>
    <row r="209" spans="1:17">
      <c r="A209" s="2" t="s">
        <v>208</v>
      </c>
      <c r="B209" s="44">
        <v>4</v>
      </c>
      <c r="C209" s="44">
        <v>2022</v>
      </c>
      <c r="D209" s="44" t="s">
        <v>209</v>
      </c>
      <c r="E209" s="44" t="s">
        <v>209</v>
      </c>
      <c r="F209" s="31">
        <v>44835</v>
      </c>
      <c r="G209" s="44">
        <f t="shared" si="16"/>
        <v>31</v>
      </c>
      <c r="H209" s="45">
        <f t="shared" si="15"/>
        <v>44858</v>
      </c>
      <c r="I209" s="139">
        <f>_xlfn.XLOOKUP(Table12[[#This Row],[Month Year]],'Modelling New'!D:D,'Modelling New'!N:N)</f>
        <v>10.507</v>
      </c>
      <c r="J209" s="50" t="e">
        <f>'Raw Data'!#REF!/J$1</f>
        <v>#REF!</v>
      </c>
      <c r="K209" s="50" t="e">
        <f>'Raw Data'!#REF!/K$1</f>
        <v>#REF!</v>
      </c>
      <c r="L209" s="50" t="e">
        <f>'Raw Data'!#REF!/L$1</f>
        <v>#REF!</v>
      </c>
      <c r="M209" s="50" t="e">
        <f>'Raw Data'!#REF!/M$1</f>
        <v>#REF!</v>
      </c>
      <c r="N209" s="50" t="e">
        <f>'Raw Data'!#REF!/N$1</f>
        <v>#REF!</v>
      </c>
      <c r="O209" s="50" t="e">
        <f>'Raw Data'!#REF!/O$1</f>
        <v>#REF!</v>
      </c>
      <c r="P209" s="50" t="str">
        <f t="shared" si="13"/>
        <v/>
      </c>
      <c r="Q209" s="50" t="e">
        <f t="shared" si="14"/>
        <v>#REF!</v>
      </c>
    </row>
    <row r="210" spans="1:17">
      <c r="A210" s="2" t="s">
        <v>208</v>
      </c>
      <c r="B210" s="46">
        <v>4</v>
      </c>
      <c r="C210" s="46">
        <v>2022</v>
      </c>
      <c r="D210" s="46" t="s">
        <v>209</v>
      </c>
      <c r="E210" s="46" t="s">
        <v>209</v>
      </c>
      <c r="F210" s="31">
        <v>44835</v>
      </c>
      <c r="G210" s="46">
        <f t="shared" si="16"/>
        <v>31</v>
      </c>
      <c r="H210" s="47">
        <f t="shared" si="15"/>
        <v>44859</v>
      </c>
      <c r="I210" s="140">
        <f>_xlfn.XLOOKUP(Table12[[#This Row],[Month Year]],'Modelling New'!D:D,'Modelling New'!N:N)</f>
        <v>10.507</v>
      </c>
      <c r="J210" s="50" t="e">
        <f>'Raw Data'!#REF!/J$1</f>
        <v>#REF!</v>
      </c>
      <c r="K210" s="50" t="e">
        <f>'Raw Data'!#REF!/K$1</f>
        <v>#REF!</v>
      </c>
      <c r="L210" s="50" t="e">
        <f>'Raw Data'!#REF!/L$1</f>
        <v>#REF!</v>
      </c>
      <c r="M210" s="50" t="e">
        <f>'Raw Data'!#REF!/M$1</f>
        <v>#REF!</v>
      </c>
      <c r="N210" s="50" t="e">
        <f>'Raw Data'!#REF!/N$1</f>
        <v>#REF!</v>
      </c>
      <c r="O210" s="50" t="e">
        <f>'Raw Data'!#REF!/O$1</f>
        <v>#REF!</v>
      </c>
      <c r="P210" s="50" t="str">
        <f t="shared" si="13"/>
        <v/>
      </c>
      <c r="Q210" s="50" t="e">
        <f t="shared" si="14"/>
        <v>#REF!</v>
      </c>
    </row>
    <row r="211" spans="1:17">
      <c r="A211" s="2" t="s">
        <v>208</v>
      </c>
      <c r="B211" s="44">
        <v>4</v>
      </c>
      <c r="C211" s="44">
        <v>2022</v>
      </c>
      <c r="D211" s="44" t="s">
        <v>209</v>
      </c>
      <c r="E211" s="44" t="s">
        <v>209</v>
      </c>
      <c r="F211" s="31">
        <v>44835</v>
      </c>
      <c r="G211" s="44">
        <f t="shared" si="16"/>
        <v>31</v>
      </c>
      <c r="H211" s="45">
        <f t="shared" si="15"/>
        <v>44860</v>
      </c>
      <c r="I211" s="139">
        <f>_xlfn.XLOOKUP(Table12[[#This Row],[Month Year]],'Modelling New'!D:D,'Modelling New'!N:N)</f>
        <v>10.507</v>
      </c>
      <c r="J211" s="50" t="e">
        <f>'Raw Data'!#REF!/J$1</f>
        <v>#REF!</v>
      </c>
      <c r="K211" s="50" t="e">
        <f>'Raw Data'!#REF!/K$1</f>
        <v>#REF!</v>
      </c>
      <c r="L211" s="50" t="e">
        <f>'Raw Data'!#REF!/L$1</f>
        <v>#REF!</v>
      </c>
      <c r="M211" s="50" t="e">
        <f>'Raw Data'!#REF!/M$1</f>
        <v>#REF!</v>
      </c>
      <c r="N211" s="50" t="e">
        <f>'Raw Data'!#REF!/N$1</f>
        <v>#REF!</v>
      </c>
      <c r="O211" s="50" t="e">
        <f>'Raw Data'!#REF!/O$1</f>
        <v>#REF!</v>
      </c>
      <c r="P211" s="50" t="str">
        <f t="shared" si="13"/>
        <v/>
      </c>
      <c r="Q211" s="50" t="e">
        <f t="shared" si="14"/>
        <v>#REF!</v>
      </c>
    </row>
    <row r="212" spans="1:17">
      <c r="A212" s="2" t="s">
        <v>208</v>
      </c>
      <c r="B212" s="46">
        <v>4</v>
      </c>
      <c r="C212" s="46">
        <v>2022</v>
      </c>
      <c r="D212" s="46" t="s">
        <v>209</v>
      </c>
      <c r="E212" s="46" t="s">
        <v>209</v>
      </c>
      <c r="F212" s="31">
        <v>44835</v>
      </c>
      <c r="G212" s="46">
        <f t="shared" si="16"/>
        <v>31</v>
      </c>
      <c r="H212" s="47">
        <f t="shared" si="15"/>
        <v>44861</v>
      </c>
      <c r="I212" s="140">
        <f>_xlfn.XLOOKUP(Table12[[#This Row],[Month Year]],'Modelling New'!D:D,'Modelling New'!N:N)</f>
        <v>10.507</v>
      </c>
      <c r="J212" s="50" t="e">
        <f>'Raw Data'!#REF!/J$1</f>
        <v>#REF!</v>
      </c>
      <c r="K212" s="50" t="e">
        <f>'Raw Data'!#REF!/K$1</f>
        <v>#REF!</v>
      </c>
      <c r="L212" s="50" t="e">
        <f>'Raw Data'!#REF!/L$1</f>
        <v>#REF!</v>
      </c>
      <c r="M212" s="50" t="e">
        <f>'Raw Data'!#REF!/M$1</f>
        <v>#REF!</v>
      </c>
      <c r="N212" s="50" t="e">
        <f>'Raw Data'!#REF!/N$1</f>
        <v>#REF!</v>
      </c>
      <c r="O212" s="50" t="e">
        <f>'Raw Data'!#REF!/O$1</f>
        <v>#REF!</v>
      </c>
      <c r="P212" s="50" t="str">
        <f t="shared" si="13"/>
        <v/>
      </c>
      <c r="Q212" s="50" t="e">
        <f t="shared" si="14"/>
        <v>#REF!</v>
      </c>
    </row>
    <row r="213" spans="1:17">
      <c r="A213" s="2" t="s">
        <v>208</v>
      </c>
      <c r="B213" s="44">
        <v>4</v>
      </c>
      <c r="C213" s="44">
        <v>2022</v>
      </c>
      <c r="D213" s="44" t="s">
        <v>209</v>
      </c>
      <c r="E213" s="44" t="s">
        <v>209</v>
      </c>
      <c r="F213" s="31">
        <v>44835</v>
      </c>
      <c r="G213" s="44">
        <f t="shared" si="16"/>
        <v>31</v>
      </c>
      <c r="H213" s="45">
        <f t="shared" si="15"/>
        <v>44862</v>
      </c>
      <c r="I213" s="139">
        <f>_xlfn.XLOOKUP(Table12[[#This Row],[Month Year]],'Modelling New'!D:D,'Modelling New'!N:N)</f>
        <v>10.507</v>
      </c>
      <c r="J213" s="50" t="e">
        <f>'Raw Data'!#REF!/J$1</f>
        <v>#REF!</v>
      </c>
      <c r="K213" s="50" t="e">
        <f>'Raw Data'!#REF!/K$1</f>
        <v>#REF!</v>
      </c>
      <c r="L213" s="50" t="e">
        <f>'Raw Data'!#REF!/L$1</f>
        <v>#REF!</v>
      </c>
      <c r="M213" s="50" t="e">
        <f>'Raw Data'!#REF!/M$1</f>
        <v>#REF!</v>
      </c>
      <c r="N213" s="50" t="e">
        <f>'Raw Data'!#REF!/N$1</f>
        <v>#REF!</v>
      </c>
      <c r="O213" s="50" t="e">
        <f>'Raw Data'!#REF!/O$1</f>
        <v>#REF!</v>
      </c>
      <c r="P213" s="50" t="str">
        <f t="shared" si="13"/>
        <v/>
      </c>
      <c r="Q213" s="50" t="e">
        <f t="shared" si="14"/>
        <v>#REF!</v>
      </c>
    </row>
    <row r="214" spans="1:17">
      <c r="A214" s="2" t="s">
        <v>208</v>
      </c>
      <c r="B214" s="46">
        <v>4</v>
      </c>
      <c r="C214" s="46">
        <v>2022</v>
      </c>
      <c r="D214" s="46" t="s">
        <v>209</v>
      </c>
      <c r="E214" s="46" t="s">
        <v>209</v>
      </c>
      <c r="F214" s="31">
        <v>44835</v>
      </c>
      <c r="G214" s="46">
        <f t="shared" si="16"/>
        <v>31</v>
      </c>
      <c r="H214" s="47">
        <f t="shared" si="15"/>
        <v>44863</v>
      </c>
      <c r="I214" s="140">
        <f>_xlfn.XLOOKUP(Table12[[#This Row],[Month Year]],'Modelling New'!D:D,'Modelling New'!N:N)</f>
        <v>10.507</v>
      </c>
      <c r="J214" s="50" t="e">
        <f>'Raw Data'!#REF!/J$1</f>
        <v>#REF!</v>
      </c>
      <c r="K214" s="50" t="e">
        <f>'Raw Data'!#REF!/K$1</f>
        <v>#REF!</v>
      </c>
      <c r="L214" s="50" t="e">
        <f>'Raw Data'!#REF!/L$1</f>
        <v>#REF!</v>
      </c>
      <c r="M214" s="50" t="e">
        <f>'Raw Data'!#REF!/M$1</f>
        <v>#REF!</v>
      </c>
      <c r="N214" s="50" t="e">
        <f>'Raw Data'!#REF!/N$1</f>
        <v>#REF!</v>
      </c>
      <c r="O214" s="50" t="e">
        <f>'Raw Data'!#REF!/O$1</f>
        <v>#REF!</v>
      </c>
      <c r="P214" s="50" t="str">
        <f t="shared" si="13"/>
        <v/>
      </c>
      <c r="Q214" s="50" t="e">
        <f t="shared" si="14"/>
        <v>#REF!</v>
      </c>
    </row>
    <row r="215" spans="1:17">
      <c r="A215" s="2" t="s">
        <v>208</v>
      </c>
      <c r="B215" s="44">
        <v>4</v>
      </c>
      <c r="C215" s="44">
        <v>2022</v>
      </c>
      <c r="D215" s="44" t="s">
        <v>209</v>
      </c>
      <c r="E215" s="44" t="s">
        <v>209</v>
      </c>
      <c r="F215" s="31">
        <v>44835</v>
      </c>
      <c r="G215" s="44">
        <f t="shared" si="16"/>
        <v>31</v>
      </c>
      <c r="H215" s="45">
        <f t="shared" si="15"/>
        <v>44864</v>
      </c>
      <c r="I215" s="139">
        <f>_xlfn.XLOOKUP(Table12[[#This Row],[Month Year]],'Modelling New'!D:D,'Modelling New'!N:N)</f>
        <v>10.507</v>
      </c>
      <c r="J215" s="50" t="e">
        <f>'Raw Data'!#REF!/J$1</f>
        <v>#REF!</v>
      </c>
      <c r="K215" s="50" t="e">
        <f>'Raw Data'!#REF!/K$1</f>
        <v>#REF!</v>
      </c>
      <c r="L215" s="50" t="e">
        <f>'Raw Data'!#REF!/L$1</f>
        <v>#REF!</v>
      </c>
      <c r="M215" s="50" t="e">
        <f>'Raw Data'!#REF!/M$1</f>
        <v>#REF!</v>
      </c>
      <c r="N215" s="50" t="e">
        <f>'Raw Data'!#REF!/N$1</f>
        <v>#REF!</v>
      </c>
      <c r="O215" s="50" t="e">
        <f>'Raw Data'!#REF!/O$1</f>
        <v>#REF!</v>
      </c>
      <c r="P215" s="50" t="str">
        <f t="shared" si="13"/>
        <v/>
      </c>
      <c r="Q215" s="50" t="e">
        <f t="shared" si="14"/>
        <v>#REF!</v>
      </c>
    </row>
    <row r="216" spans="1:17">
      <c r="A216" s="2" t="s">
        <v>208</v>
      </c>
      <c r="B216" s="46">
        <v>4</v>
      </c>
      <c r="C216" s="46">
        <v>2022</v>
      </c>
      <c r="D216" s="46" t="s">
        <v>209</v>
      </c>
      <c r="E216" s="46" t="s">
        <v>209</v>
      </c>
      <c r="F216" s="31">
        <v>44835</v>
      </c>
      <c r="G216" s="46">
        <f t="shared" si="16"/>
        <v>31</v>
      </c>
      <c r="H216" s="47">
        <f t="shared" si="15"/>
        <v>44865</v>
      </c>
      <c r="I216" s="140">
        <f>_xlfn.XLOOKUP(Table12[[#This Row],[Month Year]],'Modelling New'!D:D,'Modelling New'!N:N)</f>
        <v>10.507</v>
      </c>
      <c r="J216" s="50" t="e">
        <f>'Raw Data'!#REF!/J$1</f>
        <v>#REF!</v>
      </c>
      <c r="K216" s="50" t="e">
        <f>'Raw Data'!#REF!/K$1</f>
        <v>#REF!</v>
      </c>
      <c r="L216" s="50" t="e">
        <f>'Raw Data'!#REF!/L$1</f>
        <v>#REF!</v>
      </c>
      <c r="M216" s="50" t="e">
        <f>'Raw Data'!#REF!/M$1</f>
        <v>#REF!</v>
      </c>
      <c r="N216" s="50" t="e">
        <f>'Raw Data'!#REF!/N$1</f>
        <v>#REF!</v>
      </c>
      <c r="O216" s="50" t="e">
        <f>'Raw Data'!#REF!/O$1</f>
        <v>#REF!</v>
      </c>
      <c r="P216" s="50" t="str">
        <f t="shared" si="13"/>
        <v/>
      </c>
      <c r="Q216" s="50" t="e">
        <f t="shared" si="14"/>
        <v>#REF!</v>
      </c>
    </row>
    <row r="217" spans="1:17">
      <c r="A217" s="2" t="s">
        <v>208</v>
      </c>
      <c r="B217" s="44">
        <v>4</v>
      </c>
      <c r="C217" s="44">
        <v>2022</v>
      </c>
      <c r="D217" s="44" t="s">
        <v>209</v>
      </c>
      <c r="E217" s="44" t="s">
        <v>209</v>
      </c>
      <c r="F217" s="31">
        <v>44866</v>
      </c>
      <c r="G217" s="44">
        <f t="shared" si="16"/>
        <v>30</v>
      </c>
      <c r="H217" s="45">
        <f t="shared" si="15"/>
        <v>44866</v>
      </c>
      <c r="I217" s="139">
        <f>_xlfn.XLOOKUP(Table12[[#This Row],[Month Year]],'Modelling New'!D:D,'Modelling New'!N:N)</f>
        <v>10.507</v>
      </c>
      <c r="J217" s="50" t="e">
        <f>'Raw Data'!#REF!/J$1</f>
        <v>#REF!</v>
      </c>
      <c r="K217" s="50" t="e">
        <f>'Raw Data'!#REF!/K$1</f>
        <v>#REF!</v>
      </c>
      <c r="L217" s="50" t="e">
        <f>'Raw Data'!#REF!/L$1</f>
        <v>#REF!</v>
      </c>
      <c r="M217" s="50" t="e">
        <f>'Raw Data'!#REF!/M$1</f>
        <v>#REF!</v>
      </c>
      <c r="N217" s="50" t="e">
        <f>'Raw Data'!#REF!/N$1</f>
        <v>#REF!</v>
      </c>
      <c r="O217" s="50" t="e">
        <f>'Raw Data'!#REF!/O$1</f>
        <v>#REF!</v>
      </c>
      <c r="P217" s="50" t="str">
        <f t="shared" si="13"/>
        <v/>
      </c>
      <c r="Q217" s="50" t="e">
        <f t="shared" si="14"/>
        <v>#REF!</v>
      </c>
    </row>
    <row r="218" spans="1:17">
      <c r="A218" s="2" t="s">
        <v>208</v>
      </c>
      <c r="B218" s="46">
        <v>4</v>
      </c>
      <c r="C218" s="46">
        <v>2022</v>
      </c>
      <c r="D218" s="46" t="s">
        <v>209</v>
      </c>
      <c r="E218" s="46" t="s">
        <v>209</v>
      </c>
      <c r="F218" s="31">
        <v>44866</v>
      </c>
      <c r="G218" s="46">
        <f t="shared" si="16"/>
        <v>30</v>
      </c>
      <c r="H218" s="47">
        <f t="shared" si="15"/>
        <v>44867</v>
      </c>
      <c r="I218" s="140">
        <f>_xlfn.XLOOKUP(Table12[[#This Row],[Month Year]],'Modelling New'!D:D,'Modelling New'!N:N)</f>
        <v>10.507</v>
      </c>
      <c r="J218" s="50" t="e">
        <f>'Raw Data'!#REF!/J$1</f>
        <v>#REF!</v>
      </c>
      <c r="K218" s="50" t="e">
        <f>'Raw Data'!#REF!/K$1</f>
        <v>#REF!</v>
      </c>
      <c r="L218" s="50" t="e">
        <f>'Raw Data'!#REF!/L$1</f>
        <v>#REF!</v>
      </c>
      <c r="M218" s="50" t="e">
        <f>'Raw Data'!#REF!/M$1</f>
        <v>#REF!</v>
      </c>
      <c r="N218" s="50" t="e">
        <f>'Raw Data'!#REF!/N$1</f>
        <v>#REF!</v>
      </c>
      <c r="O218" s="50" t="e">
        <f>'Raw Data'!#REF!/O$1</f>
        <v>#REF!</v>
      </c>
      <c r="P218" s="50" t="str">
        <f t="shared" si="13"/>
        <v/>
      </c>
      <c r="Q218" s="50" t="e">
        <f t="shared" si="14"/>
        <v>#REF!</v>
      </c>
    </row>
    <row r="219" spans="1:17">
      <c r="A219" s="2" t="s">
        <v>208</v>
      </c>
      <c r="B219" s="44">
        <v>4</v>
      </c>
      <c r="C219" s="44">
        <v>2022</v>
      </c>
      <c r="D219" s="44" t="s">
        <v>209</v>
      </c>
      <c r="E219" s="44" t="s">
        <v>209</v>
      </c>
      <c r="F219" s="31">
        <v>44866</v>
      </c>
      <c r="G219" s="44">
        <f t="shared" si="16"/>
        <v>30</v>
      </c>
      <c r="H219" s="45">
        <f t="shared" si="15"/>
        <v>44868</v>
      </c>
      <c r="I219" s="139">
        <f>_xlfn.XLOOKUP(Table12[[#This Row],[Month Year]],'Modelling New'!D:D,'Modelling New'!N:N)</f>
        <v>10.507</v>
      </c>
      <c r="J219" s="50" t="e">
        <f>'Raw Data'!#REF!/J$1</f>
        <v>#REF!</v>
      </c>
      <c r="K219" s="50" t="e">
        <f>'Raw Data'!#REF!/K$1</f>
        <v>#REF!</v>
      </c>
      <c r="L219" s="50" t="e">
        <f>'Raw Data'!#REF!/L$1</f>
        <v>#REF!</v>
      </c>
      <c r="M219" s="50" t="e">
        <f>'Raw Data'!#REF!/M$1</f>
        <v>#REF!</v>
      </c>
      <c r="N219" s="50" t="e">
        <f>'Raw Data'!#REF!/N$1</f>
        <v>#REF!</v>
      </c>
      <c r="O219" s="50" t="e">
        <f>'Raw Data'!#REF!/O$1</f>
        <v>#REF!</v>
      </c>
      <c r="P219" s="50" t="str">
        <f t="shared" si="13"/>
        <v/>
      </c>
      <c r="Q219" s="50" t="e">
        <f t="shared" si="14"/>
        <v>#REF!</v>
      </c>
    </row>
    <row r="220" spans="1:17">
      <c r="A220" s="2" t="s">
        <v>208</v>
      </c>
      <c r="B220" s="46">
        <v>4</v>
      </c>
      <c r="C220" s="46">
        <v>2022</v>
      </c>
      <c r="D220" s="46" t="s">
        <v>209</v>
      </c>
      <c r="E220" s="46" t="s">
        <v>209</v>
      </c>
      <c r="F220" s="31">
        <v>44866</v>
      </c>
      <c r="G220" s="46">
        <f t="shared" si="16"/>
        <v>30</v>
      </c>
      <c r="H220" s="47">
        <f t="shared" si="15"/>
        <v>44869</v>
      </c>
      <c r="I220" s="140">
        <f>_xlfn.XLOOKUP(Table12[[#This Row],[Month Year]],'Modelling New'!D:D,'Modelling New'!N:N)</f>
        <v>10.507</v>
      </c>
      <c r="J220" s="50" t="e">
        <f>'Raw Data'!#REF!/J$1</f>
        <v>#REF!</v>
      </c>
      <c r="K220" s="50" t="e">
        <f>'Raw Data'!#REF!/K$1</f>
        <v>#REF!</v>
      </c>
      <c r="L220" s="50" t="e">
        <f>'Raw Data'!#REF!/L$1</f>
        <v>#REF!</v>
      </c>
      <c r="M220" s="50" t="e">
        <f>'Raw Data'!#REF!/M$1</f>
        <v>#REF!</v>
      </c>
      <c r="N220" s="50" t="e">
        <f>'Raw Data'!#REF!/N$1</f>
        <v>#REF!</v>
      </c>
      <c r="O220" s="50" t="e">
        <f>'Raw Data'!#REF!/O$1</f>
        <v>#REF!</v>
      </c>
      <c r="P220" s="50" t="str">
        <f t="shared" si="13"/>
        <v/>
      </c>
      <c r="Q220" s="50" t="e">
        <f t="shared" si="14"/>
        <v>#REF!</v>
      </c>
    </row>
    <row r="221" spans="1:17">
      <c r="A221" s="2" t="s">
        <v>208</v>
      </c>
      <c r="B221" s="44">
        <v>4</v>
      </c>
      <c r="C221" s="44">
        <v>2022</v>
      </c>
      <c r="D221" s="44" t="s">
        <v>209</v>
      </c>
      <c r="E221" s="44" t="s">
        <v>209</v>
      </c>
      <c r="F221" s="31">
        <v>44866</v>
      </c>
      <c r="G221" s="44">
        <f t="shared" si="16"/>
        <v>30</v>
      </c>
      <c r="H221" s="45">
        <f t="shared" si="15"/>
        <v>44870</v>
      </c>
      <c r="I221" s="139">
        <f>_xlfn.XLOOKUP(Table12[[#This Row],[Month Year]],'Modelling New'!D:D,'Modelling New'!N:N)</f>
        <v>10.507</v>
      </c>
      <c r="J221" s="50" t="e">
        <f>'Raw Data'!#REF!/J$1</f>
        <v>#REF!</v>
      </c>
      <c r="K221" s="50" t="e">
        <f>'Raw Data'!#REF!/K$1</f>
        <v>#REF!</v>
      </c>
      <c r="L221" s="50" t="e">
        <f>'Raw Data'!#REF!/L$1</f>
        <v>#REF!</v>
      </c>
      <c r="M221" s="50" t="e">
        <f>'Raw Data'!#REF!/M$1</f>
        <v>#REF!</v>
      </c>
      <c r="N221" s="50" t="e">
        <f>'Raw Data'!#REF!/N$1</f>
        <v>#REF!</v>
      </c>
      <c r="O221" s="50" t="e">
        <f>'Raw Data'!#REF!/O$1</f>
        <v>#REF!</v>
      </c>
      <c r="P221" s="50" t="str">
        <f t="shared" si="13"/>
        <v/>
      </c>
      <c r="Q221" s="50" t="e">
        <f t="shared" si="14"/>
        <v>#REF!</v>
      </c>
    </row>
    <row r="222" spans="1:17">
      <c r="A222" s="2" t="s">
        <v>208</v>
      </c>
      <c r="B222" s="46">
        <v>4</v>
      </c>
      <c r="C222" s="46">
        <v>2022</v>
      </c>
      <c r="D222" s="46" t="s">
        <v>209</v>
      </c>
      <c r="E222" s="46" t="s">
        <v>209</v>
      </c>
      <c r="F222" s="31">
        <v>44866</v>
      </c>
      <c r="G222" s="46">
        <f t="shared" si="16"/>
        <v>30</v>
      </c>
      <c r="H222" s="47">
        <f t="shared" si="15"/>
        <v>44871</v>
      </c>
      <c r="I222" s="140">
        <f>_xlfn.XLOOKUP(Table12[[#This Row],[Month Year]],'Modelling New'!D:D,'Modelling New'!N:N)</f>
        <v>10.507</v>
      </c>
      <c r="J222" s="50" t="e">
        <f>'Raw Data'!#REF!/J$1</f>
        <v>#REF!</v>
      </c>
      <c r="K222" s="50" t="e">
        <f>'Raw Data'!#REF!/K$1</f>
        <v>#REF!</v>
      </c>
      <c r="L222" s="50" t="e">
        <f>'Raw Data'!#REF!/L$1</f>
        <v>#REF!</v>
      </c>
      <c r="M222" s="50" t="e">
        <f>'Raw Data'!#REF!/M$1</f>
        <v>#REF!</v>
      </c>
      <c r="N222" s="50" t="e">
        <f>'Raw Data'!#REF!/N$1</f>
        <v>#REF!</v>
      </c>
      <c r="O222" s="50" t="e">
        <f>'Raw Data'!#REF!/O$1</f>
        <v>#REF!</v>
      </c>
      <c r="P222" s="50" t="str">
        <f t="shared" si="13"/>
        <v/>
      </c>
      <c r="Q222" s="50" t="e">
        <f t="shared" si="14"/>
        <v>#REF!</v>
      </c>
    </row>
    <row r="223" spans="1:17">
      <c r="A223" s="2" t="s">
        <v>208</v>
      </c>
      <c r="B223" s="44">
        <v>4</v>
      </c>
      <c r="C223" s="44">
        <v>2022</v>
      </c>
      <c r="D223" s="44" t="s">
        <v>209</v>
      </c>
      <c r="E223" s="44" t="s">
        <v>209</v>
      </c>
      <c r="F223" s="31">
        <v>44866</v>
      </c>
      <c r="G223" s="44">
        <f t="shared" si="16"/>
        <v>30</v>
      </c>
      <c r="H223" s="45">
        <f t="shared" si="15"/>
        <v>44872</v>
      </c>
      <c r="I223" s="139">
        <f>_xlfn.XLOOKUP(Table12[[#This Row],[Month Year]],'Modelling New'!D:D,'Modelling New'!N:N)</f>
        <v>10.507</v>
      </c>
      <c r="J223" s="50" t="e">
        <f>'Raw Data'!#REF!/J$1</f>
        <v>#REF!</v>
      </c>
      <c r="K223" s="50" t="e">
        <f>'Raw Data'!#REF!/K$1</f>
        <v>#REF!</v>
      </c>
      <c r="L223" s="50" t="e">
        <f>'Raw Data'!#REF!/L$1</f>
        <v>#REF!</v>
      </c>
      <c r="M223" s="50" t="e">
        <f>'Raw Data'!#REF!/M$1</f>
        <v>#REF!</v>
      </c>
      <c r="N223" s="50" t="e">
        <f>'Raw Data'!#REF!/N$1</f>
        <v>#REF!</v>
      </c>
      <c r="O223" s="50" t="e">
        <f>'Raw Data'!#REF!/O$1</f>
        <v>#REF!</v>
      </c>
      <c r="P223" s="50" t="str">
        <f t="shared" si="13"/>
        <v/>
      </c>
      <c r="Q223" s="50" t="e">
        <f t="shared" si="14"/>
        <v>#REF!</v>
      </c>
    </row>
    <row r="224" spans="1:17">
      <c r="A224" s="2" t="s">
        <v>208</v>
      </c>
      <c r="B224" s="46">
        <v>4</v>
      </c>
      <c r="C224" s="46">
        <v>2022</v>
      </c>
      <c r="D224" s="46" t="s">
        <v>209</v>
      </c>
      <c r="E224" s="46" t="s">
        <v>209</v>
      </c>
      <c r="F224" s="31">
        <v>44866</v>
      </c>
      <c r="G224" s="46">
        <f t="shared" si="16"/>
        <v>30</v>
      </c>
      <c r="H224" s="47">
        <f t="shared" si="15"/>
        <v>44873</v>
      </c>
      <c r="I224" s="140">
        <f>_xlfn.XLOOKUP(Table12[[#This Row],[Month Year]],'Modelling New'!D:D,'Modelling New'!N:N)</f>
        <v>10.507</v>
      </c>
      <c r="J224" s="50" t="e">
        <f>'Raw Data'!#REF!/J$1</f>
        <v>#REF!</v>
      </c>
      <c r="K224" s="50" t="e">
        <f>'Raw Data'!#REF!/K$1</f>
        <v>#REF!</v>
      </c>
      <c r="L224" s="50" t="e">
        <f>'Raw Data'!#REF!/L$1</f>
        <v>#REF!</v>
      </c>
      <c r="M224" s="50" t="e">
        <f>'Raw Data'!#REF!/M$1</f>
        <v>#REF!</v>
      </c>
      <c r="N224" s="50" t="e">
        <f>'Raw Data'!#REF!/N$1</f>
        <v>#REF!</v>
      </c>
      <c r="O224" s="50" t="e">
        <f>'Raw Data'!#REF!/O$1</f>
        <v>#REF!</v>
      </c>
      <c r="P224" s="50" t="str">
        <f t="shared" si="13"/>
        <v/>
      </c>
      <c r="Q224" s="50" t="e">
        <f t="shared" si="14"/>
        <v>#REF!</v>
      </c>
    </row>
    <row r="225" spans="1:17">
      <c r="A225" s="2" t="s">
        <v>208</v>
      </c>
      <c r="B225" s="44">
        <v>4</v>
      </c>
      <c r="C225" s="44">
        <v>2022</v>
      </c>
      <c r="D225" s="44" t="s">
        <v>209</v>
      </c>
      <c r="E225" s="44" t="s">
        <v>209</v>
      </c>
      <c r="F225" s="31">
        <v>44866</v>
      </c>
      <c r="G225" s="44">
        <f t="shared" si="16"/>
        <v>30</v>
      </c>
      <c r="H225" s="45">
        <f t="shared" si="15"/>
        <v>44874</v>
      </c>
      <c r="I225" s="139">
        <f>_xlfn.XLOOKUP(Table12[[#This Row],[Month Year]],'Modelling New'!D:D,'Modelling New'!N:N)</f>
        <v>10.507</v>
      </c>
      <c r="J225" s="50" t="e">
        <f>'Raw Data'!#REF!/J$1</f>
        <v>#REF!</v>
      </c>
      <c r="K225" s="50" t="e">
        <f>'Raw Data'!#REF!/K$1</f>
        <v>#REF!</v>
      </c>
      <c r="L225" s="50" t="e">
        <f>'Raw Data'!#REF!/L$1</f>
        <v>#REF!</v>
      </c>
      <c r="M225" s="50" t="e">
        <f>'Raw Data'!#REF!/M$1</f>
        <v>#REF!</v>
      </c>
      <c r="N225" s="50" t="e">
        <f>'Raw Data'!#REF!/N$1</f>
        <v>#REF!</v>
      </c>
      <c r="O225" s="50" t="e">
        <f>'Raw Data'!#REF!/O$1</f>
        <v>#REF!</v>
      </c>
      <c r="P225" s="50" t="str">
        <f t="shared" si="13"/>
        <v/>
      </c>
      <c r="Q225" s="50" t="e">
        <f t="shared" si="14"/>
        <v>#REF!</v>
      </c>
    </row>
    <row r="226" spans="1:17">
      <c r="A226" s="2" t="s">
        <v>208</v>
      </c>
      <c r="B226" s="46">
        <v>4</v>
      </c>
      <c r="C226" s="46">
        <v>2022</v>
      </c>
      <c r="D226" s="46" t="s">
        <v>209</v>
      </c>
      <c r="E226" s="46" t="s">
        <v>209</v>
      </c>
      <c r="F226" s="31">
        <v>44866</v>
      </c>
      <c r="G226" s="46">
        <f t="shared" si="16"/>
        <v>30</v>
      </c>
      <c r="H226" s="47">
        <f t="shared" si="15"/>
        <v>44875</v>
      </c>
      <c r="I226" s="140">
        <f>_xlfn.XLOOKUP(Table12[[#This Row],[Month Year]],'Modelling New'!D:D,'Modelling New'!N:N)</f>
        <v>10.507</v>
      </c>
      <c r="J226" s="50" t="e">
        <f>'Raw Data'!#REF!/J$1</f>
        <v>#REF!</v>
      </c>
      <c r="K226" s="50" t="e">
        <f>'Raw Data'!#REF!/K$1</f>
        <v>#REF!</v>
      </c>
      <c r="L226" s="50" t="e">
        <f>'Raw Data'!#REF!/L$1</f>
        <v>#REF!</v>
      </c>
      <c r="M226" s="50" t="e">
        <f>'Raw Data'!#REF!/M$1</f>
        <v>#REF!</v>
      </c>
      <c r="N226" s="50" t="e">
        <f>'Raw Data'!#REF!/N$1</f>
        <v>#REF!</v>
      </c>
      <c r="O226" s="50" t="e">
        <f>'Raw Data'!#REF!/O$1</f>
        <v>#REF!</v>
      </c>
      <c r="P226" s="50" t="str">
        <f t="shared" ref="P226:P289" si="17">IFERROR(AVERAGEIF(J226:O226,"&gt;"&amp;0,J226:O226),"")</f>
        <v/>
      </c>
      <c r="Q226" s="50" t="e">
        <f t="shared" ref="Q226:Q289" si="18">MAXA(J226:O226)</f>
        <v>#REF!</v>
      </c>
    </row>
    <row r="227" spans="1:17">
      <c r="A227" s="2" t="s">
        <v>208</v>
      </c>
      <c r="B227" s="44">
        <v>4</v>
      </c>
      <c r="C227" s="44">
        <v>2022</v>
      </c>
      <c r="D227" s="44" t="s">
        <v>209</v>
      </c>
      <c r="E227" s="44" t="s">
        <v>209</v>
      </c>
      <c r="F227" s="31">
        <v>44866</v>
      </c>
      <c r="G227" s="44">
        <f t="shared" si="16"/>
        <v>30</v>
      </c>
      <c r="H227" s="45">
        <f t="shared" si="15"/>
        <v>44876</v>
      </c>
      <c r="I227" s="139">
        <f>_xlfn.XLOOKUP(Table12[[#This Row],[Month Year]],'Modelling New'!D:D,'Modelling New'!N:N)</f>
        <v>10.507</v>
      </c>
      <c r="J227" s="50" t="e">
        <f>'Raw Data'!#REF!/J$1</f>
        <v>#REF!</v>
      </c>
      <c r="K227" s="50" t="e">
        <f>'Raw Data'!#REF!/K$1</f>
        <v>#REF!</v>
      </c>
      <c r="L227" s="50" t="e">
        <f>'Raw Data'!#REF!/L$1</f>
        <v>#REF!</v>
      </c>
      <c r="M227" s="50" t="e">
        <f>'Raw Data'!#REF!/M$1</f>
        <v>#REF!</v>
      </c>
      <c r="N227" s="50" t="e">
        <f>'Raw Data'!#REF!/N$1</f>
        <v>#REF!</v>
      </c>
      <c r="O227" s="50" t="e">
        <f>'Raw Data'!#REF!/O$1</f>
        <v>#REF!</v>
      </c>
      <c r="P227" s="50" t="str">
        <f t="shared" si="17"/>
        <v/>
      </c>
      <c r="Q227" s="50" t="e">
        <f t="shared" si="18"/>
        <v>#REF!</v>
      </c>
    </row>
    <row r="228" spans="1:17">
      <c r="A228" s="2" t="s">
        <v>208</v>
      </c>
      <c r="B228" s="46">
        <v>4</v>
      </c>
      <c r="C228" s="46">
        <v>2022</v>
      </c>
      <c r="D228" s="46" t="s">
        <v>209</v>
      </c>
      <c r="E228" s="46" t="s">
        <v>209</v>
      </c>
      <c r="F228" s="31">
        <v>44866</v>
      </c>
      <c r="G228" s="46">
        <f t="shared" si="16"/>
        <v>30</v>
      </c>
      <c r="H228" s="47">
        <f t="shared" si="15"/>
        <v>44877</v>
      </c>
      <c r="I228" s="140">
        <f>_xlfn.XLOOKUP(Table12[[#This Row],[Month Year]],'Modelling New'!D:D,'Modelling New'!N:N)</f>
        <v>10.507</v>
      </c>
      <c r="J228" s="50" t="e">
        <f>'Raw Data'!#REF!/J$1</f>
        <v>#REF!</v>
      </c>
      <c r="K228" s="50" t="e">
        <f>'Raw Data'!#REF!/K$1</f>
        <v>#REF!</v>
      </c>
      <c r="L228" s="50" t="e">
        <f>'Raw Data'!#REF!/L$1</f>
        <v>#REF!</v>
      </c>
      <c r="M228" s="50" t="e">
        <f>'Raw Data'!#REF!/M$1</f>
        <v>#REF!</v>
      </c>
      <c r="N228" s="50" t="e">
        <f>'Raw Data'!#REF!/N$1</f>
        <v>#REF!</v>
      </c>
      <c r="O228" s="50" t="e">
        <f>'Raw Data'!#REF!/O$1</f>
        <v>#REF!</v>
      </c>
      <c r="P228" s="50" t="str">
        <f t="shared" si="17"/>
        <v/>
      </c>
      <c r="Q228" s="50" t="e">
        <f t="shared" si="18"/>
        <v>#REF!</v>
      </c>
    </row>
    <row r="229" spans="1:17">
      <c r="A229" s="2" t="s">
        <v>208</v>
      </c>
      <c r="B229" s="44">
        <v>4</v>
      </c>
      <c r="C229" s="44">
        <v>2022</v>
      </c>
      <c r="D229" s="44" t="s">
        <v>209</v>
      </c>
      <c r="E229" s="44" t="s">
        <v>209</v>
      </c>
      <c r="F229" s="31">
        <v>44866</v>
      </c>
      <c r="G229" s="44">
        <f t="shared" si="16"/>
        <v>30</v>
      </c>
      <c r="H229" s="45">
        <f t="shared" si="15"/>
        <v>44878</v>
      </c>
      <c r="I229" s="139">
        <f>_xlfn.XLOOKUP(Table12[[#This Row],[Month Year]],'Modelling New'!D:D,'Modelling New'!N:N)</f>
        <v>10.507</v>
      </c>
      <c r="J229" s="50" t="e">
        <f>'Raw Data'!#REF!/J$1</f>
        <v>#REF!</v>
      </c>
      <c r="K229" s="50" t="e">
        <f>'Raw Data'!#REF!/K$1</f>
        <v>#REF!</v>
      </c>
      <c r="L229" s="50" t="e">
        <f>'Raw Data'!#REF!/L$1</f>
        <v>#REF!</v>
      </c>
      <c r="M229" s="50" t="e">
        <f>'Raw Data'!#REF!/M$1</f>
        <v>#REF!</v>
      </c>
      <c r="N229" s="50" t="e">
        <f>'Raw Data'!#REF!/N$1</f>
        <v>#REF!</v>
      </c>
      <c r="O229" s="50" t="e">
        <f>'Raw Data'!#REF!/O$1</f>
        <v>#REF!</v>
      </c>
      <c r="P229" s="50" t="str">
        <f t="shared" si="17"/>
        <v/>
      </c>
      <c r="Q229" s="50" t="e">
        <f t="shared" si="18"/>
        <v>#REF!</v>
      </c>
    </row>
    <row r="230" spans="1:17">
      <c r="A230" s="2" t="s">
        <v>208</v>
      </c>
      <c r="B230" s="46">
        <v>4</v>
      </c>
      <c r="C230" s="46">
        <v>2022</v>
      </c>
      <c r="D230" s="46" t="s">
        <v>209</v>
      </c>
      <c r="E230" s="46" t="s">
        <v>209</v>
      </c>
      <c r="F230" s="31">
        <v>44866</v>
      </c>
      <c r="G230" s="46">
        <f t="shared" si="16"/>
        <v>30</v>
      </c>
      <c r="H230" s="47">
        <f t="shared" si="15"/>
        <v>44879</v>
      </c>
      <c r="I230" s="140">
        <f>_xlfn.XLOOKUP(Table12[[#This Row],[Month Year]],'Modelling New'!D:D,'Modelling New'!N:N)</f>
        <v>10.507</v>
      </c>
      <c r="J230" s="50" t="e">
        <f>'Raw Data'!#REF!/J$1</f>
        <v>#REF!</v>
      </c>
      <c r="K230" s="50" t="e">
        <f>'Raw Data'!#REF!/K$1</f>
        <v>#REF!</v>
      </c>
      <c r="L230" s="50" t="e">
        <f>'Raw Data'!#REF!/L$1</f>
        <v>#REF!</v>
      </c>
      <c r="M230" s="50" t="e">
        <f>'Raw Data'!#REF!/M$1</f>
        <v>#REF!</v>
      </c>
      <c r="N230" s="50" t="e">
        <f>'Raw Data'!#REF!/N$1</f>
        <v>#REF!</v>
      </c>
      <c r="O230" s="50" t="e">
        <f>'Raw Data'!#REF!/O$1</f>
        <v>#REF!</v>
      </c>
      <c r="P230" s="50" t="str">
        <f t="shared" si="17"/>
        <v/>
      </c>
      <c r="Q230" s="50" t="e">
        <f t="shared" si="18"/>
        <v>#REF!</v>
      </c>
    </row>
    <row r="231" spans="1:17">
      <c r="A231" s="2" t="s">
        <v>208</v>
      </c>
      <c r="B231" s="44">
        <v>4</v>
      </c>
      <c r="C231" s="44">
        <v>2022</v>
      </c>
      <c r="D231" s="44" t="s">
        <v>209</v>
      </c>
      <c r="E231" s="44" t="s">
        <v>209</v>
      </c>
      <c r="F231" s="31">
        <v>44866</v>
      </c>
      <c r="G231" s="44">
        <f t="shared" si="16"/>
        <v>30</v>
      </c>
      <c r="H231" s="45">
        <f t="shared" si="15"/>
        <v>44880</v>
      </c>
      <c r="I231" s="139">
        <f>_xlfn.XLOOKUP(Table12[[#This Row],[Month Year]],'Modelling New'!D:D,'Modelling New'!N:N)</f>
        <v>10.507</v>
      </c>
      <c r="J231" s="50" t="e">
        <f>'Raw Data'!#REF!/J$1</f>
        <v>#REF!</v>
      </c>
      <c r="K231" s="50" t="e">
        <f>'Raw Data'!#REF!/K$1</f>
        <v>#REF!</v>
      </c>
      <c r="L231" s="50" t="e">
        <f>'Raw Data'!#REF!/L$1</f>
        <v>#REF!</v>
      </c>
      <c r="M231" s="50" t="e">
        <f>'Raw Data'!#REF!/M$1</f>
        <v>#REF!</v>
      </c>
      <c r="N231" s="50" t="e">
        <f>'Raw Data'!#REF!/N$1</f>
        <v>#REF!</v>
      </c>
      <c r="O231" s="50" t="e">
        <f>'Raw Data'!#REF!/O$1</f>
        <v>#REF!</v>
      </c>
      <c r="P231" s="50" t="str">
        <f t="shared" si="17"/>
        <v/>
      </c>
      <c r="Q231" s="50" t="e">
        <f t="shared" si="18"/>
        <v>#REF!</v>
      </c>
    </row>
    <row r="232" spans="1:17">
      <c r="A232" s="2" t="s">
        <v>208</v>
      </c>
      <c r="B232" s="46">
        <v>4</v>
      </c>
      <c r="C232" s="46">
        <v>2022</v>
      </c>
      <c r="D232" s="46" t="s">
        <v>209</v>
      </c>
      <c r="E232" s="46" t="s">
        <v>209</v>
      </c>
      <c r="F232" s="31">
        <v>44866</v>
      </c>
      <c r="G232" s="46">
        <f t="shared" si="16"/>
        <v>30</v>
      </c>
      <c r="H232" s="47">
        <f t="shared" si="15"/>
        <v>44881</v>
      </c>
      <c r="I232" s="140">
        <f>_xlfn.XLOOKUP(Table12[[#This Row],[Month Year]],'Modelling New'!D:D,'Modelling New'!N:N)</f>
        <v>10.507</v>
      </c>
      <c r="J232" s="50" t="e">
        <f>'Raw Data'!#REF!/J$1</f>
        <v>#REF!</v>
      </c>
      <c r="K232" s="50" t="e">
        <f>'Raw Data'!#REF!/K$1</f>
        <v>#REF!</v>
      </c>
      <c r="L232" s="50" t="e">
        <f>'Raw Data'!#REF!/L$1</f>
        <v>#REF!</v>
      </c>
      <c r="M232" s="50" t="e">
        <f>'Raw Data'!#REF!/M$1</f>
        <v>#REF!</v>
      </c>
      <c r="N232" s="50" t="e">
        <f>'Raw Data'!#REF!/N$1</f>
        <v>#REF!</v>
      </c>
      <c r="O232" s="50" t="e">
        <f>'Raw Data'!#REF!/O$1</f>
        <v>#REF!</v>
      </c>
      <c r="P232" s="50" t="str">
        <f t="shared" si="17"/>
        <v/>
      </c>
      <c r="Q232" s="50" t="e">
        <f t="shared" si="18"/>
        <v>#REF!</v>
      </c>
    </row>
    <row r="233" spans="1:17">
      <c r="A233" s="2" t="s">
        <v>208</v>
      </c>
      <c r="B233" s="44">
        <v>4</v>
      </c>
      <c r="C233" s="44">
        <v>2022</v>
      </c>
      <c r="D233" s="44" t="s">
        <v>209</v>
      </c>
      <c r="E233" s="44" t="s">
        <v>209</v>
      </c>
      <c r="F233" s="31">
        <v>44866</v>
      </c>
      <c r="G233" s="44">
        <f t="shared" si="16"/>
        <v>30</v>
      </c>
      <c r="H233" s="45">
        <f t="shared" si="15"/>
        <v>44882</v>
      </c>
      <c r="I233" s="139">
        <f>_xlfn.XLOOKUP(Table12[[#This Row],[Month Year]],'Modelling New'!D:D,'Modelling New'!N:N)</f>
        <v>10.507</v>
      </c>
      <c r="J233" s="50" t="e">
        <f>'Raw Data'!#REF!/J$1</f>
        <v>#REF!</v>
      </c>
      <c r="K233" s="50" t="e">
        <f>'Raw Data'!#REF!/K$1</f>
        <v>#REF!</v>
      </c>
      <c r="L233" s="50" t="e">
        <f>'Raw Data'!#REF!/L$1</f>
        <v>#REF!</v>
      </c>
      <c r="M233" s="50" t="e">
        <f>'Raw Data'!#REF!/M$1</f>
        <v>#REF!</v>
      </c>
      <c r="N233" s="50" t="e">
        <f>'Raw Data'!#REF!/N$1</f>
        <v>#REF!</v>
      </c>
      <c r="O233" s="50" t="e">
        <f>'Raw Data'!#REF!/O$1</f>
        <v>#REF!</v>
      </c>
      <c r="P233" s="50" t="str">
        <f t="shared" si="17"/>
        <v/>
      </c>
      <c r="Q233" s="50" t="e">
        <f t="shared" si="18"/>
        <v>#REF!</v>
      </c>
    </row>
    <row r="234" spans="1:17">
      <c r="A234" s="2" t="s">
        <v>208</v>
      </c>
      <c r="B234" s="46">
        <v>4</v>
      </c>
      <c r="C234" s="46">
        <v>2022</v>
      </c>
      <c r="D234" s="46" t="s">
        <v>209</v>
      </c>
      <c r="E234" s="46" t="s">
        <v>209</v>
      </c>
      <c r="F234" s="31">
        <v>44866</v>
      </c>
      <c r="G234" s="46">
        <f t="shared" si="16"/>
        <v>30</v>
      </c>
      <c r="H234" s="47">
        <f t="shared" ref="H234:H289" si="19">H233+1</f>
        <v>44883</v>
      </c>
      <c r="I234" s="140">
        <f>_xlfn.XLOOKUP(Table12[[#This Row],[Month Year]],'Modelling New'!D:D,'Modelling New'!N:N)</f>
        <v>10.507</v>
      </c>
      <c r="J234" s="50" t="e">
        <f>'Raw Data'!#REF!/J$1</f>
        <v>#REF!</v>
      </c>
      <c r="K234" s="50" t="e">
        <f>'Raw Data'!#REF!/K$1</f>
        <v>#REF!</v>
      </c>
      <c r="L234" s="50" t="e">
        <f>'Raw Data'!#REF!/L$1</f>
        <v>#REF!</v>
      </c>
      <c r="M234" s="50" t="e">
        <f>'Raw Data'!#REF!/M$1</f>
        <v>#REF!</v>
      </c>
      <c r="N234" s="50" t="e">
        <f>'Raw Data'!#REF!/N$1</f>
        <v>#REF!</v>
      </c>
      <c r="O234" s="50" t="e">
        <f>'Raw Data'!#REF!/O$1</f>
        <v>#REF!</v>
      </c>
      <c r="P234" s="50" t="str">
        <f t="shared" si="17"/>
        <v/>
      </c>
      <c r="Q234" s="50" t="e">
        <f t="shared" si="18"/>
        <v>#REF!</v>
      </c>
    </row>
    <row r="235" spans="1:17">
      <c r="A235" s="2" t="s">
        <v>208</v>
      </c>
      <c r="B235" s="44">
        <v>4</v>
      </c>
      <c r="C235" s="44">
        <v>2022</v>
      </c>
      <c r="D235" s="44" t="s">
        <v>209</v>
      </c>
      <c r="E235" s="44" t="s">
        <v>209</v>
      </c>
      <c r="F235" s="31">
        <v>44866</v>
      </c>
      <c r="G235" s="44">
        <f t="shared" si="16"/>
        <v>30</v>
      </c>
      <c r="H235" s="45">
        <f t="shared" si="19"/>
        <v>44884</v>
      </c>
      <c r="I235" s="139">
        <f>_xlfn.XLOOKUP(Table12[[#This Row],[Month Year]],'Modelling New'!D:D,'Modelling New'!N:N)</f>
        <v>10.507</v>
      </c>
      <c r="J235" s="50" t="e">
        <f>'Raw Data'!#REF!/J$1</f>
        <v>#REF!</v>
      </c>
      <c r="K235" s="50" t="e">
        <f>'Raw Data'!#REF!/K$1</f>
        <v>#REF!</v>
      </c>
      <c r="L235" s="50" t="e">
        <f>'Raw Data'!#REF!/L$1</f>
        <v>#REF!</v>
      </c>
      <c r="M235" s="50" t="e">
        <f>'Raw Data'!#REF!/M$1</f>
        <v>#REF!</v>
      </c>
      <c r="N235" s="50" t="e">
        <f>'Raw Data'!#REF!/N$1</f>
        <v>#REF!</v>
      </c>
      <c r="O235" s="50" t="e">
        <f>'Raw Data'!#REF!/O$1</f>
        <v>#REF!</v>
      </c>
      <c r="P235" s="50" t="str">
        <f t="shared" si="17"/>
        <v/>
      </c>
      <c r="Q235" s="50" t="e">
        <f t="shared" si="18"/>
        <v>#REF!</v>
      </c>
    </row>
    <row r="236" spans="1:17">
      <c r="A236" s="2" t="s">
        <v>208</v>
      </c>
      <c r="B236" s="46">
        <v>4</v>
      </c>
      <c r="C236" s="46">
        <v>2022</v>
      </c>
      <c r="D236" s="46" t="s">
        <v>209</v>
      </c>
      <c r="E236" s="46" t="s">
        <v>209</v>
      </c>
      <c r="F236" s="31">
        <v>44866</v>
      </c>
      <c r="G236" s="46">
        <f t="shared" si="16"/>
        <v>30</v>
      </c>
      <c r="H236" s="47">
        <f t="shared" si="19"/>
        <v>44885</v>
      </c>
      <c r="I236" s="140">
        <f>_xlfn.XLOOKUP(Table12[[#This Row],[Month Year]],'Modelling New'!D:D,'Modelling New'!N:N)</f>
        <v>10.507</v>
      </c>
      <c r="J236" s="50" t="e">
        <f>'Raw Data'!#REF!/J$1</f>
        <v>#REF!</v>
      </c>
      <c r="K236" s="50" t="e">
        <f>'Raw Data'!#REF!/K$1</f>
        <v>#REF!</v>
      </c>
      <c r="L236" s="50" t="e">
        <f>'Raw Data'!#REF!/L$1</f>
        <v>#REF!</v>
      </c>
      <c r="M236" s="50" t="e">
        <f>'Raw Data'!#REF!/M$1</f>
        <v>#REF!</v>
      </c>
      <c r="N236" s="50" t="e">
        <f>'Raw Data'!#REF!/N$1</f>
        <v>#REF!</v>
      </c>
      <c r="O236" s="50" t="e">
        <f>'Raw Data'!#REF!/O$1</f>
        <v>#REF!</v>
      </c>
      <c r="P236" s="50" t="str">
        <f t="shared" si="17"/>
        <v/>
      </c>
      <c r="Q236" s="50" t="e">
        <f t="shared" si="18"/>
        <v>#REF!</v>
      </c>
    </row>
    <row r="237" spans="1:17">
      <c r="A237" s="2" t="s">
        <v>208</v>
      </c>
      <c r="B237" s="44">
        <v>4</v>
      </c>
      <c r="C237" s="44">
        <v>2022</v>
      </c>
      <c r="D237" s="44" t="s">
        <v>209</v>
      </c>
      <c r="E237" s="44" t="s">
        <v>209</v>
      </c>
      <c r="F237" s="31">
        <v>44866</v>
      </c>
      <c r="G237" s="44">
        <f t="shared" si="16"/>
        <v>30</v>
      </c>
      <c r="H237" s="45">
        <f t="shared" si="19"/>
        <v>44886</v>
      </c>
      <c r="I237" s="139">
        <f>_xlfn.XLOOKUP(Table12[[#This Row],[Month Year]],'Modelling New'!D:D,'Modelling New'!N:N)</f>
        <v>10.507</v>
      </c>
      <c r="J237" s="50" t="e">
        <f>'Raw Data'!#REF!/J$1</f>
        <v>#REF!</v>
      </c>
      <c r="K237" s="50" t="e">
        <f>'Raw Data'!#REF!/K$1</f>
        <v>#REF!</v>
      </c>
      <c r="L237" s="50" t="e">
        <f>'Raw Data'!#REF!/L$1</f>
        <v>#REF!</v>
      </c>
      <c r="M237" s="50" t="e">
        <f>'Raw Data'!#REF!/M$1</f>
        <v>#REF!</v>
      </c>
      <c r="N237" s="50" t="e">
        <f>'Raw Data'!#REF!/N$1</f>
        <v>#REF!</v>
      </c>
      <c r="O237" s="50" t="e">
        <f>'Raw Data'!#REF!/O$1</f>
        <v>#REF!</v>
      </c>
      <c r="P237" s="50" t="str">
        <f t="shared" si="17"/>
        <v/>
      </c>
      <c r="Q237" s="50" t="e">
        <f t="shared" si="18"/>
        <v>#REF!</v>
      </c>
    </row>
    <row r="238" spans="1:17">
      <c r="A238" s="2" t="s">
        <v>208</v>
      </c>
      <c r="B238" s="46">
        <v>4</v>
      </c>
      <c r="C238" s="46">
        <v>2022</v>
      </c>
      <c r="D238" s="46" t="s">
        <v>209</v>
      </c>
      <c r="E238" s="46" t="s">
        <v>209</v>
      </c>
      <c r="F238" s="31">
        <v>44866</v>
      </c>
      <c r="G238" s="46">
        <f t="shared" si="16"/>
        <v>30</v>
      </c>
      <c r="H238" s="47">
        <f t="shared" si="19"/>
        <v>44887</v>
      </c>
      <c r="I238" s="140">
        <f>_xlfn.XLOOKUP(Table12[[#This Row],[Month Year]],'Modelling New'!D:D,'Modelling New'!N:N)</f>
        <v>10.507</v>
      </c>
      <c r="J238" s="50" t="e">
        <f>'Raw Data'!#REF!/J$1</f>
        <v>#REF!</v>
      </c>
      <c r="K238" s="50" t="e">
        <f>'Raw Data'!#REF!/K$1</f>
        <v>#REF!</v>
      </c>
      <c r="L238" s="50" t="e">
        <f>'Raw Data'!#REF!/L$1</f>
        <v>#REF!</v>
      </c>
      <c r="M238" s="50" t="e">
        <f>'Raw Data'!#REF!/M$1</f>
        <v>#REF!</v>
      </c>
      <c r="N238" s="50" t="e">
        <f>'Raw Data'!#REF!/N$1</f>
        <v>#REF!</v>
      </c>
      <c r="O238" s="50" t="e">
        <f>'Raw Data'!#REF!/O$1</f>
        <v>#REF!</v>
      </c>
      <c r="P238" s="50" t="str">
        <f t="shared" si="17"/>
        <v/>
      </c>
      <c r="Q238" s="50" t="e">
        <f t="shared" si="18"/>
        <v>#REF!</v>
      </c>
    </row>
    <row r="239" spans="1:17">
      <c r="A239" s="2" t="s">
        <v>208</v>
      </c>
      <c r="B239" s="44">
        <v>4</v>
      </c>
      <c r="C239" s="44">
        <v>2022</v>
      </c>
      <c r="D239" s="44" t="s">
        <v>209</v>
      </c>
      <c r="E239" s="44" t="s">
        <v>209</v>
      </c>
      <c r="F239" s="31">
        <v>44866</v>
      </c>
      <c r="G239" s="44">
        <f t="shared" si="16"/>
        <v>30</v>
      </c>
      <c r="H239" s="45">
        <f t="shared" si="19"/>
        <v>44888</v>
      </c>
      <c r="I239" s="139">
        <f>_xlfn.XLOOKUP(Table12[[#This Row],[Month Year]],'Modelling New'!D:D,'Modelling New'!N:N)</f>
        <v>10.507</v>
      </c>
      <c r="J239" s="50" t="e">
        <f>'Raw Data'!#REF!/J$1</f>
        <v>#REF!</v>
      </c>
      <c r="K239" s="50" t="e">
        <f>'Raw Data'!#REF!/K$1</f>
        <v>#REF!</v>
      </c>
      <c r="L239" s="50" t="e">
        <f>'Raw Data'!#REF!/L$1</f>
        <v>#REF!</v>
      </c>
      <c r="M239" s="50" t="e">
        <f>'Raw Data'!#REF!/M$1</f>
        <v>#REF!</v>
      </c>
      <c r="N239" s="50" t="e">
        <f>'Raw Data'!#REF!/N$1</f>
        <v>#REF!</v>
      </c>
      <c r="O239" s="50" t="e">
        <f>'Raw Data'!#REF!/O$1</f>
        <v>#REF!</v>
      </c>
      <c r="P239" s="50" t="str">
        <f t="shared" si="17"/>
        <v/>
      </c>
      <c r="Q239" s="50" t="e">
        <f t="shared" si="18"/>
        <v>#REF!</v>
      </c>
    </row>
    <row r="240" spans="1:17">
      <c r="A240" s="2" t="s">
        <v>208</v>
      </c>
      <c r="B240" s="46">
        <v>4</v>
      </c>
      <c r="C240" s="46">
        <v>2022</v>
      </c>
      <c r="D240" s="46" t="s">
        <v>209</v>
      </c>
      <c r="E240" s="46" t="s">
        <v>209</v>
      </c>
      <c r="F240" s="31">
        <v>44866</v>
      </c>
      <c r="G240" s="46">
        <f t="shared" si="16"/>
        <v>30</v>
      </c>
      <c r="H240" s="47">
        <f t="shared" si="19"/>
        <v>44889</v>
      </c>
      <c r="I240" s="140">
        <f>_xlfn.XLOOKUP(Table12[[#This Row],[Month Year]],'Modelling New'!D:D,'Modelling New'!N:N)</f>
        <v>10.507</v>
      </c>
      <c r="J240" s="50" t="e">
        <f>'Raw Data'!#REF!/J$1</f>
        <v>#REF!</v>
      </c>
      <c r="K240" s="50" t="e">
        <f>'Raw Data'!#REF!/K$1</f>
        <v>#REF!</v>
      </c>
      <c r="L240" s="50" t="e">
        <f>'Raw Data'!#REF!/L$1</f>
        <v>#REF!</v>
      </c>
      <c r="M240" s="50" t="e">
        <f>'Raw Data'!#REF!/M$1</f>
        <v>#REF!</v>
      </c>
      <c r="N240" s="50" t="e">
        <f>'Raw Data'!#REF!/N$1</f>
        <v>#REF!</v>
      </c>
      <c r="O240" s="50" t="e">
        <f>'Raw Data'!#REF!/O$1</f>
        <v>#REF!</v>
      </c>
      <c r="P240" s="50" t="str">
        <f t="shared" si="17"/>
        <v/>
      </c>
      <c r="Q240" s="50" t="e">
        <f t="shared" si="18"/>
        <v>#REF!</v>
      </c>
    </row>
    <row r="241" spans="1:17">
      <c r="A241" s="2" t="s">
        <v>208</v>
      </c>
      <c r="B241" s="44">
        <v>4</v>
      </c>
      <c r="C241" s="44">
        <v>2022</v>
      </c>
      <c r="D241" s="44" t="s">
        <v>209</v>
      </c>
      <c r="E241" s="44" t="s">
        <v>209</v>
      </c>
      <c r="F241" s="31">
        <v>44866</v>
      </c>
      <c r="G241" s="44">
        <f t="shared" si="16"/>
        <v>30</v>
      </c>
      <c r="H241" s="45">
        <f t="shared" si="19"/>
        <v>44890</v>
      </c>
      <c r="I241" s="139">
        <f>_xlfn.XLOOKUP(Table12[[#This Row],[Month Year]],'Modelling New'!D:D,'Modelling New'!N:N)</f>
        <v>10.507</v>
      </c>
      <c r="J241" s="50" t="e">
        <f>'Raw Data'!#REF!/J$1</f>
        <v>#REF!</v>
      </c>
      <c r="K241" s="50" t="e">
        <f>'Raw Data'!#REF!/K$1</f>
        <v>#REF!</v>
      </c>
      <c r="L241" s="50" t="e">
        <f>'Raw Data'!#REF!/L$1</f>
        <v>#REF!</v>
      </c>
      <c r="M241" s="50" t="e">
        <f>'Raw Data'!#REF!/M$1</f>
        <v>#REF!</v>
      </c>
      <c r="N241" s="50" t="e">
        <f>'Raw Data'!#REF!/N$1</f>
        <v>#REF!</v>
      </c>
      <c r="O241" s="50" t="e">
        <f>'Raw Data'!#REF!/O$1</f>
        <v>#REF!</v>
      </c>
      <c r="P241" s="50" t="str">
        <f t="shared" si="17"/>
        <v/>
      </c>
      <c r="Q241" s="50" t="e">
        <f t="shared" si="18"/>
        <v>#REF!</v>
      </c>
    </row>
    <row r="242" spans="1:17">
      <c r="A242" s="2" t="s">
        <v>208</v>
      </c>
      <c r="B242" s="46">
        <v>4</v>
      </c>
      <c r="C242" s="46">
        <v>2022</v>
      </c>
      <c r="D242" s="46" t="s">
        <v>209</v>
      </c>
      <c r="E242" s="46" t="s">
        <v>209</v>
      </c>
      <c r="F242" s="31">
        <v>44866</v>
      </c>
      <c r="G242" s="46">
        <f t="shared" si="16"/>
        <v>30</v>
      </c>
      <c r="H242" s="47">
        <f t="shared" si="19"/>
        <v>44891</v>
      </c>
      <c r="I242" s="140">
        <f>_xlfn.XLOOKUP(Table12[[#This Row],[Month Year]],'Modelling New'!D:D,'Modelling New'!N:N)</f>
        <v>10.507</v>
      </c>
      <c r="J242" s="50" t="e">
        <f>'Raw Data'!#REF!/J$1</f>
        <v>#REF!</v>
      </c>
      <c r="K242" s="50" t="e">
        <f>'Raw Data'!#REF!/K$1</f>
        <v>#REF!</v>
      </c>
      <c r="L242" s="50" t="e">
        <f>'Raw Data'!#REF!/L$1</f>
        <v>#REF!</v>
      </c>
      <c r="M242" s="50" t="e">
        <f>'Raw Data'!#REF!/M$1</f>
        <v>#REF!</v>
      </c>
      <c r="N242" s="50" t="e">
        <f>'Raw Data'!#REF!/N$1</f>
        <v>#REF!</v>
      </c>
      <c r="O242" s="50" t="e">
        <f>'Raw Data'!#REF!/O$1</f>
        <v>#REF!</v>
      </c>
      <c r="P242" s="50" t="str">
        <f t="shared" si="17"/>
        <v/>
      </c>
      <c r="Q242" s="50" t="e">
        <f t="shared" si="18"/>
        <v>#REF!</v>
      </c>
    </row>
    <row r="243" spans="1:17">
      <c r="A243" s="2" t="s">
        <v>208</v>
      </c>
      <c r="B243" s="44">
        <v>4</v>
      </c>
      <c r="C243" s="44">
        <v>2022</v>
      </c>
      <c r="D243" s="44" t="s">
        <v>209</v>
      </c>
      <c r="E243" s="44" t="s">
        <v>209</v>
      </c>
      <c r="F243" s="31">
        <v>44866</v>
      </c>
      <c r="G243" s="44">
        <f t="shared" si="16"/>
        <v>30</v>
      </c>
      <c r="H243" s="45">
        <f t="shared" si="19"/>
        <v>44892</v>
      </c>
      <c r="I243" s="139">
        <f>_xlfn.XLOOKUP(Table12[[#This Row],[Month Year]],'Modelling New'!D:D,'Modelling New'!N:N)</f>
        <v>10.507</v>
      </c>
      <c r="J243" s="50" t="e">
        <f>'Raw Data'!#REF!/J$1</f>
        <v>#REF!</v>
      </c>
      <c r="K243" s="50" t="e">
        <f>'Raw Data'!#REF!/K$1</f>
        <v>#REF!</v>
      </c>
      <c r="L243" s="50" t="e">
        <f>'Raw Data'!#REF!/L$1</f>
        <v>#REF!</v>
      </c>
      <c r="M243" s="50" t="e">
        <f>'Raw Data'!#REF!/M$1</f>
        <v>#REF!</v>
      </c>
      <c r="N243" s="50" t="e">
        <f>'Raw Data'!#REF!/N$1</f>
        <v>#REF!</v>
      </c>
      <c r="O243" s="50" t="e">
        <f>'Raw Data'!#REF!/O$1</f>
        <v>#REF!</v>
      </c>
      <c r="P243" s="50" t="str">
        <f t="shared" si="17"/>
        <v/>
      </c>
      <c r="Q243" s="50" t="e">
        <f t="shared" si="18"/>
        <v>#REF!</v>
      </c>
    </row>
    <row r="244" spans="1:17">
      <c r="A244" s="2" t="s">
        <v>208</v>
      </c>
      <c r="B244" s="46">
        <v>4</v>
      </c>
      <c r="C244" s="46">
        <v>2022</v>
      </c>
      <c r="D244" s="46" t="s">
        <v>209</v>
      </c>
      <c r="E244" s="46" t="s">
        <v>209</v>
      </c>
      <c r="F244" s="31">
        <v>44866</v>
      </c>
      <c r="G244" s="46">
        <f t="shared" si="16"/>
        <v>30</v>
      </c>
      <c r="H244" s="47">
        <f t="shared" si="19"/>
        <v>44893</v>
      </c>
      <c r="I244" s="140">
        <f>_xlfn.XLOOKUP(Table12[[#This Row],[Month Year]],'Modelling New'!D:D,'Modelling New'!N:N)</f>
        <v>10.507</v>
      </c>
      <c r="J244" s="50" t="e">
        <f>'Raw Data'!#REF!/J$1</f>
        <v>#REF!</v>
      </c>
      <c r="K244" s="50" t="e">
        <f>'Raw Data'!#REF!/K$1</f>
        <v>#REF!</v>
      </c>
      <c r="L244" s="50" t="e">
        <f>'Raw Data'!#REF!/L$1</f>
        <v>#REF!</v>
      </c>
      <c r="M244" s="50" t="e">
        <f>'Raw Data'!#REF!/M$1</f>
        <v>#REF!</v>
      </c>
      <c r="N244" s="50" t="e">
        <f>'Raw Data'!#REF!/N$1</f>
        <v>#REF!</v>
      </c>
      <c r="O244" s="50" t="e">
        <f>'Raw Data'!#REF!/O$1</f>
        <v>#REF!</v>
      </c>
      <c r="P244" s="50" t="str">
        <f t="shared" si="17"/>
        <v/>
      </c>
      <c r="Q244" s="50" t="e">
        <f t="shared" si="18"/>
        <v>#REF!</v>
      </c>
    </row>
    <row r="245" spans="1:17">
      <c r="A245" s="2" t="s">
        <v>208</v>
      </c>
      <c r="B245" s="44">
        <v>4</v>
      </c>
      <c r="C245" s="44">
        <v>2022</v>
      </c>
      <c r="D245" s="44" t="s">
        <v>209</v>
      </c>
      <c r="E245" s="44" t="s">
        <v>209</v>
      </c>
      <c r="F245" s="31">
        <v>44866</v>
      </c>
      <c r="G245" s="44">
        <f t="shared" si="16"/>
        <v>30</v>
      </c>
      <c r="H245" s="45">
        <f t="shared" si="19"/>
        <v>44894</v>
      </c>
      <c r="I245" s="139">
        <f>_xlfn.XLOOKUP(Table12[[#This Row],[Month Year]],'Modelling New'!D:D,'Modelling New'!N:N)</f>
        <v>10.507</v>
      </c>
      <c r="J245" s="50" t="e">
        <f>'Raw Data'!#REF!/J$1</f>
        <v>#REF!</v>
      </c>
      <c r="K245" s="50" t="e">
        <f>'Raw Data'!#REF!/K$1</f>
        <v>#REF!</v>
      </c>
      <c r="L245" s="50" t="e">
        <f>'Raw Data'!#REF!/L$1</f>
        <v>#REF!</v>
      </c>
      <c r="M245" s="50" t="e">
        <f>'Raw Data'!#REF!/M$1</f>
        <v>#REF!</v>
      </c>
      <c r="N245" s="50" t="e">
        <f>'Raw Data'!#REF!/N$1</f>
        <v>#REF!</v>
      </c>
      <c r="O245" s="50" t="e">
        <f>'Raw Data'!#REF!/O$1</f>
        <v>#REF!</v>
      </c>
      <c r="P245" s="50" t="str">
        <f t="shared" si="17"/>
        <v/>
      </c>
      <c r="Q245" s="50" t="e">
        <f t="shared" si="18"/>
        <v>#REF!</v>
      </c>
    </row>
    <row r="246" spans="1:17">
      <c r="A246" s="2" t="s">
        <v>208</v>
      </c>
      <c r="B246" s="46">
        <v>4</v>
      </c>
      <c r="C246" s="46">
        <v>2022</v>
      </c>
      <c r="D246" s="46" t="s">
        <v>209</v>
      </c>
      <c r="E246" s="46" t="s">
        <v>209</v>
      </c>
      <c r="F246" s="31">
        <v>44866</v>
      </c>
      <c r="G246" s="46">
        <f t="shared" si="16"/>
        <v>30</v>
      </c>
      <c r="H246" s="47">
        <f t="shared" si="19"/>
        <v>44895</v>
      </c>
      <c r="I246" s="140">
        <f>_xlfn.XLOOKUP(Table12[[#This Row],[Month Year]],'Modelling New'!D:D,'Modelling New'!N:N)</f>
        <v>10.507</v>
      </c>
      <c r="J246" s="50" t="e">
        <f>'Raw Data'!#REF!/J$1</f>
        <v>#REF!</v>
      </c>
      <c r="K246" s="50" t="e">
        <f>'Raw Data'!#REF!/K$1</f>
        <v>#REF!</v>
      </c>
      <c r="L246" s="50" t="e">
        <f>'Raw Data'!#REF!/L$1</f>
        <v>#REF!</v>
      </c>
      <c r="M246" s="50" t="e">
        <f>'Raw Data'!#REF!/M$1</f>
        <v>#REF!</v>
      </c>
      <c r="N246" s="50" t="e">
        <f>'Raw Data'!#REF!/N$1</f>
        <v>#REF!</v>
      </c>
      <c r="O246" s="50" t="e">
        <f>'Raw Data'!#REF!/O$1</f>
        <v>#REF!</v>
      </c>
      <c r="P246" s="50" t="str">
        <f t="shared" si="17"/>
        <v/>
      </c>
      <c r="Q246" s="50" t="e">
        <f t="shared" si="18"/>
        <v>#REF!</v>
      </c>
    </row>
    <row r="247" spans="1:17">
      <c r="A247" s="2" t="s">
        <v>208</v>
      </c>
      <c r="B247" s="44">
        <v>4</v>
      </c>
      <c r="C247" s="44">
        <v>2022</v>
      </c>
      <c r="D247" s="44" t="s">
        <v>209</v>
      </c>
      <c r="E247" s="44" t="s">
        <v>209</v>
      </c>
      <c r="F247" s="31">
        <v>44896</v>
      </c>
      <c r="G247" s="44">
        <f t="shared" si="16"/>
        <v>31</v>
      </c>
      <c r="H247" s="45">
        <f t="shared" si="19"/>
        <v>44896</v>
      </c>
      <c r="I247" s="139">
        <f>_xlfn.XLOOKUP(Table12[[#This Row],[Month Year]],'Modelling New'!D:D,'Modelling New'!N:N)</f>
        <v>10.507</v>
      </c>
      <c r="J247" s="50" t="e">
        <f>'Raw Data'!#REF!/J$1</f>
        <v>#REF!</v>
      </c>
      <c r="K247" s="50" t="e">
        <f>'Raw Data'!#REF!/K$1</f>
        <v>#REF!</v>
      </c>
      <c r="L247" s="50" t="e">
        <f>'Raw Data'!#REF!/L$1</f>
        <v>#REF!</v>
      </c>
      <c r="M247" s="50" t="e">
        <f>'Raw Data'!#REF!/M$1</f>
        <v>#REF!</v>
      </c>
      <c r="N247" s="50" t="e">
        <f>'Raw Data'!#REF!/N$1</f>
        <v>#REF!</v>
      </c>
      <c r="O247" s="50" t="e">
        <f>'Raw Data'!#REF!/O$1</f>
        <v>#REF!</v>
      </c>
      <c r="P247" s="50" t="str">
        <f t="shared" si="17"/>
        <v/>
      </c>
      <c r="Q247" s="50" t="e">
        <f t="shared" si="18"/>
        <v>#REF!</v>
      </c>
    </row>
    <row r="248" spans="1:17">
      <c r="A248" s="2" t="s">
        <v>208</v>
      </c>
      <c r="B248" s="46">
        <v>4</v>
      </c>
      <c r="C248" s="46">
        <v>2022</v>
      </c>
      <c r="D248" s="46" t="s">
        <v>209</v>
      </c>
      <c r="E248" s="46" t="s">
        <v>209</v>
      </c>
      <c r="F248" s="31">
        <v>44896</v>
      </c>
      <c r="G248" s="46">
        <f t="shared" si="16"/>
        <v>31</v>
      </c>
      <c r="H248" s="47">
        <f t="shared" si="19"/>
        <v>44897</v>
      </c>
      <c r="I248" s="140">
        <f>_xlfn.XLOOKUP(Table12[[#This Row],[Month Year]],'Modelling New'!D:D,'Modelling New'!N:N)</f>
        <v>10.507</v>
      </c>
      <c r="J248" s="50" t="e">
        <f>'Raw Data'!#REF!/J$1</f>
        <v>#REF!</v>
      </c>
      <c r="K248" s="50" t="e">
        <f>'Raw Data'!#REF!/K$1</f>
        <v>#REF!</v>
      </c>
      <c r="L248" s="50" t="e">
        <f>'Raw Data'!#REF!/L$1</f>
        <v>#REF!</v>
      </c>
      <c r="M248" s="50" t="e">
        <f>'Raw Data'!#REF!/M$1</f>
        <v>#REF!</v>
      </c>
      <c r="N248" s="50" t="e">
        <f>'Raw Data'!#REF!/N$1</f>
        <v>#REF!</v>
      </c>
      <c r="O248" s="50" t="e">
        <f>'Raw Data'!#REF!/O$1</f>
        <v>#REF!</v>
      </c>
      <c r="P248" s="50" t="str">
        <f t="shared" si="17"/>
        <v/>
      </c>
      <c r="Q248" s="50" t="e">
        <f t="shared" si="18"/>
        <v>#REF!</v>
      </c>
    </row>
    <row r="249" spans="1:17">
      <c r="A249" s="2" t="s">
        <v>208</v>
      </c>
      <c r="B249" s="44">
        <v>4</v>
      </c>
      <c r="C249" s="44">
        <v>2022</v>
      </c>
      <c r="D249" s="44" t="s">
        <v>209</v>
      </c>
      <c r="E249" s="44" t="s">
        <v>209</v>
      </c>
      <c r="F249" s="31">
        <v>44896</v>
      </c>
      <c r="G249" s="44">
        <f t="shared" si="16"/>
        <v>31</v>
      </c>
      <c r="H249" s="45">
        <f t="shared" si="19"/>
        <v>44898</v>
      </c>
      <c r="I249" s="139">
        <f>_xlfn.XLOOKUP(Table12[[#This Row],[Month Year]],'Modelling New'!D:D,'Modelling New'!N:N)</f>
        <v>10.507</v>
      </c>
      <c r="J249" s="50" t="e">
        <f>'Raw Data'!#REF!/J$1</f>
        <v>#REF!</v>
      </c>
      <c r="K249" s="50" t="e">
        <f>'Raw Data'!#REF!/K$1</f>
        <v>#REF!</v>
      </c>
      <c r="L249" s="50" t="e">
        <f>'Raw Data'!#REF!/L$1</f>
        <v>#REF!</v>
      </c>
      <c r="M249" s="50" t="e">
        <f>'Raw Data'!#REF!/M$1</f>
        <v>#REF!</v>
      </c>
      <c r="N249" s="50" t="e">
        <f>'Raw Data'!#REF!/N$1</f>
        <v>#REF!</v>
      </c>
      <c r="O249" s="50" t="e">
        <f>'Raw Data'!#REF!/O$1</f>
        <v>#REF!</v>
      </c>
      <c r="P249" s="50" t="str">
        <f t="shared" si="17"/>
        <v/>
      </c>
      <c r="Q249" s="50" t="e">
        <f t="shared" si="18"/>
        <v>#REF!</v>
      </c>
    </row>
    <row r="250" spans="1:17">
      <c r="A250" s="2" t="s">
        <v>208</v>
      </c>
      <c r="B250" s="46">
        <v>4</v>
      </c>
      <c r="C250" s="46">
        <v>2022</v>
      </c>
      <c r="D250" s="46" t="s">
        <v>209</v>
      </c>
      <c r="E250" s="46" t="s">
        <v>209</v>
      </c>
      <c r="F250" s="31">
        <v>44896</v>
      </c>
      <c r="G250" s="46">
        <f t="shared" si="16"/>
        <v>31</v>
      </c>
      <c r="H250" s="47">
        <f t="shared" si="19"/>
        <v>44899</v>
      </c>
      <c r="I250" s="140">
        <f>_xlfn.XLOOKUP(Table12[[#This Row],[Month Year]],'Modelling New'!D:D,'Modelling New'!N:N)</f>
        <v>10.507</v>
      </c>
      <c r="J250" s="50" t="e">
        <f>'Raw Data'!#REF!/J$1</f>
        <v>#REF!</v>
      </c>
      <c r="K250" s="50" t="e">
        <f>'Raw Data'!#REF!/K$1</f>
        <v>#REF!</v>
      </c>
      <c r="L250" s="50" t="e">
        <f>'Raw Data'!#REF!/L$1</f>
        <v>#REF!</v>
      </c>
      <c r="M250" s="50" t="e">
        <f>'Raw Data'!#REF!/M$1</f>
        <v>#REF!</v>
      </c>
      <c r="N250" s="50" t="e">
        <f>'Raw Data'!#REF!/N$1</f>
        <v>#REF!</v>
      </c>
      <c r="O250" s="50" t="e">
        <f>'Raw Data'!#REF!/O$1</f>
        <v>#REF!</v>
      </c>
      <c r="P250" s="50" t="str">
        <f t="shared" si="17"/>
        <v/>
      </c>
      <c r="Q250" s="50" t="e">
        <f t="shared" si="18"/>
        <v>#REF!</v>
      </c>
    </row>
    <row r="251" spans="1:17">
      <c r="A251" s="2" t="s">
        <v>208</v>
      </c>
      <c r="B251" s="44">
        <v>4</v>
      </c>
      <c r="C251" s="44">
        <v>2022</v>
      </c>
      <c r="D251" s="44" t="s">
        <v>209</v>
      </c>
      <c r="E251" s="44" t="s">
        <v>209</v>
      </c>
      <c r="F251" s="31">
        <v>44896</v>
      </c>
      <c r="G251" s="44">
        <f t="shared" si="16"/>
        <v>31</v>
      </c>
      <c r="H251" s="45">
        <f t="shared" si="19"/>
        <v>44900</v>
      </c>
      <c r="I251" s="139">
        <f>_xlfn.XLOOKUP(Table12[[#This Row],[Month Year]],'Modelling New'!D:D,'Modelling New'!N:N)</f>
        <v>10.507</v>
      </c>
      <c r="J251" s="50" t="e">
        <f>'Raw Data'!#REF!/J$1</f>
        <v>#REF!</v>
      </c>
      <c r="K251" s="50" t="e">
        <f>'Raw Data'!#REF!/K$1</f>
        <v>#REF!</v>
      </c>
      <c r="L251" s="50" t="e">
        <f>'Raw Data'!#REF!/L$1</f>
        <v>#REF!</v>
      </c>
      <c r="M251" s="50" t="e">
        <f>'Raw Data'!#REF!/M$1</f>
        <v>#REF!</v>
      </c>
      <c r="N251" s="50" t="e">
        <f>'Raw Data'!#REF!/N$1</f>
        <v>#REF!</v>
      </c>
      <c r="O251" s="50" t="e">
        <f>'Raw Data'!#REF!/O$1</f>
        <v>#REF!</v>
      </c>
      <c r="P251" s="50" t="str">
        <f t="shared" si="17"/>
        <v/>
      </c>
      <c r="Q251" s="50" t="e">
        <f t="shared" si="18"/>
        <v>#REF!</v>
      </c>
    </row>
    <row r="252" spans="1:17">
      <c r="A252" s="2" t="s">
        <v>208</v>
      </c>
      <c r="B252" s="46">
        <v>4</v>
      </c>
      <c r="C252" s="46">
        <v>2022</v>
      </c>
      <c r="D252" s="46" t="s">
        <v>209</v>
      </c>
      <c r="E252" s="46" t="s">
        <v>209</v>
      </c>
      <c r="F252" s="31">
        <v>44896</v>
      </c>
      <c r="G252" s="46">
        <f t="shared" si="16"/>
        <v>31</v>
      </c>
      <c r="H252" s="47">
        <f t="shared" si="19"/>
        <v>44901</v>
      </c>
      <c r="I252" s="140">
        <f>_xlfn.XLOOKUP(Table12[[#This Row],[Month Year]],'Modelling New'!D:D,'Modelling New'!N:N)</f>
        <v>10.507</v>
      </c>
      <c r="J252" s="50" t="e">
        <f>'Raw Data'!#REF!/J$1</f>
        <v>#REF!</v>
      </c>
      <c r="K252" s="50" t="e">
        <f>'Raw Data'!#REF!/K$1</f>
        <v>#REF!</v>
      </c>
      <c r="L252" s="50" t="e">
        <f>'Raw Data'!#REF!/L$1</f>
        <v>#REF!</v>
      </c>
      <c r="M252" s="50" t="e">
        <f>'Raw Data'!#REF!/M$1</f>
        <v>#REF!</v>
      </c>
      <c r="N252" s="50" t="e">
        <f>'Raw Data'!#REF!/N$1</f>
        <v>#REF!</v>
      </c>
      <c r="O252" s="50" t="e">
        <f>'Raw Data'!#REF!/O$1</f>
        <v>#REF!</v>
      </c>
      <c r="P252" s="50" t="str">
        <f t="shared" si="17"/>
        <v/>
      </c>
      <c r="Q252" s="50" t="e">
        <f t="shared" si="18"/>
        <v>#REF!</v>
      </c>
    </row>
    <row r="253" spans="1:17">
      <c r="A253" s="2" t="s">
        <v>208</v>
      </c>
      <c r="B253" s="44">
        <v>4</v>
      </c>
      <c r="C253" s="44">
        <v>2022</v>
      </c>
      <c r="D253" s="44" t="s">
        <v>209</v>
      </c>
      <c r="E253" s="44" t="s">
        <v>209</v>
      </c>
      <c r="F253" s="31">
        <v>44896</v>
      </c>
      <c r="G253" s="44">
        <f t="shared" si="16"/>
        <v>31</v>
      </c>
      <c r="H253" s="45">
        <f t="shared" si="19"/>
        <v>44902</v>
      </c>
      <c r="I253" s="139">
        <f>_xlfn.XLOOKUP(Table12[[#This Row],[Month Year]],'Modelling New'!D:D,'Modelling New'!N:N)</f>
        <v>10.507</v>
      </c>
      <c r="J253" s="50" t="e">
        <f>'Raw Data'!#REF!/J$1</f>
        <v>#REF!</v>
      </c>
      <c r="K253" s="50" t="e">
        <f>'Raw Data'!#REF!/K$1</f>
        <v>#REF!</v>
      </c>
      <c r="L253" s="50" t="e">
        <f>'Raw Data'!#REF!/L$1</f>
        <v>#REF!</v>
      </c>
      <c r="M253" s="50" t="e">
        <f>'Raw Data'!#REF!/M$1</f>
        <v>#REF!</v>
      </c>
      <c r="N253" s="50" t="e">
        <f>'Raw Data'!#REF!/N$1</f>
        <v>#REF!</v>
      </c>
      <c r="O253" s="50" t="e">
        <f>'Raw Data'!#REF!/O$1</f>
        <v>#REF!</v>
      </c>
      <c r="P253" s="50" t="str">
        <f t="shared" si="17"/>
        <v/>
      </c>
      <c r="Q253" s="50" t="e">
        <f t="shared" si="18"/>
        <v>#REF!</v>
      </c>
    </row>
    <row r="254" spans="1:17">
      <c r="A254" s="2" t="s">
        <v>208</v>
      </c>
      <c r="B254" s="46">
        <v>4</v>
      </c>
      <c r="C254" s="46">
        <v>2022</v>
      </c>
      <c r="D254" s="46" t="s">
        <v>209</v>
      </c>
      <c r="E254" s="46" t="s">
        <v>209</v>
      </c>
      <c r="F254" s="31">
        <v>44896</v>
      </c>
      <c r="G254" s="46">
        <f t="shared" si="16"/>
        <v>31</v>
      </c>
      <c r="H254" s="47">
        <f t="shared" si="19"/>
        <v>44903</v>
      </c>
      <c r="I254" s="140">
        <f>_xlfn.XLOOKUP(Table12[[#This Row],[Month Year]],'Modelling New'!D:D,'Modelling New'!N:N)</f>
        <v>10.507</v>
      </c>
      <c r="J254" s="50" t="e">
        <f>'Raw Data'!#REF!/J$1</f>
        <v>#REF!</v>
      </c>
      <c r="K254" s="50" t="e">
        <f>'Raw Data'!#REF!/K$1</f>
        <v>#REF!</v>
      </c>
      <c r="L254" s="50" t="e">
        <f>'Raw Data'!#REF!/L$1</f>
        <v>#REF!</v>
      </c>
      <c r="M254" s="50" t="e">
        <f>'Raw Data'!#REF!/M$1</f>
        <v>#REF!</v>
      </c>
      <c r="N254" s="50" t="e">
        <f>'Raw Data'!#REF!/N$1</f>
        <v>#REF!</v>
      </c>
      <c r="O254" s="50" t="e">
        <f>'Raw Data'!#REF!/O$1</f>
        <v>#REF!</v>
      </c>
      <c r="P254" s="50" t="str">
        <f t="shared" si="17"/>
        <v/>
      </c>
      <c r="Q254" s="50" t="e">
        <f t="shared" si="18"/>
        <v>#REF!</v>
      </c>
    </row>
    <row r="255" spans="1:17">
      <c r="A255" s="2" t="s">
        <v>208</v>
      </c>
      <c r="B255" s="44">
        <v>4</v>
      </c>
      <c r="C255" s="44">
        <v>2022</v>
      </c>
      <c r="D255" s="44" t="s">
        <v>209</v>
      </c>
      <c r="E255" s="44" t="s">
        <v>209</v>
      </c>
      <c r="F255" s="31">
        <v>44896</v>
      </c>
      <c r="G255" s="44">
        <f t="shared" si="16"/>
        <v>31</v>
      </c>
      <c r="H255" s="45">
        <f t="shared" si="19"/>
        <v>44904</v>
      </c>
      <c r="I255" s="139">
        <f>_xlfn.XLOOKUP(Table12[[#This Row],[Month Year]],'Modelling New'!D:D,'Modelling New'!N:N)</f>
        <v>10.507</v>
      </c>
      <c r="J255" s="50" t="e">
        <f>'Raw Data'!#REF!/J$1</f>
        <v>#REF!</v>
      </c>
      <c r="K255" s="50" t="e">
        <f>'Raw Data'!#REF!/K$1</f>
        <v>#REF!</v>
      </c>
      <c r="L255" s="50" t="e">
        <f>'Raw Data'!#REF!/L$1</f>
        <v>#REF!</v>
      </c>
      <c r="M255" s="50" t="e">
        <f>'Raw Data'!#REF!/M$1</f>
        <v>#REF!</v>
      </c>
      <c r="N255" s="50" t="e">
        <f>'Raw Data'!#REF!/N$1</f>
        <v>#REF!</v>
      </c>
      <c r="O255" s="50" t="e">
        <f>'Raw Data'!#REF!/O$1</f>
        <v>#REF!</v>
      </c>
      <c r="P255" s="50" t="str">
        <f t="shared" si="17"/>
        <v/>
      </c>
      <c r="Q255" s="50" t="e">
        <f t="shared" si="18"/>
        <v>#REF!</v>
      </c>
    </row>
    <row r="256" spans="1:17">
      <c r="A256" s="2" t="s">
        <v>208</v>
      </c>
      <c r="B256" s="46">
        <v>4</v>
      </c>
      <c r="C256" s="46">
        <v>2022</v>
      </c>
      <c r="D256" s="46" t="s">
        <v>209</v>
      </c>
      <c r="E256" s="46" t="s">
        <v>209</v>
      </c>
      <c r="F256" s="31">
        <v>44896</v>
      </c>
      <c r="G256" s="46">
        <f t="shared" si="16"/>
        <v>31</v>
      </c>
      <c r="H256" s="47">
        <f t="shared" si="19"/>
        <v>44905</v>
      </c>
      <c r="I256" s="140">
        <f>_xlfn.XLOOKUP(Table12[[#This Row],[Month Year]],'Modelling New'!D:D,'Modelling New'!N:N)</f>
        <v>10.507</v>
      </c>
      <c r="J256" s="50" t="e">
        <f>'Raw Data'!#REF!/J$1</f>
        <v>#REF!</v>
      </c>
      <c r="K256" s="50" t="e">
        <f>'Raw Data'!#REF!/K$1</f>
        <v>#REF!</v>
      </c>
      <c r="L256" s="50" t="e">
        <f>'Raw Data'!#REF!/L$1</f>
        <v>#REF!</v>
      </c>
      <c r="M256" s="50" t="e">
        <f>'Raw Data'!#REF!/M$1</f>
        <v>#REF!</v>
      </c>
      <c r="N256" s="50" t="e">
        <f>'Raw Data'!#REF!/N$1</f>
        <v>#REF!</v>
      </c>
      <c r="O256" s="50" t="e">
        <f>'Raw Data'!#REF!/O$1</f>
        <v>#REF!</v>
      </c>
      <c r="P256" s="50" t="str">
        <f t="shared" si="17"/>
        <v/>
      </c>
      <c r="Q256" s="50" t="e">
        <f t="shared" si="18"/>
        <v>#REF!</v>
      </c>
    </row>
    <row r="257" spans="1:17">
      <c r="A257" s="2" t="s">
        <v>208</v>
      </c>
      <c r="B257" s="44">
        <v>4</v>
      </c>
      <c r="C257" s="44">
        <v>2022</v>
      </c>
      <c r="D257" s="44" t="s">
        <v>209</v>
      </c>
      <c r="E257" s="44" t="s">
        <v>209</v>
      </c>
      <c r="F257" s="31">
        <v>44896</v>
      </c>
      <c r="G257" s="44">
        <f t="shared" si="16"/>
        <v>31</v>
      </c>
      <c r="H257" s="45">
        <f t="shared" si="19"/>
        <v>44906</v>
      </c>
      <c r="I257" s="139">
        <f>_xlfn.XLOOKUP(Table12[[#This Row],[Month Year]],'Modelling New'!D:D,'Modelling New'!N:N)</f>
        <v>10.507</v>
      </c>
      <c r="J257" s="50" t="e">
        <f>'Raw Data'!#REF!/J$1</f>
        <v>#REF!</v>
      </c>
      <c r="K257" s="50" t="e">
        <f>'Raw Data'!#REF!/K$1</f>
        <v>#REF!</v>
      </c>
      <c r="L257" s="50" t="e">
        <f>'Raw Data'!#REF!/L$1</f>
        <v>#REF!</v>
      </c>
      <c r="M257" s="50" t="e">
        <f>'Raw Data'!#REF!/M$1</f>
        <v>#REF!</v>
      </c>
      <c r="N257" s="50" t="e">
        <f>'Raw Data'!#REF!/N$1</f>
        <v>#REF!</v>
      </c>
      <c r="O257" s="50" t="e">
        <f>'Raw Data'!#REF!/O$1</f>
        <v>#REF!</v>
      </c>
      <c r="P257" s="50" t="str">
        <f t="shared" si="17"/>
        <v/>
      </c>
      <c r="Q257" s="50" t="e">
        <f t="shared" si="18"/>
        <v>#REF!</v>
      </c>
    </row>
    <row r="258" spans="1:17">
      <c r="A258" s="2" t="s">
        <v>208</v>
      </c>
      <c r="B258" s="46">
        <v>4</v>
      </c>
      <c r="C258" s="46">
        <v>2022</v>
      </c>
      <c r="D258" s="46" t="s">
        <v>209</v>
      </c>
      <c r="E258" s="46" t="s">
        <v>209</v>
      </c>
      <c r="F258" s="31">
        <v>44896</v>
      </c>
      <c r="G258" s="46">
        <f t="shared" si="16"/>
        <v>31</v>
      </c>
      <c r="H258" s="47">
        <f t="shared" si="19"/>
        <v>44907</v>
      </c>
      <c r="I258" s="140">
        <f>_xlfn.XLOOKUP(Table12[[#This Row],[Month Year]],'Modelling New'!D:D,'Modelling New'!N:N)</f>
        <v>10.507</v>
      </c>
      <c r="J258" s="50" t="e">
        <f>'Raw Data'!#REF!/J$1</f>
        <v>#REF!</v>
      </c>
      <c r="K258" s="50" t="e">
        <f>'Raw Data'!#REF!/K$1</f>
        <v>#REF!</v>
      </c>
      <c r="L258" s="50" t="e">
        <f>'Raw Data'!#REF!/L$1</f>
        <v>#REF!</v>
      </c>
      <c r="M258" s="50" t="e">
        <f>'Raw Data'!#REF!/M$1</f>
        <v>#REF!</v>
      </c>
      <c r="N258" s="50" t="e">
        <f>'Raw Data'!#REF!/N$1</f>
        <v>#REF!</v>
      </c>
      <c r="O258" s="50" t="e">
        <f>'Raw Data'!#REF!/O$1</f>
        <v>#REF!</v>
      </c>
      <c r="P258" s="50" t="str">
        <f t="shared" si="17"/>
        <v/>
      </c>
      <c r="Q258" s="50" t="e">
        <f t="shared" si="18"/>
        <v>#REF!</v>
      </c>
    </row>
    <row r="259" spans="1:17">
      <c r="A259" s="2" t="s">
        <v>208</v>
      </c>
      <c r="B259" s="44">
        <v>4</v>
      </c>
      <c r="C259" s="44">
        <v>2022</v>
      </c>
      <c r="D259" s="44" t="s">
        <v>209</v>
      </c>
      <c r="E259" s="44" t="s">
        <v>209</v>
      </c>
      <c r="F259" s="31">
        <v>44896</v>
      </c>
      <c r="G259" s="44">
        <f t="shared" si="16"/>
        <v>31</v>
      </c>
      <c r="H259" s="45">
        <f t="shared" si="19"/>
        <v>44908</v>
      </c>
      <c r="I259" s="139">
        <f>_xlfn.XLOOKUP(Table12[[#This Row],[Month Year]],'Modelling New'!D:D,'Modelling New'!N:N)</f>
        <v>10.507</v>
      </c>
      <c r="J259" s="50" t="e">
        <f>'Raw Data'!#REF!/J$1</f>
        <v>#REF!</v>
      </c>
      <c r="K259" s="50" t="e">
        <f>'Raw Data'!#REF!/K$1</f>
        <v>#REF!</v>
      </c>
      <c r="L259" s="50" t="e">
        <f>'Raw Data'!#REF!/L$1</f>
        <v>#REF!</v>
      </c>
      <c r="M259" s="50" t="e">
        <f>'Raw Data'!#REF!/M$1</f>
        <v>#REF!</v>
      </c>
      <c r="N259" s="50" t="e">
        <f>'Raw Data'!#REF!/N$1</f>
        <v>#REF!</v>
      </c>
      <c r="O259" s="50" t="e">
        <f>'Raw Data'!#REF!/O$1</f>
        <v>#REF!</v>
      </c>
      <c r="P259" s="50" t="str">
        <f t="shared" si="17"/>
        <v/>
      </c>
      <c r="Q259" s="50" t="e">
        <f t="shared" si="18"/>
        <v>#REF!</v>
      </c>
    </row>
    <row r="260" spans="1:17">
      <c r="A260" s="2" t="s">
        <v>208</v>
      </c>
      <c r="B260" s="46">
        <v>4</v>
      </c>
      <c r="C260" s="46">
        <v>2022</v>
      </c>
      <c r="D260" s="46" t="s">
        <v>209</v>
      </c>
      <c r="E260" s="46" t="s">
        <v>209</v>
      </c>
      <c r="F260" s="31">
        <v>44896</v>
      </c>
      <c r="G260" s="46">
        <f t="shared" ref="G260:G323" si="20">DAY(EOMONTH(F260,0))</f>
        <v>31</v>
      </c>
      <c r="H260" s="47">
        <f t="shared" si="19"/>
        <v>44909</v>
      </c>
      <c r="I260" s="140">
        <f>_xlfn.XLOOKUP(Table12[[#This Row],[Month Year]],'Modelling New'!D:D,'Modelling New'!N:N)</f>
        <v>10.507</v>
      </c>
      <c r="J260" s="50" t="e">
        <f>'Raw Data'!#REF!/J$1</f>
        <v>#REF!</v>
      </c>
      <c r="K260" s="50" t="e">
        <f>'Raw Data'!#REF!/K$1</f>
        <v>#REF!</v>
      </c>
      <c r="L260" s="50" t="e">
        <f>'Raw Data'!#REF!/L$1</f>
        <v>#REF!</v>
      </c>
      <c r="M260" s="50" t="e">
        <f>'Raw Data'!#REF!/M$1</f>
        <v>#REF!</v>
      </c>
      <c r="N260" s="50" t="e">
        <f>'Raw Data'!#REF!/N$1</f>
        <v>#REF!</v>
      </c>
      <c r="O260" s="50" t="e">
        <f>'Raw Data'!#REF!/O$1</f>
        <v>#REF!</v>
      </c>
      <c r="P260" s="50" t="str">
        <f t="shared" si="17"/>
        <v/>
      </c>
      <c r="Q260" s="50" t="e">
        <f t="shared" si="18"/>
        <v>#REF!</v>
      </c>
    </row>
    <row r="261" spans="1:17">
      <c r="A261" s="2" t="s">
        <v>208</v>
      </c>
      <c r="B261" s="44">
        <v>4</v>
      </c>
      <c r="C261" s="44">
        <v>2022</v>
      </c>
      <c r="D261" s="44" t="s">
        <v>209</v>
      </c>
      <c r="E261" s="44" t="s">
        <v>209</v>
      </c>
      <c r="F261" s="31">
        <v>44896</v>
      </c>
      <c r="G261" s="44">
        <f t="shared" si="20"/>
        <v>31</v>
      </c>
      <c r="H261" s="45">
        <f t="shared" si="19"/>
        <v>44910</v>
      </c>
      <c r="I261" s="139">
        <f>_xlfn.XLOOKUP(Table12[[#This Row],[Month Year]],'Modelling New'!D:D,'Modelling New'!N:N)</f>
        <v>10.507</v>
      </c>
      <c r="J261" s="50" t="e">
        <f>'Raw Data'!#REF!/J$1</f>
        <v>#REF!</v>
      </c>
      <c r="K261" s="50" t="e">
        <f>'Raw Data'!#REF!/K$1</f>
        <v>#REF!</v>
      </c>
      <c r="L261" s="50" t="e">
        <f>'Raw Data'!#REF!/L$1</f>
        <v>#REF!</v>
      </c>
      <c r="M261" s="50" t="e">
        <f>'Raw Data'!#REF!/M$1</f>
        <v>#REF!</v>
      </c>
      <c r="N261" s="50" t="e">
        <f>'Raw Data'!#REF!/N$1</f>
        <v>#REF!</v>
      </c>
      <c r="O261" s="50" t="e">
        <f>'Raw Data'!#REF!/O$1</f>
        <v>#REF!</v>
      </c>
      <c r="P261" s="50" t="str">
        <f t="shared" si="17"/>
        <v/>
      </c>
      <c r="Q261" s="50" t="e">
        <f t="shared" si="18"/>
        <v>#REF!</v>
      </c>
    </row>
    <row r="262" spans="1:17">
      <c r="A262" s="2" t="s">
        <v>208</v>
      </c>
      <c r="B262" s="46">
        <v>4</v>
      </c>
      <c r="C262" s="46">
        <v>2022</v>
      </c>
      <c r="D262" s="46" t="s">
        <v>209</v>
      </c>
      <c r="E262" s="46" t="s">
        <v>209</v>
      </c>
      <c r="F262" s="31">
        <v>44896</v>
      </c>
      <c r="G262" s="46">
        <f t="shared" si="20"/>
        <v>31</v>
      </c>
      <c r="H262" s="47">
        <f t="shared" si="19"/>
        <v>44911</v>
      </c>
      <c r="I262" s="140">
        <f>_xlfn.XLOOKUP(Table12[[#This Row],[Month Year]],'Modelling New'!D:D,'Modelling New'!N:N)</f>
        <v>10.507</v>
      </c>
      <c r="J262" s="50" t="e">
        <f>'Raw Data'!#REF!/J$1</f>
        <v>#REF!</v>
      </c>
      <c r="K262" s="50" t="e">
        <f>'Raw Data'!#REF!/K$1</f>
        <v>#REF!</v>
      </c>
      <c r="L262" s="50" t="e">
        <f>'Raw Data'!#REF!/L$1</f>
        <v>#REF!</v>
      </c>
      <c r="M262" s="50" t="e">
        <f>'Raw Data'!#REF!/M$1</f>
        <v>#REF!</v>
      </c>
      <c r="N262" s="50" t="e">
        <f>'Raw Data'!#REF!/N$1</f>
        <v>#REF!</v>
      </c>
      <c r="O262" s="50" t="e">
        <f>'Raw Data'!#REF!/O$1</f>
        <v>#REF!</v>
      </c>
      <c r="P262" s="50" t="str">
        <f t="shared" si="17"/>
        <v/>
      </c>
      <c r="Q262" s="50" t="e">
        <f t="shared" si="18"/>
        <v>#REF!</v>
      </c>
    </row>
    <row r="263" spans="1:17">
      <c r="A263" s="2" t="s">
        <v>208</v>
      </c>
      <c r="B263" s="44">
        <v>4</v>
      </c>
      <c r="C263" s="44">
        <v>2022</v>
      </c>
      <c r="D263" s="44" t="s">
        <v>209</v>
      </c>
      <c r="E263" s="44" t="s">
        <v>209</v>
      </c>
      <c r="F263" s="31">
        <v>44896</v>
      </c>
      <c r="G263" s="44">
        <f t="shared" si="20"/>
        <v>31</v>
      </c>
      <c r="H263" s="45">
        <f t="shared" si="19"/>
        <v>44912</v>
      </c>
      <c r="I263" s="139">
        <f>_xlfn.XLOOKUP(Table12[[#This Row],[Month Year]],'Modelling New'!D:D,'Modelling New'!N:N)</f>
        <v>10.507</v>
      </c>
      <c r="J263" s="50" t="e">
        <f>'Raw Data'!#REF!/J$1</f>
        <v>#REF!</v>
      </c>
      <c r="K263" s="50" t="e">
        <f>'Raw Data'!#REF!/K$1</f>
        <v>#REF!</v>
      </c>
      <c r="L263" s="50" t="e">
        <f>'Raw Data'!#REF!/L$1</f>
        <v>#REF!</v>
      </c>
      <c r="M263" s="50" t="e">
        <f>'Raw Data'!#REF!/M$1</f>
        <v>#REF!</v>
      </c>
      <c r="N263" s="50" t="e">
        <f>'Raw Data'!#REF!/N$1</f>
        <v>#REF!</v>
      </c>
      <c r="O263" s="50" t="e">
        <f>'Raw Data'!#REF!/O$1</f>
        <v>#REF!</v>
      </c>
      <c r="P263" s="50" t="str">
        <f t="shared" si="17"/>
        <v/>
      </c>
      <c r="Q263" s="50" t="e">
        <f t="shared" si="18"/>
        <v>#REF!</v>
      </c>
    </row>
    <row r="264" spans="1:17">
      <c r="A264" s="2" t="s">
        <v>208</v>
      </c>
      <c r="B264" s="46">
        <v>4</v>
      </c>
      <c r="C264" s="46">
        <v>2022</v>
      </c>
      <c r="D264" s="46" t="s">
        <v>209</v>
      </c>
      <c r="E264" s="46" t="s">
        <v>209</v>
      </c>
      <c r="F264" s="31">
        <v>44896</v>
      </c>
      <c r="G264" s="46">
        <f t="shared" si="20"/>
        <v>31</v>
      </c>
      <c r="H264" s="47">
        <f t="shared" si="19"/>
        <v>44913</v>
      </c>
      <c r="I264" s="140">
        <f>_xlfn.XLOOKUP(Table12[[#This Row],[Month Year]],'Modelling New'!D:D,'Modelling New'!N:N)</f>
        <v>10.507</v>
      </c>
      <c r="J264" s="50" t="e">
        <f>'Raw Data'!#REF!/J$1</f>
        <v>#REF!</v>
      </c>
      <c r="K264" s="50" t="e">
        <f>'Raw Data'!#REF!/K$1</f>
        <v>#REF!</v>
      </c>
      <c r="L264" s="50" t="e">
        <f>'Raw Data'!#REF!/L$1</f>
        <v>#REF!</v>
      </c>
      <c r="M264" s="50" t="e">
        <f>'Raw Data'!#REF!/M$1</f>
        <v>#REF!</v>
      </c>
      <c r="N264" s="50" t="e">
        <f>'Raw Data'!#REF!/N$1</f>
        <v>#REF!</v>
      </c>
      <c r="O264" s="50" t="e">
        <f>'Raw Data'!#REF!/O$1</f>
        <v>#REF!</v>
      </c>
      <c r="P264" s="50" t="str">
        <f t="shared" si="17"/>
        <v/>
      </c>
      <c r="Q264" s="50" t="e">
        <f t="shared" si="18"/>
        <v>#REF!</v>
      </c>
    </row>
    <row r="265" spans="1:17">
      <c r="A265" s="2" t="s">
        <v>208</v>
      </c>
      <c r="B265" s="44">
        <v>4</v>
      </c>
      <c r="C265" s="44">
        <v>2022</v>
      </c>
      <c r="D265" s="44" t="s">
        <v>209</v>
      </c>
      <c r="E265" s="44" t="s">
        <v>209</v>
      </c>
      <c r="F265" s="31">
        <v>44896</v>
      </c>
      <c r="G265" s="44">
        <f t="shared" si="20"/>
        <v>31</v>
      </c>
      <c r="H265" s="45">
        <f t="shared" si="19"/>
        <v>44914</v>
      </c>
      <c r="I265" s="139">
        <f>_xlfn.XLOOKUP(Table12[[#This Row],[Month Year]],'Modelling New'!D:D,'Modelling New'!N:N)</f>
        <v>10.507</v>
      </c>
      <c r="J265" s="50" t="e">
        <f>'Raw Data'!#REF!/J$1</f>
        <v>#REF!</v>
      </c>
      <c r="K265" s="50" t="e">
        <f>'Raw Data'!#REF!/K$1</f>
        <v>#REF!</v>
      </c>
      <c r="L265" s="50" t="e">
        <f>'Raw Data'!#REF!/L$1</f>
        <v>#REF!</v>
      </c>
      <c r="M265" s="50" t="e">
        <f>'Raw Data'!#REF!/M$1</f>
        <v>#REF!</v>
      </c>
      <c r="N265" s="50" t="e">
        <f>'Raw Data'!#REF!/N$1</f>
        <v>#REF!</v>
      </c>
      <c r="O265" s="50" t="e">
        <f>'Raw Data'!#REF!/O$1</f>
        <v>#REF!</v>
      </c>
      <c r="P265" s="50" t="str">
        <f t="shared" si="17"/>
        <v/>
      </c>
      <c r="Q265" s="50" t="e">
        <f t="shared" si="18"/>
        <v>#REF!</v>
      </c>
    </row>
    <row r="266" spans="1:17">
      <c r="A266" s="2" t="s">
        <v>208</v>
      </c>
      <c r="B266" s="46">
        <v>4</v>
      </c>
      <c r="C266" s="46">
        <v>2022</v>
      </c>
      <c r="D266" s="46" t="s">
        <v>209</v>
      </c>
      <c r="E266" s="46" t="s">
        <v>209</v>
      </c>
      <c r="F266" s="31">
        <v>44896</v>
      </c>
      <c r="G266" s="46">
        <f t="shared" si="20"/>
        <v>31</v>
      </c>
      <c r="H266" s="47">
        <f t="shared" si="19"/>
        <v>44915</v>
      </c>
      <c r="I266" s="140">
        <f>_xlfn.XLOOKUP(Table12[[#This Row],[Month Year]],'Modelling New'!D:D,'Modelling New'!N:N)</f>
        <v>10.507</v>
      </c>
      <c r="J266" s="50" t="e">
        <f>'Raw Data'!#REF!/J$1</f>
        <v>#REF!</v>
      </c>
      <c r="K266" s="50" t="e">
        <f>'Raw Data'!#REF!/K$1</f>
        <v>#REF!</v>
      </c>
      <c r="L266" s="50" t="e">
        <f>'Raw Data'!#REF!/L$1</f>
        <v>#REF!</v>
      </c>
      <c r="M266" s="50" t="e">
        <f>'Raw Data'!#REF!/M$1</f>
        <v>#REF!</v>
      </c>
      <c r="N266" s="50" t="e">
        <f>'Raw Data'!#REF!/N$1</f>
        <v>#REF!</v>
      </c>
      <c r="O266" s="50" t="e">
        <f>'Raw Data'!#REF!/O$1</f>
        <v>#REF!</v>
      </c>
      <c r="P266" s="50" t="str">
        <f t="shared" si="17"/>
        <v/>
      </c>
      <c r="Q266" s="50" t="e">
        <f t="shared" si="18"/>
        <v>#REF!</v>
      </c>
    </row>
    <row r="267" spans="1:17">
      <c r="A267" s="2" t="s">
        <v>208</v>
      </c>
      <c r="B267" s="44">
        <v>4</v>
      </c>
      <c r="C267" s="44">
        <v>2022</v>
      </c>
      <c r="D267" s="44" t="s">
        <v>209</v>
      </c>
      <c r="E267" s="44" t="s">
        <v>209</v>
      </c>
      <c r="F267" s="31">
        <v>44896</v>
      </c>
      <c r="G267" s="44">
        <f t="shared" si="20"/>
        <v>31</v>
      </c>
      <c r="H267" s="45">
        <f t="shared" si="19"/>
        <v>44916</v>
      </c>
      <c r="I267" s="139">
        <f>_xlfn.XLOOKUP(Table12[[#This Row],[Month Year]],'Modelling New'!D:D,'Modelling New'!N:N)</f>
        <v>10.507</v>
      </c>
      <c r="J267" s="50" t="e">
        <f>'Raw Data'!#REF!/J$1</f>
        <v>#REF!</v>
      </c>
      <c r="K267" s="50" t="e">
        <f>'Raw Data'!#REF!/K$1</f>
        <v>#REF!</v>
      </c>
      <c r="L267" s="50" t="e">
        <f>'Raw Data'!#REF!/L$1</f>
        <v>#REF!</v>
      </c>
      <c r="M267" s="50" t="e">
        <f>'Raw Data'!#REF!/M$1</f>
        <v>#REF!</v>
      </c>
      <c r="N267" s="50" t="e">
        <f>'Raw Data'!#REF!/N$1</f>
        <v>#REF!</v>
      </c>
      <c r="O267" s="50" t="e">
        <f>'Raw Data'!#REF!/O$1</f>
        <v>#REF!</v>
      </c>
      <c r="P267" s="50" t="str">
        <f t="shared" si="17"/>
        <v/>
      </c>
      <c r="Q267" s="50" t="e">
        <f t="shared" si="18"/>
        <v>#REF!</v>
      </c>
    </row>
    <row r="268" spans="1:17">
      <c r="A268" s="2" t="s">
        <v>208</v>
      </c>
      <c r="B268" s="46">
        <v>4</v>
      </c>
      <c r="C268" s="46">
        <v>2022</v>
      </c>
      <c r="D268" s="46" t="s">
        <v>209</v>
      </c>
      <c r="E268" s="46" t="s">
        <v>209</v>
      </c>
      <c r="F268" s="31">
        <v>44896</v>
      </c>
      <c r="G268" s="46">
        <f t="shared" si="20"/>
        <v>31</v>
      </c>
      <c r="H268" s="47">
        <f t="shared" si="19"/>
        <v>44917</v>
      </c>
      <c r="I268" s="140">
        <f>_xlfn.XLOOKUP(Table12[[#This Row],[Month Year]],'Modelling New'!D:D,'Modelling New'!N:N)</f>
        <v>10.507</v>
      </c>
      <c r="J268" s="50" t="e">
        <f>'Raw Data'!#REF!/J$1</f>
        <v>#REF!</v>
      </c>
      <c r="K268" s="50" t="e">
        <f>'Raw Data'!#REF!/K$1</f>
        <v>#REF!</v>
      </c>
      <c r="L268" s="50" t="e">
        <f>'Raw Data'!#REF!/L$1</f>
        <v>#REF!</v>
      </c>
      <c r="M268" s="50" t="e">
        <f>'Raw Data'!#REF!/M$1</f>
        <v>#REF!</v>
      </c>
      <c r="N268" s="50" t="e">
        <f>'Raw Data'!#REF!/N$1</f>
        <v>#REF!</v>
      </c>
      <c r="O268" s="50" t="e">
        <f>'Raw Data'!#REF!/O$1</f>
        <v>#REF!</v>
      </c>
      <c r="P268" s="50" t="str">
        <f t="shared" si="17"/>
        <v/>
      </c>
      <c r="Q268" s="50" t="e">
        <f t="shared" si="18"/>
        <v>#REF!</v>
      </c>
    </row>
    <row r="269" spans="1:17">
      <c r="A269" s="2" t="s">
        <v>208</v>
      </c>
      <c r="B269" s="44">
        <v>4</v>
      </c>
      <c r="C269" s="44">
        <v>2022</v>
      </c>
      <c r="D269" s="44" t="s">
        <v>209</v>
      </c>
      <c r="E269" s="44" t="s">
        <v>209</v>
      </c>
      <c r="F269" s="31">
        <v>44896</v>
      </c>
      <c r="G269" s="44">
        <f t="shared" si="20"/>
        <v>31</v>
      </c>
      <c r="H269" s="45">
        <f t="shared" si="19"/>
        <v>44918</v>
      </c>
      <c r="I269" s="139">
        <f>_xlfn.XLOOKUP(Table12[[#This Row],[Month Year]],'Modelling New'!D:D,'Modelling New'!N:N)</f>
        <v>10.507</v>
      </c>
      <c r="J269" s="50" t="e">
        <f>'Raw Data'!#REF!/J$1</f>
        <v>#REF!</v>
      </c>
      <c r="K269" s="50" t="e">
        <f>'Raw Data'!#REF!/K$1</f>
        <v>#REF!</v>
      </c>
      <c r="L269" s="50" t="e">
        <f>'Raw Data'!#REF!/L$1</f>
        <v>#REF!</v>
      </c>
      <c r="M269" s="50" t="e">
        <f>'Raw Data'!#REF!/M$1</f>
        <v>#REF!</v>
      </c>
      <c r="N269" s="50" t="e">
        <f>'Raw Data'!#REF!/N$1</f>
        <v>#REF!</v>
      </c>
      <c r="O269" s="50" t="e">
        <f>'Raw Data'!#REF!/O$1</f>
        <v>#REF!</v>
      </c>
      <c r="P269" s="50" t="str">
        <f t="shared" si="17"/>
        <v/>
      </c>
      <c r="Q269" s="50" t="e">
        <f t="shared" si="18"/>
        <v>#REF!</v>
      </c>
    </row>
    <row r="270" spans="1:17">
      <c r="A270" s="2" t="s">
        <v>208</v>
      </c>
      <c r="B270" s="46">
        <v>4</v>
      </c>
      <c r="C270" s="46">
        <v>2022</v>
      </c>
      <c r="D270" s="46" t="s">
        <v>209</v>
      </c>
      <c r="E270" s="46" t="s">
        <v>209</v>
      </c>
      <c r="F270" s="31">
        <v>44896</v>
      </c>
      <c r="G270" s="46">
        <f t="shared" si="20"/>
        <v>31</v>
      </c>
      <c r="H270" s="47">
        <f t="shared" si="19"/>
        <v>44919</v>
      </c>
      <c r="I270" s="140">
        <f>_xlfn.XLOOKUP(Table12[[#This Row],[Month Year]],'Modelling New'!D:D,'Modelling New'!N:N)</f>
        <v>10.507</v>
      </c>
      <c r="J270" s="50" t="e">
        <f>'Raw Data'!#REF!/J$1</f>
        <v>#REF!</v>
      </c>
      <c r="K270" s="50" t="e">
        <f>'Raw Data'!#REF!/K$1</f>
        <v>#REF!</v>
      </c>
      <c r="L270" s="50" t="e">
        <f>'Raw Data'!#REF!/L$1</f>
        <v>#REF!</v>
      </c>
      <c r="M270" s="50" t="e">
        <f>'Raw Data'!#REF!/M$1</f>
        <v>#REF!</v>
      </c>
      <c r="N270" s="50" t="e">
        <f>'Raw Data'!#REF!/N$1</f>
        <v>#REF!</v>
      </c>
      <c r="O270" s="50" t="e">
        <f>'Raw Data'!#REF!/O$1</f>
        <v>#REF!</v>
      </c>
      <c r="P270" s="50" t="str">
        <f t="shared" si="17"/>
        <v/>
      </c>
      <c r="Q270" s="50" t="e">
        <f t="shared" si="18"/>
        <v>#REF!</v>
      </c>
    </row>
    <row r="271" spans="1:17">
      <c r="A271" s="2" t="s">
        <v>208</v>
      </c>
      <c r="B271" s="44">
        <v>4</v>
      </c>
      <c r="C271" s="44">
        <v>2022</v>
      </c>
      <c r="D271" s="44" t="s">
        <v>209</v>
      </c>
      <c r="E271" s="44" t="s">
        <v>209</v>
      </c>
      <c r="F271" s="31">
        <v>44896</v>
      </c>
      <c r="G271" s="44">
        <f t="shared" si="20"/>
        <v>31</v>
      </c>
      <c r="H271" s="45">
        <f t="shared" si="19"/>
        <v>44920</v>
      </c>
      <c r="I271" s="139">
        <f>_xlfn.XLOOKUP(Table12[[#This Row],[Month Year]],'Modelling New'!D:D,'Modelling New'!N:N)</f>
        <v>10.507</v>
      </c>
      <c r="J271" s="50" t="e">
        <f>'Raw Data'!#REF!/J$1</f>
        <v>#REF!</v>
      </c>
      <c r="K271" s="50" t="e">
        <f>'Raw Data'!#REF!/K$1</f>
        <v>#REF!</v>
      </c>
      <c r="L271" s="50" t="e">
        <f>'Raw Data'!#REF!/L$1</f>
        <v>#REF!</v>
      </c>
      <c r="M271" s="50" t="e">
        <f>'Raw Data'!#REF!/M$1</f>
        <v>#REF!</v>
      </c>
      <c r="N271" s="50" t="e">
        <f>'Raw Data'!#REF!/N$1</f>
        <v>#REF!</v>
      </c>
      <c r="O271" s="50" t="e">
        <f>'Raw Data'!#REF!/O$1</f>
        <v>#REF!</v>
      </c>
      <c r="P271" s="50" t="str">
        <f t="shared" si="17"/>
        <v/>
      </c>
      <c r="Q271" s="50" t="e">
        <f t="shared" si="18"/>
        <v>#REF!</v>
      </c>
    </row>
    <row r="272" spans="1:17">
      <c r="A272" s="2" t="s">
        <v>208</v>
      </c>
      <c r="B272" s="46">
        <v>4</v>
      </c>
      <c r="C272" s="46">
        <v>2022</v>
      </c>
      <c r="D272" s="46" t="s">
        <v>209</v>
      </c>
      <c r="E272" s="46" t="s">
        <v>209</v>
      </c>
      <c r="F272" s="31">
        <v>44896</v>
      </c>
      <c r="G272" s="46">
        <f t="shared" si="20"/>
        <v>31</v>
      </c>
      <c r="H272" s="47">
        <f t="shared" si="19"/>
        <v>44921</v>
      </c>
      <c r="I272" s="140">
        <f>_xlfn.XLOOKUP(Table12[[#This Row],[Month Year]],'Modelling New'!D:D,'Modelling New'!N:N)</f>
        <v>10.507</v>
      </c>
      <c r="J272" s="50" t="e">
        <f>'Raw Data'!#REF!/J$1</f>
        <v>#REF!</v>
      </c>
      <c r="K272" s="50" t="e">
        <f>'Raw Data'!#REF!/K$1</f>
        <v>#REF!</v>
      </c>
      <c r="L272" s="50" t="e">
        <f>'Raw Data'!#REF!/L$1</f>
        <v>#REF!</v>
      </c>
      <c r="M272" s="50" t="e">
        <f>'Raw Data'!#REF!/M$1</f>
        <v>#REF!</v>
      </c>
      <c r="N272" s="50" t="e">
        <f>'Raw Data'!#REF!/N$1</f>
        <v>#REF!</v>
      </c>
      <c r="O272" s="50" t="e">
        <f>'Raw Data'!#REF!/O$1</f>
        <v>#REF!</v>
      </c>
      <c r="P272" s="50" t="str">
        <f t="shared" si="17"/>
        <v/>
      </c>
      <c r="Q272" s="50" t="e">
        <f t="shared" si="18"/>
        <v>#REF!</v>
      </c>
    </row>
    <row r="273" spans="1:17">
      <c r="A273" s="2" t="s">
        <v>208</v>
      </c>
      <c r="B273" s="44">
        <v>4</v>
      </c>
      <c r="C273" s="44">
        <v>2022</v>
      </c>
      <c r="D273" s="44" t="s">
        <v>209</v>
      </c>
      <c r="E273" s="44" t="s">
        <v>209</v>
      </c>
      <c r="F273" s="31">
        <v>44896</v>
      </c>
      <c r="G273" s="44">
        <f t="shared" si="20"/>
        <v>31</v>
      </c>
      <c r="H273" s="45">
        <f t="shared" si="19"/>
        <v>44922</v>
      </c>
      <c r="I273" s="139">
        <f>_xlfn.XLOOKUP(Table12[[#This Row],[Month Year]],'Modelling New'!D:D,'Modelling New'!N:N)</f>
        <v>10.507</v>
      </c>
      <c r="J273" s="50" t="e">
        <f>'Raw Data'!#REF!/J$1</f>
        <v>#REF!</v>
      </c>
      <c r="K273" s="50" t="e">
        <f>'Raw Data'!#REF!/K$1</f>
        <v>#REF!</v>
      </c>
      <c r="L273" s="50" t="e">
        <f>'Raw Data'!#REF!/L$1</f>
        <v>#REF!</v>
      </c>
      <c r="M273" s="50" t="e">
        <f>'Raw Data'!#REF!/M$1</f>
        <v>#REF!</v>
      </c>
      <c r="N273" s="50" t="e">
        <f>'Raw Data'!#REF!/N$1</f>
        <v>#REF!</v>
      </c>
      <c r="O273" s="50" t="e">
        <f>'Raw Data'!#REF!/O$1</f>
        <v>#REF!</v>
      </c>
      <c r="P273" s="50" t="str">
        <f t="shared" si="17"/>
        <v/>
      </c>
      <c r="Q273" s="50" t="e">
        <f t="shared" si="18"/>
        <v>#REF!</v>
      </c>
    </row>
    <row r="274" spans="1:17">
      <c r="A274" s="2" t="s">
        <v>208</v>
      </c>
      <c r="B274" s="46">
        <v>4</v>
      </c>
      <c r="C274" s="46">
        <v>2022</v>
      </c>
      <c r="D274" s="46" t="s">
        <v>209</v>
      </c>
      <c r="E274" s="46" t="s">
        <v>209</v>
      </c>
      <c r="F274" s="31">
        <v>44896</v>
      </c>
      <c r="G274" s="46">
        <f t="shared" si="20"/>
        <v>31</v>
      </c>
      <c r="H274" s="47">
        <f t="shared" si="19"/>
        <v>44923</v>
      </c>
      <c r="I274" s="140">
        <f>_xlfn.XLOOKUP(Table12[[#This Row],[Month Year]],'Modelling New'!D:D,'Modelling New'!N:N)</f>
        <v>10.507</v>
      </c>
      <c r="J274" s="50" t="e">
        <f>'Raw Data'!#REF!/J$1</f>
        <v>#REF!</v>
      </c>
      <c r="K274" s="50" t="e">
        <f>'Raw Data'!#REF!/K$1</f>
        <v>#REF!</v>
      </c>
      <c r="L274" s="50" t="e">
        <f>'Raw Data'!#REF!/L$1</f>
        <v>#REF!</v>
      </c>
      <c r="M274" s="50" t="e">
        <f>'Raw Data'!#REF!/M$1</f>
        <v>#REF!</v>
      </c>
      <c r="N274" s="50" t="e">
        <f>'Raw Data'!#REF!/N$1</f>
        <v>#REF!</v>
      </c>
      <c r="O274" s="50" t="e">
        <f>'Raw Data'!#REF!/O$1</f>
        <v>#REF!</v>
      </c>
      <c r="P274" s="50" t="str">
        <f t="shared" si="17"/>
        <v/>
      </c>
      <c r="Q274" s="50" t="e">
        <f t="shared" si="18"/>
        <v>#REF!</v>
      </c>
    </row>
    <row r="275" spans="1:17">
      <c r="A275" s="2" t="s">
        <v>208</v>
      </c>
      <c r="B275" s="44">
        <v>4</v>
      </c>
      <c r="C275" s="44">
        <v>2022</v>
      </c>
      <c r="D275" s="44" t="s">
        <v>209</v>
      </c>
      <c r="E275" s="44" t="s">
        <v>209</v>
      </c>
      <c r="F275" s="31">
        <v>44896</v>
      </c>
      <c r="G275" s="44">
        <f t="shared" si="20"/>
        <v>31</v>
      </c>
      <c r="H275" s="45">
        <f t="shared" si="19"/>
        <v>44924</v>
      </c>
      <c r="I275" s="139">
        <f>_xlfn.XLOOKUP(Table12[[#This Row],[Month Year]],'Modelling New'!D:D,'Modelling New'!N:N)</f>
        <v>10.507</v>
      </c>
      <c r="J275" s="50" t="e">
        <f>'Raw Data'!#REF!/J$1</f>
        <v>#REF!</v>
      </c>
      <c r="K275" s="50" t="e">
        <f>'Raw Data'!#REF!/K$1</f>
        <v>#REF!</v>
      </c>
      <c r="L275" s="50" t="e">
        <f>'Raw Data'!#REF!/L$1</f>
        <v>#REF!</v>
      </c>
      <c r="M275" s="50" t="e">
        <f>'Raw Data'!#REF!/M$1</f>
        <v>#REF!</v>
      </c>
      <c r="N275" s="50" t="e">
        <f>'Raw Data'!#REF!/N$1</f>
        <v>#REF!</v>
      </c>
      <c r="O275" s="50" t="e">
        <f>'Raw Data'!#REF!/O$1</f>
        <v>#REF!</v>
      </c>
      <c r="P275" s="50" t="str">
        <f t="shared" si="17"/>
        <v/>
      </c>
      <c r="Q275" s="50" t="e">
        <f t="shared" si="18"/>
        <v>#REF!</v>
      </c>
    </row>
    <row r="276" spans="1:17">
      <c r="A276" s="2" t="s">
        <v>208</v>
      </c>
      <c r="B276" s="46">
        <v>4</v>
      </c>
      <c r="C276" s="46">
        <v>2022</v>
      </c>
      <c r="D276" s="46" t="s">
        <v>209</v>
      </c>
      <c r="E276" s="46" t="s">
        <v>209</v>
      </c>
      <c r="F276" s="31">
        <v>44896</v>
      </c>
      <c r="G276" s="46">
        <f t="shared" si="20"/>
        <v>31</v>
      </c>
      <c r="H276" s="47">
        <f t="shared" si="19"/>
        <v>44925</v>
      </c>
      <c r="I276" s="140">
        <f>_xlfn.XLOOKUP(Table12[[#This Row],[Month Year]],'Modelling New'!D:D,'Modelling New'!N:N)</f>
        <v>10.507</v>
      </c>
      <c r="J276" s="50" t="e">
        <f>'Raw Data'!#REF!/J$1</f>
        <v>#REF!</v>
      </c>
      <c r="K276" s="50" t="e">
        <f>'Raw Data'!#REF!/K$1</f>
        <v>#REF!</v>
      </c>
      <c r="L276" s="50" t="e">
        <f>'Raw Data'!#REF!/L$1</f>
        <v>#REF!</v>
      </c>
      <c r="M276" s="50" t="e">
        <f>'Raw Data'!#REF!/M$1</f>
        <v>#REF!</v>
      </c>
      <c r="N276" s="50" t="e">
        <f>'Raw Data'!#REF!/N$1</f>
        <v>#REF!</v>
      </c>
      <c r="O276" s="50" t="e">
        <f>'Raw Data'!#REF!/O$1</f>
        <v>#REF!</v>
      </c>
      <c r="P276" s="50" t="str">
        <f t="shared" si="17"/>
        <v/>
      </c>
      <c r="Q276" s="50" t="e">
        <f t="shared" si="18"/>
        <v>#REF!</v>
      </c>
    </row>
    <row r="277" spans="1:17">
      <c r="A277" s="2" t="s">
        <v>208</v>
      </c>
      <c r="B277" s="44">
        <v>4</v>
      </c>
      <c r="C277" s="44">
        <v>2022</v>
      </c>
      <c r="D277" s="44" t="s">
        <v>209</v>
      </c>
      <c r="E277" s="44" t="s">
        <v>209</v>
      </c>
      <c r="F277" s="31">
        <v>44896</v>
      </c>
      <c r="G277" s="44">
        <f t="shared" si="20"/>
        <v>31</v>
      </c>
      <c r="H277" s="45">
        <f t="shared" si="19"/>
        <v>44926</v>
      </c>
      <c r="I277" s="139">
        <f>_xlfn.XLOOKUP(Table12[[#This Row],[Month Year]],'Modelling New'!D:D,'Modelling New'!N:N)</f>
        <v>10.507</v>
      </c>
      <c r="J277" s="50" t="e">
        <f>'Raw Data'!#REF!/J$1</f>
        <v>#REF!</v>
      </c>
      <c r="K277" s="50" t="e">
        <f>'Raw Data'!#REF!/K$1</f>
        <v>#REF!</v>
      </c>
      <c r="L277" s="50" t="e">
        <f>'Raw Data'!#REF!/L$1</f>
        <v>#REF!</v>
      </c>
      <c r="M277" s="50" t="e">
        <f>'Raw Data'!#REF!/M$1</f>
        <v>#REF!</v>
      </c>
      <c r="N277" s="50" t="e">
        <f>'Raw Data'!#REF!/N$1</f>
        <v>#REF!</v>
      </c>
      <c r="O277" s="50" t="e">
        <f>'Raw Data'!#REF!/O$1</f>
        <v>#REF!</v>
      </c>
      <c r="P277" s="50" t="str">
        <f t="shared" si="17"/>
        <v/>
      </c>
      <c r="Q277" s="50" t="e">
        <f t="shared" si="18"/>
        <v>#REF!</v>
      </c>
    </row>
    <row r="278" spans="1:17">
      <c r="A278" s="2" t="s">
        <v>208</v>
      </c>
      <c r="B278" s="46">
        <v>4</v>
      </c>
      <c r="C278" s="46">
        <v>2022</v>
      </c>
      <c r="D278" s="46" t="s">
        <v>209</v>
      </c>
      <c r="E278" s="46" t="s">
        <v>209</v>
      </c>
      <c r="F278" s="31">
        <v>44927</v>
      </c>
      <c r="G278" s="46">
        <f t="shared" si="20"/>
        <v>31</v>
      </c>
      <c r="H278" s="47">
        <f t="shared" si="19"/>
        <v>44927</v>
      </c>
      <c r="I278" s="140">
        <f>_xlfn.XLOOKUP(Table12[[#This Row],[Month Year]],'Modelling New'!D:D,'Modelling New'!N:N)</f>
        <v>10.507</v>
      </c>
      <c r="J278" s="50" t="e">
        <f>'Raw Data'!#REF!/J$1</f>
        <v>#REF!</v>
      </c>
      <c r="K278" s="50" t="e">
        <f>'Raw Data'!#REF!/K$1</f>
        <v>#REF!</v>
      </c>
      <c r="L278" s="50" t="e">
        <f>'Raw Data'!#REF!/L$1</f>
        <v>#REF!</v>
      </c>
      <c r="M278" s="50" t="e">
        <f>'Raw Data'!#REF!/M$1</f>
        <v>#REF!</v>
      </c>
      <c r="N278" s="50" t="e">
        <f>'Raw Data'!#REF!/N$1</f>
        <v>#REF!</v>
      </c>
      <c r="O278" s="50" t="e">
        <f>'Raw Data'!#REF!/O$1</f>
        <v>#REF!</v>
      </c>
      <c r="P278" s="50" t="str">
        <f t="shared" si="17"/>
        <v/>
      </c>
      <c r="Q278" s="50" t="e">
        <f t="shared" si="18"/>
        <v>#REF!</v>
      </c>
    </row>
    <row r="279" spans="1:17">
      <c r="A279" s="2" t="s">
        <v>208</v>
      </c>
      <c r="B279" s="44">
        <v>4</v>
      </c>
      <c r="C279" s="44">
        <v>2022</v>
      </c>
      <c r="D279" s="44" t="s">
        <v>209</v>
      </c>
      <c r="E279" s="44" t="s">
        <v>209</v>
      </c>
      <c r="F279" s="31">
        <v>44927</v>
      </c>
      <c r="G279" s="44">
        <f t="shared" si="20"/>
        <v>31</v>
      </c>
      <c r="H279" s="45">
        <f t="shared" si="19"/>
        <v>44928</v>
      </c>
      <c r="I279" s="139">
        <f>_xlfn.XLOOKUP(Table12[[#This Row],[Month Year]],'Modelling New'!D:D,'Modelling New'!N:N)</f>
        <v>10.507</v>
      </c>
      <c r="J279" s="50" t="e">
        <f>'Raw Data'!#REF!/J$1</f>
        <v>#REF!</v>
      </c>
      <c r="K279" s="50" t="e">
        <f>'Raw Data'!#REF!/K$1</f>
        <v>#REF!</v>
      </c>
      <c r="L279" s="50" t="e">
        <f>'Raw Data'!#REF!/L$1</f>
        <v>#REF!</v>
      </c>
      <c r="M279" s="50" t="e">
        <f>'Raw Data'!#REF!/M$1</f>
        <v>#REF!</v>
      </c>
      <c r="N279" s="50" t="e">
        <f>'Raw Data'!#REF!/N$1</f>
        <v>#REF!</v>
      </c>
      <c r="O279" s="50" t="e">
        <f>'Raw Data'!#REF!/O$1</f>
        <v>#REF!</v>
      </c>
      <c r="P279" s="50" t="str">
        <f t="shared" si="17"/>
        <v/>
      </c>
      <c r="Q279" s="50" t="e">
        <f t="shared" si="18"/>
        <v>#REF!</v>
      </c>
    </row>
    <row r="280" spans="1:17">
      <c r="A280" s="2" t="s">
        <v>208</v>
      </c>
      <c r="B280" s="46">
        <v>4</v>
      </c>
      <c r="C280" s="46">
        <v>2022</v>
      </c>
      <c r="D280" s="46" t="s">
        <v>209</v>
      </c>
      <c r="E280" s="46" t="s">
        <v>209</v>
      </c>
      <c r="F280" s="31">
        <v>44927</v>
      </c>
      <c r="G280" s="46">
        <f t="shared" si="20"/>
        <v>31</v>
      </c>
      <c r="H280" s="47">
        <f t="shared" si="19"/>
        <v>44929</v>
      </c>
      <c r="I280" s="140">
        <f>_xlfn.XLOOKUP(Table12[[#This Row],[Month Year]],'Modelling New'!D:D,'Modelling New'!N:N)</f>
        <v>10.507</v>
      </c>
      <c r="J280" s="50" t="e">
        <f>'Raw Data'!#REF!/J$1</f>
        <v>#REF!</v>
      </c>
      <c r="K280" s="50" t="e">
        <f>'Raw Data'!#REF!/K$1</f>
        <v>#REF!</v>
      </c>
      <c r="L280" s="50" t="e">
        <f>'Raw Data'!#REF!/L$1</f>
        <v>#REF!</v>
      </c>
      <c r="M280" s="50" t="e">
        <f>'Raw Data'!#REF!/M$1</f>
        <v>#REF!</v>
      </c>
      <c r="N280" s="50" t="e">
        <f>'Raw Data'!#REF!/N$1</f>
        <v>#REF!</v>
      </c>
      <c r="O280" s="50" t="e">
        <f>'Raw Data'!#REF!/O$1</f>
        <v>#REF!</v>
      </c>
      <c r="P280" s="50" t="str">
        <f t="shared" si="17"/>
        <v/>
      </c>
      <c r="Q280" s="50" t="e">
        <f t="shared" si="18"/>
        <v>#REF!</v>
      </c>
    </row>
    <row r="281" spans="1:17">
      <c r="A281" s="2" t="s">
        <v>208</v>
      </c>
      <c r="B281" s="44">
        <v>4</v>
      </c>
      <c r="C281" s="44">
        <v>2022</v>
      </c>
      <c r="D281" s="44" t="s">
        <v>209</v>
      </c>
      <c r="E281" s="44" t="s">
        <v>209</v>
      </c>
      <c r="F281" s="31">
        <v>44927</v>
      </c>
      <c r="G281" s="44">
        <f t="shared" si="20"/>
        <v>31</v>
      </c>
      <c r="H281" s="45">
        <f t="shared" si="19"/>
        <v>44930</v>
      </c>
      <c r="I281" s="139">
        <f>_xlfn.XLOOKUP(Table12[[#This Row],[Month Year]],'Modelling New'!D:D,'Modelling New'!N:N)</f>
        <v>10.507</v>
      </c>
      <c r="J281" s="50" t="e">
        <f>'Raw Data'!#REF!/J$1</f>
        <v>#REF!</v>
      </c>
      <c r="K281" s="50" t="e">
        <f>'Raw Data'!#REF!/K$1</f>
        <v>#REF!</v>
      </c>
      <c r="L281" s="50" t="e">
        <f>'Raw Data'!#REF!/L$1</f>
        <v>#REF!</v>
      </c>
      <c r="M281" s="50" t="e">
        <f>'Raw Data'!#REF!/M$1</f>
        <v>#REF!</v>
      </c>
      <c r="N281" s="50" t="e">
        <f>'Raw Data'!#REF!/N$1</f>
        <v>#REF!</v>
      </c>
      <c r="O281" s="50" t="e">
        <f>'Raw Data'!#REF!/O$1</f>
        <v>#REF!</v>
      </c>
      <c r="P281" s="50" t="str">
        <f t="shared" si="17"/>
        <v/>
      </c>
      <c r="Q281" s="50" t="e">
        <f t="shared" si="18"/>
        <v>#REF!</v>
      </c>
    </row>
    <row r="282" spans="1:17">
      <c r="A282" s="2" t="s">
        <v>208</v>
      </c>
      <c r="B282" s="46">
        <v>4</v>
      </c>
      <c r="C282" s="46">
        <v>2023</v>
      </c>
      <c r="D282" s="46" t="s">
        <v>209</v>
      </c>
      <c r="E282" s="46" t="s">
        <v>209</v>
      </c>
      <c r="F282" s="31">
        <v>44927</v>
      </c>
      <c r="G282" s="46">
        <f t="shared" si="20"/>
        <v>31</v>
      </c>
      <c r="H282" s="47">
        <f t="shared" si="19"/>
        <v>44931</v>
      </c>
      <c r="I282" s="140">
        <f>_xlfn.XLOOKUP(Table12[[#This Row],[Month Year]],'Modelling New'!D:D,'Modelling New'!N:N)</f>
        <v>10.507</v>
      </c>
      <c r="J282" s="50" t="e">
        <f>'Raw Data'!#REF!/J$1</f>
        <v>#REF!</v>
      </c>
      <c r="K282" s="50" t="e">
        <f>'Raw Data'!#REF!/K$1</f>
        <v>#REF!</v>
      </c>
      <c r="L282" s="50" t="e">
        <f>'Raw Data'!#REF!/L$1</f>
        <v>#REF!</v>
      </c>
      <c r="M282" s="50" t="e">
        <f>'Raw Data'!#REF!/M$1</f>
        <v>#REF!</v>
      </c>
      <c r="N282" s="50" t="e">
        <f>'Raw Data'!#REF!/N$1</f>
        <v>#REF!</v>
      </c>
      <c r="O282" s="50" t="e">
        <f>'Raw Data'!#REF!/O$1</f>
        <v>#REF!</v>
      </c>
      <c r="P282" s="50" t="str">
        <f t="shared" si="17"/>
        <v/>
      </c>
      <c r="Q282" s="50" t="e">
        <f t="shared" si="18"/>
        <v>#REF!</v>
      </c>
    </row>
    <row r="283" spans="1:17">
      <c r="A283" s="2" t="s">
        <v>208</v>
      </c>
      <c r="B283" s="44">
        <v>4</v>
      </c>
      <c r="C283" s="44">
        <v>2023</v>
      </c>
      <c r="D283" s="44" t="s">
        <v>209</v>
      </c>
      <c r="E283" s="44" t="s">
        <v>209</v>
      </c>
      <c r="F283" s="31">
        <v>44927</v>
      </c>
      <c r="G283" s="44">
        <f t="shared" si="20"/>
        <v>31</v>
      </c>
      <c r="H283" s="45">
        <f t="shared" si="19"/>
        <v>44932</v>
      </c>
      <c r="I283" s="139">
        <f>_xlfn.XLOOKUP(Table12[[#This Row],[Month Year]],'Modelling New'!D:D,'Modelling New'!N:N)</f>
        <v>10.507</v>
      </c>
      <c r="J283" s="50" t="e">
        <f>'Raw Data'!#REF!/J$1</f>
        <v>#REF!</v>
      </c>
      <c r="K283" s="50" t="e">
        <f>'Raw Data'!#REF!/K$1</f>
        <v>#REF!</v>
      </c>
      <c r="L283" s="50" t="e">
        <f>'Raw Data'!#REF!/L$1</f>
        <v>#REF!</v>
      </c>
      <c r="M283" s="50" t="e">
        <f>'Raw Data'!#REF!/M$1</f>
        <v>#REF!</v>
      </c>
      <c r="N283" s="50" t="e">
        <f>'Raw Data'!#REF!/N$1</f>
        <v>#REF!</v>
      </c>
      <c r="O283" s="50" t="e">
        <f>'Raw Data'!#REF!/O$1</f>
        <v>#REF!</v>
      </c>
      <c r="P283" s="50" t="str">
        <f t="shared" si="17"/>
        <v/>
      </c>
      <c r="Q283" s="50" t="e">
        <f t="shared" si="18"/>
        <v>#REF!</v>
      </c>
    </row>
    <row r="284" spans="1:17">
      <c r="A284" s="2" t="s">
        <v>208</v>
      </c>
      <c r="B284" s="46">
        <v>4</v>
      </c>
      <c r="C284" s="46">
        <v>2023</v>
      </c>
      <c r="D284" s="46" t="s">
        <v>209</v>
      </c>
      <c r="E284" s="46" t="s">
        <v>209</v>
      </c>
      <c r="F284" s="31">
        <v>44927</v>
      </c>
      <c r="G284" s="46">
        <f t="shared" si="20"/>
        <v>31</v>
      </c>
      <c r="H284" s="47">
        <f t="shared" si="19"/>
        <v>44933</v>
      </c>
      <c r="I284" s="140">
        <f>_xlfn.XLOOKUP(Table12[[#This Row],[Month Year]],'Modelling New'!D:D,'Modelling New'!N:N)</f>
        <v>10.507</v>
      </c>
      <c r="J284" s="50" t="e">
        <f>'Raw Data'!#REF!/J$1</f>
        <v>#REF!</v>
      </c>
      <c r="K284" s="50" t="e">
        <f>'Raw Data'!#REF!/K$1</f>
        <v>#REF!</v>
      </c>
      <c r="L284" s="50" t="e">
        <f>'Raw Data'!#REF!/L$1</f>
        <v>#REF!</v>
      </c>
      <c r="M284" s="50" t="e">
        <f>'Raw Data'!#REF!/M$1</f>
        <v>#REF!</v>
      </c>
      <c r="N284" s="50" t="e">
        <f>'Raw Data'!#REF!/N$1</f>
        <v>#REF!</v>
      </c>
      <c r="O284" s="50" t="e">
        <f>'Raw Data'!#REF!/O$1</f>
        <v>#REF!</v>
      </c>
      <c r="P284" s="50" t="str">
        <f t="shared" si="17"/>
        <v/>
      </c>
      <c r="Q284" s="50" t="e">
        <f t="shared" si="18"/>
        <v>#REF!</v>
      </c>
    </row>
    <row r="285" spans="1:17">
      <c r="A285" s="2" t="s">
        <v>208</v>
      </c>
      <c r="B285" s="44">
        <v>4</v>
      </c>
      <c r="C285" s="44">
        <v>2023</v>
      </c>
      <c r="D285" s="44" t="s">
        <v>209</v>
      </c>
      <c r="E285" s="44" t="s">
        <v>209</v>
      </c>
      <c r="F285" s="31">
        <v>44927</v>
      </c>
      <c r="G285" s="44">
        <f t="shared" si="20"/>
        <v>31</v>
      </c>
      <c r="H285" s="45">
        <f t="shared" si="19"/>
        <v>44934</v>
      </c>
      <c r="I285" s="139">
        <f>_xlfn.XLOOKUP(Table12[[#This Row],[Month Year]],'Modelling New'!D:D,'Modelling New'!N:N)</f>
        <v>10.507</v>
      </c>
      <c r="J285" s="50" t="e">
        <f>'Raw Data'!#REF!/J$1</f>
        <v>#REF!</v>
      </c>
      <c r="K285" s="50" t="e">
        <f>'Raw Data'!#REF!/K$1</f>
        <v>#REF!</v>
      </c>
      <c r="L285" s="50" t="e">
        <f>'Raw Data'!#REF!/L$1</f>
        <v>#REF!</v>
      </c>
      <c r="M285" s="50" t="e">
        <f>'Raw Data'!#REF!/M$1</f>
        <v>#REF!</v>
      </c>
      <c r="N285" s="50" t="e">
        <f>'Raw Data'!#REF!/N$1</f>
        <v>#REF!</v>
      </c>
      <c r="O285" s="50" t="e">
        <f>'Raw Data'!#REF!/O$1</f>
        <v>#REF!</v>
      </c>
      <c r="P285" s="50" t="str">
        <f t="shared" si="17"/>
        <v/>
      </c>
      <c r="Q285" s="50" t="e">
        <f t="shared" si="18"/>
        <v>#REF!</v>
      </c>
    </row>
    <row r="286" spans="1:17">
      <c r="A286" s="2" t="s">
        <v>208</v>
      </c>
      <c r="B286" s="46">
        <v>4</v>
      </c>
      <c r="C286" s="46">
        <v>2023</v>
      </c>
      <c r="D286" s="46" t="s">
        <v>209</v>
      </c>
      <c r="E286" s="46" t="s">
        <v>209</v>
      </c>
      <c r="F286" s="31">
        <v>44927</v>
      </c>
      <c r="G286" s="46">
        <f t="shared" si="20"/>
        <v>31</v>
      </c>
      <c r="H286" s="47">
        <f t="shared" si="19"/>
        <v>44935</v>
      </c>
      <c r="I286" s="140">
        <f>_xlfn.XLOOKUP(Table12[[#This Row],[Month Year]],'Modelling New'!D:D,'Modelling New'!N:N)</f>
        <v>10.507</v>
      </c>
      <c r="J286" s="50" t="e">
        <f>'Raw Data'!#REF!/J$1</f>
        <v>#REF!</v>
      </c>
      <c r="K286" s="50" t="e">
        <f>'Raw Data'!#REF!/K$1</f>
        <v>#REF!</v>
      </c>
      <c r="L286" s="50" t="e">
        <f>'Raw Data'!#REF!/L$1</f>
        <v>#REF!</v>
      </c>
      <c r="M286" s="50" t="e">
        <f>'Raw Data'!#REF!/M$1</f>
        <v>#REF!</v>
      </c>
      <c r="N286" s="50" t="e">
        <f>'Raw Data'!#REF!/N$1</f>
        <v>#REF!</v>
      </c>
      <c r="O286" s="50" t="e">
        <f>'Raw Data'!#REF!/O$1</f>
        <v>#REF!</v>
      </c>
      <c r="P286" s="50" t="str">
        <f t="shared" si="17"/>
        <v/>
      </c>
      <c r="Q286" s="50" t="e">
        <f t="shared" si="18"/>
        <v>#REF!</v>
      </c>
    </row>
    <row r="287" spans="1:17">
      <c r="A287" s="2" t="s">
        <v>208</v>
      </c>
      <c r="B287" s="44">
        <v>4</v>
      </c>
      <c r="C287" s="44">
        <v>2023</v>
      </c>
      <c r="D287" s="44" t="s">
        <v>209</v>
      </c>
      <c r="E287" s="44" t="s">
        <v>209</v>
      </c>
      <c r="F287" s="31">
        <v>44927</v>
      </c>
      <c r="G287" s="44">
        <f t="shared" si="20"/>
        <v>31</v>
      </c>
      <c r="H287" s="45">
        <f t="shared" si="19"/>
        <v>44936</v>
      </c>
      <c r="I287" s="139">
        <f>_xlfn.XLOOKUP(Table12[[#This Row],[Month Year]],'Modelling New'!D:D,'Modelling New'!N:N)</f>
        <v>10.507</v>
      </c>
      <c r="J287" s="50" t="e">
        <f>'Raw Data'!#REF!/J$1</f>
        <v>#REF!</v>
      </c>
      <c r="K287" s="50" t="e">
        <f>'Raw Data'!#REF!/K$1</f>
        <v>#REF!</v>
      </c>
      <c r="L287" s="50" t="e">
        <f>'Raw Data'!#REF!/L$1</f>
        <v>#REF!</v>
      </c>
      <c r="M287" s="50" t="e">
        <f>'Raw Data'!#REF!/M$1</f>
        <v>#REF!</v>
      </c>
      <c r="N287" s="50" t="e">
        <f>'Raw Data'!#REF!/N$1</f>
        <v>#REF!</v>
      </c>
      <c r="O287" s="50" t="e">
        <f>'Raw Data'!#REF!/O$1</f>
        <v>#REF!</v>
      </c>
      <c r="P287" s="50" t="str">
        <f t="shared" si="17"/>
        <v/>
      </c>
      <c r="Q287" s="50" t="e">
        <f t="shared" si="18"/>
        <v>#REF!</v>
      </c>
    </row>
    <row r="288" spans="1:17">
      <c r="A288" s="2" t="s">
        <v>208</v>
      </c>
      <c r="B288" s="46">
        <v>4</v>
      </c>
      <c r="C288" s="46">
        <v>2023</v>
      </c>
      <c r="D288" s="46" t="s">
        <v>209</v>
      </c>
      <c r="E288" s="46" t="s">
        <v>209</v>
      </c>
      <c r="F288" s="31">
        <v>44927</v>
      </c>
      <c r="G288" s="46">
        <f t="shared" si="20"/>
        <v>31</v>
      </c>
      <c r="H288" s="47">
        <f t="shared" si="19"/>
        <v>44937</v>
      </c>
      <c r="I288" s="140">
        <f>_xlfn.XLOOKUP(Table12[[#This Row],[Month Year]],'Modelling New'!D:D,'Modelling New'!N:N)</f>
        <v>10.507</v>
      </c>
      <c r="J288" s="50" t="e">
        <f>'Raw Data'!#REF!/J$1</f>
        <v>#REF!</v>
      </c>
      <c r="K288" s="50" t="e">
        <f>'Raw Data'!#REF!/K$1</f>
        <v>#REF!</v>
      </c>
      <c r="L288" s="50" t="e">
        <f>'Raw Data'!#REF!/L$1</f>
        <v>#REF!</v>
      </c>
      <c r="M288" s="50" t="e">
        <f>'Raw Data'!#REF!/M$1</f>
        <v>#REF!</v>
      </c>
      <c r="N288" s="50" t="e">
        <f>'Raw Data'!#REF!/N$1</f>
        <v>#REF!</v>
      </c>
      <c r="O288" s="50" t="e">
        <f>'Raw Data'!#REF!/O$1</f>
        <v>#REF!</v>
      </c>
      <c r="P288" s="50" t="str">
        <f t="shared" si="17"/>
        <v/>
      </c>
      <c r="Q288" s="50" t="e">
        <f t="shared" si="18"/>
        <v>#REF!</v>
      </c>
    </row>
    <row r="289" spans="1:17">
      <c r="A289" s="2" t="s">
        <v>208</v>
      </c>
      <c r="B289" s="44">
        <v>4</v>
      </c>
      <c r="C289" s="44">
        <v>2023</v>
      </c>
      <c r="D289" s="44" t="s">
        <v>209</v>
      </c>
      <c r="E289" s="44" t="s">
        <v>209</v>
      </c>
      <c r="F289" s="31">
        <v>44927</v>
      </c>
      <c r="G289" s="44">
        <f t="shared" si="20"/>
        <v>31</v>
      </c>
      <c r="H289" s="45">
        <f t="shared" si="19"/>
        <v>44938</v>
      </c>
      <c r="I289" s="139">
        <f>_xlfn.XLOOKUP(Table12[[#This Row],[Month Year]],'Modelling New'!D:D,'Modelling New'!N:N)</f>
        <v>10.507</v>
      </c>
      <c r="J289" s="50" t="e">
        <f>'Raw Data'!#REF!/J$1</f>
        <v>#REF!</v>
      </c>
      <c r="K289" s="50" t="e">
        <f>'Raw Data'!#REF!/K$1</f>
        <v>#REF!</v>
      </c>
      <c r="L289" s="50" t="e">
        <f>'Raw Data'!#REF!/L$1</f>
        <v>#REF!</v>
      </c>
      <c r="M289" s="50" t="e">
        <f>'Raw Data'!#REF!/M$1</f>
        <v>#REF!</v>
      </c>
      <c r="N289" s="50" t="e">
        <f>'Raw Data'!#REF!/N$1</f>
        <v>#REF!</v>
      </c>
      <c r="O289" s="50" t="e">
        <f>'Raw Data'!#REF!/O$1</f>
        <v>#REF!</v>
      </c>
      <c r="P289" s="50" t="str">
        <f t="shared" si="17"/>
        <v/>
      </c>
      <c r="Q289" s="50" t="e">
        <f t="shared" si="18"/>
        <v>#REF!</v>
      </c>
    </row>
    <row r="290" spans="1:17">
      <c r="A290" s="2" t="s">
        <v>208</v>
      </c>
      <c r="B290" s="46">
        <v>4</v>
      </c>
      <c r="C290" s="46">
        <v>2023</v>
      </c>
      <c r="D290" s="46" t="s">
        <v>209</v>
      </c>
      <c r="E290" s="46" t="s">
        <v>209</v>
      </c>
      <c r="F290" s="31">
        <v>44927</v>
      </c>
      <c r="G290" s="46">
        <f t="shared" si="20"/>
        <v>31</v>
      </c>
      <c r="H290" s="47">
        <f t="shared" ref="H290:H353" si="21">H289+1</f>
        <v>44939</v>
      </c>
      <c r="I290" s="140">
        <f>_xlfn.XLOOKUP(Table12[[#This Row],[Month Year]],'Modelling New'!D:D,'Modelling New'!N:N)</f>
        <v>10.507</v>
      </c>
      <c r="J290" s="50" t="e">
        <f>'Raw Data'!#REF!/J$1</f>
        <v>#REF!</v>
      </c>
      <c r="K290" s="50" t="e">
        <f>'Raw Data'!#REF!/K$1</f>
        <v>#REF!</v>
      </c>
      <c r="L290" s="50" t="e">
        <f>'Raw Data'!#REF!/L$1</f>
        <v>#REF!</v>
      </c>
      <c r="M290" s="50" t="e">
        <f>'Raw Data'!#REF!/M$1</f>
        <v>#REF!</v>
      </c>
      <c r="N290" s="50" t="e">
        <f>'Raw Data'!#REF!/N$1</f>
        <v>#REF!</v>
      </c>
      <c r="O290" s="50" t="e">
        <f>'Raw Data'!#REF!/O$1</f>
        <v>#REF!</v>
      </c>
      <c r="P290" s="50" t="str">
        <f t="shared" ref="P290:P353" si="22">IFERROR(AVERAGEIF(J290:O290,"&gt;"&amp;0,J290:O290),"")</f>
        <v/>
      </c>
      <c r="Q290" s="50" t="e">
        <f t="shared" ref="Q290:Q353" si="23">MAXA(J290:O290)</f>
        <v>#REF!</v>
      </c>
    </row>
    <row r="291" spans="1:17">
      <c r="A291" s="2" t="s">
        <v>208</v>
      </c>
      <c r="B291" s="44">
        <v>4</v>
      </c>
      <c r="C291" s="44">
        <v>2023</v>
      </c>
      <c r="D291" s="44" t="s">
        <v>209</v>
      </c>
      <c r="E291" s="44" t="s">
        <v>209</v>
      </c>
      <c r="F291" s="31">
        <v>44927</v>
      </c>
      <c r="G291" s="44">
        <f t="shared" si="20"/>
        <v>31</v>
      </c>
      <c r="H291" s="45">
        <f t="shared" si="21"/>
        <v>44940</v>
      </c>
      <c r="I291" s="139">
        <f>_xlfn.XLOOKUP(Table12[[#This Row],[Month Year]],'Modelling New'!D:D,'Modelling New'!N:N)</f>
        <v>10.507</v>
      </c>
      <c r="J291" s="50" t="e">
        <f>'Raw Data'!#REF!/J$1</f>
        <v>#REF!</v>
      </c>
      <c r="K291" s="50" t="e">
        <f>'Raw Data'!#REF!/K$1</f>
        <v>#REF!</v>
      </c>
      <c r="L291" s="50" t="e">
        <f>'Raw Data'!#REF!/L$1</f>
        <v>#REF!</v>
      </c>
      <c r="M291" s="50" t="e">
        <f>'Raw Data'!#REF!/M$1</f>
        <v>#REF!</v>
      </c>
      <c r="N291" s="50" t="e">
        <f>'Raw Data'!#REF!/N$1</f>
        <v>#REF!</v>
      </c>
      <c r="O291" s="50" t="e">
        <f>'Raw Data'!#REF!/O$1</f>
        <v>#REF!</v>
      </c>
      <c r="P291" s="50" t="str">
        <f t="shared" si="22"/>
        <v/>
      </c>
      <c r="Q291" s="50" t="e">
        <f t="shared" si="23"/>
        <v>#REF!</v>
      </c>
    </row>
    <row r="292" spans="1:17">
      <c r="A292" s="2" t="s">
        <v>208</v>
      </c>
      <c r="B292" s="46">
        <v>4</v>
      </c>
      <c r="C292" s="46">
        <v>2023</v>
      </c>
      <c r="D292" s="46" t="s">
        <v>209</v>
      </c>
      <c r="E292" s="46" t="s">
        <v>209</v>
      </c>
      <c r="F292" s="31">
        <v>44927</v>
      </c>
      <c r="G292" s="46">
        <f t="shared" si="20"/>
        <v>31</v>
      </c>
      <c r="H292" s="47">
        <f t="shared" si="21"/>
        <v>44941</v>
      </c>
      <c r="I292" s="140">
        <f>_xlfn.XLOOKUP(Table12[[#This Row],[Month Year]],'Modelling New'!D:D,'Modelling New'!N:N)</f>
        <v>10.507</v>
      </c>
      <c r="J292" s="50" t="e">
        <f>'Raw Data'!#REF!/J$1</f>
        <v>#REF!</v>
      </c>
      <c r="K292" s="50" t="e">
        <f>'Raw Data'!#REF!/K$1</f>
        <v>#REF!</v>
      </c>
      <c r="L292" s="50" t="e">
        <f>'Raw Data'!#REF!/L$1</f>
        <v>#REF!</v>
      </c>
      <c r="M292" s="50" t="e">
        <f>'Raw Data'!#REF!/M$1</f>
        <v>#REF!</v>
      </c>
      <c r="N292" s="50" t="e">
        <f>'Raw Data'!#REF!/N$1</f>
        <v>#REF!</v>
      </c>
      <c r="O292" s="50" t="e">
        <f>'Raw Data'!#REF!/O$1</f>
        <v>#REF!</v>
      </c>
      <c r="P292" s="50" t="str">
        <f t="shared" si="22"/>
        <v/>
      </c>
      <c r="Q292" s="50" t="e">
        <f t="shared" si="23"/>
        <v>#REF!</v>
      </c>
    </row>
    <row r="293" spans="1:17">
      <c r="A293" s="2" t="s">
        <v>208</v>
      </c>
      <c r="B293" s="44">
        <v>4</v>
      </c>
      <c r="C293" s="44">
        <v>2023</v>
      </c>
      <c r="D293" s="44" t="s">
        <v>209</v>
      </c>
      <c r="E293" s="44" t="s">
        <v>209</v>
      </c>
      <c r="F293" s="31">
        <v>44927</v>
      </c>
      <c r="G293" s="44">
        <f t="shared" si="20"/>
        <v>31</v>
      </c>
      <c r="H293" s="45">
        <f t="shared" si="21"/>
        <v>44942</v>
      </c>
      <c r="I293" s="139">
        <f>_xlfn.XLOOKUP(Table12[[#This Row],[Month Year]],'Modelling New'!D:D,'Modelling New'!N:N)</f>
        <v>10.507</v>
      </c>
      <c r="J293" s="50" t="e">
        <f>'Raw Data'!#REF!/J$1</f>
        <v>#REF!</v>
      </c>
      <c r="K293" s="50" t="e">
        <f>'Raw Data'!#REF!/K$1</f>
        <v>#REF!</v>
      </c>
      <c r="L293" s="50" t="e">
        <f>'Raw Data'!#REF!/L$1</f>
        <v>#REF!</v>
      </c>
      <c r="M293" s="50" t="e">
        <f>'Raw Data'!#REF!/M$1</f>
        <v>#REF!</v>
      </c>
      <c r="N293" s="50" t="e">
        <f>'Raw Data'!#REF!/N$1</f>
        <v>#REF!</v>
      </c>
      <c r="O293" s="50" t="e">
        <f>'Raw Data'!#REF!/O$1</f>
        <v>#REF!</v>
      </c>
      <c r="P293" s="50" t="str">
        <f t="shared" si="22"/>
        <v/>
      </c>
      <c r="Q293" s="50" t="e">
        <f t="shared" si="23"/>
        <v>#REF!</v>
      </c>
    </row>
    <row r="294" spans="1:17">
      <c r="A294" s="2" t="s">
        <v>208</v>
      </c>
      <c r="B294" s="46">
        <v>4</v>
      </c>
      <c r="C294" s="46">
        <v>2023</v>
      </c>
      <c r="D294" s="46" t="s">
        <v>209</v>
      </c>
      <c r="E294" s="46" t="s">
        <v>209</v>
      </c>
      <c r="F294" s="31">
        <v>44927</v>
      </c>
      <c r="G294" s="46">
        <f t="shared" si="20"/>
        <v>31</v>
      </c>
      <c r="H294" s="47">
        <f t="shared" si="21"/>
        <v>44943</v>
      </c>
      <c r="I294" s="140">
        <f>_xlfn.XLOOKUP(Table12[[#This Row],[Month Year]],'Modelling New'!D:D,'Modelling New'!N:N)</f>
        <v>10.507</v>
      </c>
      <c r="J294" s="50" t="e">
        <f>'Raw Data'!#REF!/J$1</f>
        <v>#REF!</v>
      </c>
      <c r="K294" s="50" t="e">
        <f>'Raw Data'!#REF!/K$1</f>
        <v>#REF!</v>
      </c>
      <c r="L294" s="50" t="e">
        <f>'Raw Data'!#REF!/L$1</f>
        <v>#REF!</v>
      </c>
      <c r="M294" s="50" t="e">
        <f>'Raw Data'!#REF!/M$1</f>
        <v>#REF!</v>
      </c>
      <c r="N294" s="50" t="e">
        <f>'Raw Data'!#REF!/N$1</f>
        <v>#REF!</v>
      </c>
      <c r="O294" s="50" t="e">
        <f>'Raw Data'!#REF!/O$1</f>
        <v>#REF!</v>
      </c>
      <c r="P294" s="50" t="str">
        <f t="shared" si="22"/>
        <v/>
      </c>
      <c r="Q294" s="50" t="e">
        <f t="shared" si="23"/>
        <v>#REF!</v>
      </c>
    </row>
    <row r="295" spans="1:17">
      <c r="A295" s="2" t="s">
        <v>208</v>
      </c>
      <c r="B295" s="44">
        <v>4</v>
      </c>
      <c r="C295" s="44">
        <v>2023</v>
      </c>
      <c r="D295" s="44" t="s">
        <v>209</v>
      </c>
      <c r="E295" s="44" t="s">
        <v>209</v>
      </c>
      <c r="F295" s="31">
        <v>44927</v>
      </c>
      <c r="G295" s="44">
        <f t="shared" si="20"/>
        <v>31</v>
      </c>
      <c r="H295" s="45">
        <f t="shared" si="21"/>
        <v>44944</v>
      </c>
      <c r="I295" s="139">
        <f>_xlfn.XLOOKUP(Table12[[#This Row],[Month Year]],'Modelling New'!D:D,'Modelling New'!N:N)</f>
        <v>10.507</v>
      </c>
      <c r="J295" s="50" t="e">
        <f>'Raw Data'!#REF!/J$1</f>
        <v>#REF!</v>
      </c>
      <c r="K295" s="50" t="e">
        <f>'Raw Data'!#REF!/K$1</f>
        <v>#REF!</v>
      </c>
      <c r="L295" s="50" t="e">
        <f>'Raw Data'!#REF!/L$1</f>
        <v>#REF!</v>
      </c>
      <c r="M295" s="50" t="e">
        <f>'Raw Data'!#REF!/M$1</f>
        <v>#REF!</v>
      </c>
      <c r="N295" s="50" t="e">
        <f>'Raw Data'!#REF!/N$1</f>
        <v>#REF!</v>
      </c>
      <c r="O295" s="50" t="e">
        <f>'Raw Data'!#REF!/O$1</f>
        <v>#REF!</v>
      </c>
      <c r="P295" s="50" t="str">
        <f t="shared" si="22"/>
        <v/>
      </c>
      <c r="Q295" s="50" t="e">
        <f t="shared" si="23"/>
        <v>#REF!</v>
      </c>
    </row>
    <row r="296" spans="1:17">
      <c r="A296" s="2" t="s">
        <v>208</v>
      </c>
      <c r="B296" s="46">
        <v>4</v>
      </c>
      <c r="C296" s="46">
        <v>2023</v>
      </c>
      <c r="D296" s="46" t="s">
        <v>209</v>
      </c>
      <c r="E296" s="46" t="s">
        <v>209</v>
      </c>
      <c r="F296" s="31">
        <v>44927</v>
      </c>
      <c r="G296" s="46">
        <f t="shared" si="20"/>
        <v>31</v>
      </c>
      <c r="H296" s="47">
        <f t="shared" si="21"/>
        <v>44945</v>
      </c>
      <c r="I296" s="140">
        <f>_xlfn.XLOOKUP(Table12[[#This Row],[Month Year]],'Modelling New'!D:D,'Modelling New'!N:N)</f>
        <v>10.507</v>
      </c>
      <c r="J296" s="50" t="e">
        <f>'Raw Data'!#REF!/J$1</f>
        <v>#REF!</v>
      </c>
      <c r="K296" s="50" t="e">
        <f>'Raw Data'!#REF!/K$1</f>
        <v>#REF!</v>
      </c>
      <c r="L296" s="50" t="e">
        <f>'Raw Data'!#REF!/L$1</f>
        <v>#REF!</v>
      </c>
      <c r="M296" s="50" t="e">
        <f>'Raw Data'!#REF!/M$1</f>
        <v>#REF!</v>
      </c>
      <c r="N296" s="50" t="e">
        <f>'Raw Data'!#REF!/N$1</f>
        <v>#REF!</v>
      </c>
      <c r="O296" s="50" t="e">
        <f>'Raw Data'!#REF!/O$1</f>
        <v>#REF!</v>
      </c>
      <c r="P296" s="50" t="str">
        <f t="shared" si="22"/>
        <v/>
      </c>
      <c r="Q296" s="50" t="e">
        <f t="shared" si="23"/>
        <v>#REF!</v>
      </c>
    </row>
    <row r="297" spans="1:17">
      <c r="A297" s="2" t="s">
        <v>208</v>
      </c>
      <c r="B297" s="44">
        <v>4</v>
      </c>
      <c r="C297" s="44">
        <v>2023</v>
      </c>
      <c r="D297" s="44" t="s">
        <v>209</v>
      </c>
      <c r="E297" s="44" t="s">
        <v>209</v>
      </c>
      <c r="F297" s="31">
        <v>44927</v>
      </c>
      <c r="G297" s="44">
        <f t="shared" si="20"/>
        <v>31</v>
      </c>
      <c r="H297" s="45">
        <f t="shared" si="21"/>
        <v>44946</v>
      </c>
      <c r="I297" s="139">
        <f>_xlfn.XLOOKUP(Table12[[#This Row],[Month Year]],'Modelling New'!D:D,'Modelling New'!N:N)</f>
        <v>10.507</v>
      </c>
      <c r="J297" s="50" t="e">
        <f>'Raw Data'!#REF!/J$1</f>
        <v>#REF!</v>
      </c>
      <c r="K297" s="50" t="e">
        <f>'Raw Data'!#REF!/K$1</f>
        <v>#REF!</v>
      </c>
      <c r="L297" s="50" t="e">
        <f>'Raw Data'!#REF!/L$1</f>
        <v>#REF!</v>
      </c>
      <c r="M297" s="50" t="e">
        <f>'Raw Data'!#REF!/M$1</f>
        <v>#REF!</v>
      </c>
      <c r="N297" s="50" t="e">
        <f>'Raw Data'!#REF!/N$1</f>
        <v>#REF!</v>
      </c>
      <c r="O297" s="50" t="e">
        <f>'Raw Data'!#REF!/O$1</f>
        <v>#REF!</v>
      </c>
      <c r="P297" s="50" t="str">
        <f t="shared" si="22"/>
        <v/>
      </c>
      <c r="Q297" s="50" t="e">
        <f t="shared" si="23"/>
        <v>#REF!</v>
      </c>
    </row>
    <row r="298" spans="1:17">
      <c r="A298" s="2" t="s">
        <v>208</v>
      </c>
      <c r="B298" s="46">
        <v>4</v>
      </c>
      <c r="C298" s="46">
        <v>2023</v>
      </c>
      <c r="D298" s="46" t="s">
        <v>209</v>
      </c>
      <c r="E298" s="46" t="s">
        <v>209</v>
      </c>
      <c r="F298" s="31">
        <v>44927</v>
      </c>
      <c r="G298" s="46">
        <f t="shared" si="20"/>
        <v>31</v>
      </c>
      <c r="H298" s="47">
        <f t="shared" si="21"/>
        <v>44947</v>
      </c>
      <c r="I298" s="140">
        <f>_xlfn.XLOOKUP(Table12[[#This Row],[Month Year]],'Modelling New'!D:D,'Modelling New'!N:N)</f>
        <v>10.507</v>
      </c>
      <c r="J298" s="50" t="e">
        <f>'Raw Data'!#REF!/J$1</f>
        <v>#REF!</v>
      </c>
      <c r="K298" s="50" t="e">
        <f>'Raw Data'!#REF!/K$1</f>
        <v>#REF!</v>
      </c>
      <c r="L298" s="50" t="e">
        <f>'Raw Data'!#REF!/L$1</f>
        <v>#REF!</v>
      </c>
      <c r="M298" s="50" t="e">
        <f>'Raw Data'!#REF!/M$1</f>
        <v>#REF!</v>
      </c>
      <c r="N298" s="50" t="e">
        <f>'Raw Data'!#REF!/N$1</f>
        <v>#REF!</v>
      </c>
      <c r="O298" s="50" t="e">
        <f>'Raw Data'!#REF!/O$1</f>
        <v>#REF!</v>
      </c>
      <c r="P298" s="50" t="str">
        <f t="shared" si="22"/>
        <v/>
      </c>
      <c r="Q298" s="50" t="e">
        <f t="shared" si="23"/>
        <v>#REF!</v>
      </c>
    </row>
    <row r="299" spans="1:17">
      <c r="A299" s="2" t="s">
        <v>208</v>
      </c>
      <c r="B299" s="44">
        <v>4</v>
      </c>
      <c r="C299" s="44">
        <v>2023</v>
      </c>
      <c r="D299" s="44" t="s">
        <v>209</v>
      </c>
      <c r="E299" s="44" t="s">
        <v>209</v>
      </c>
      <c r="F299" s="31">
        <v>44927</v>
      </c>
      <c r="G299" s="44">
        <f t="shared" si="20"/>
        <v>31</v>
      </c>
      <c r="H299" s="45">
        <f t="shared" si="21"/>
        <v>44948</v>
      </c>
      <c r="I299" s="139">
        <f>_xlfn.XLOOKUP(Table12[[#This Row],[Month Year]],'Modelling New'!D:D,'Modelling New'!N:N)</f>
        <v>10.507</v>
      </c>
      <c r="J299" s="50" t="e">
        <f>'Raw Data'!#REF!/J$1</f>
        <v>#REF!</v>
      </c>
      <c r="K299" s="50" t="e">
        <f>'Raw Data'!#REF!/K$1</f>
        <v>#REF!</v>
      </c>
      <c r="L299" s="50" t="e">
        <f>'Raw Data'!#REF!/L$1</f>
        <v>#REF!</v>
      </c>
      <c r="M299" s="50" t="e">
        <f>'Raw Data'!#REF!/M$1</f>
        <v>#REF!</v>
      </c>
      <c r="N299" s="50" t="e">
        <f>'Raw Data'!#REF!/N$1</f>
        <v>#REF!</v>
      </c>
      <c r="O299" s="50" t="e">
        <f>'Raw Data'!#REF!/O$1</f>
        <v>#REF!</v>
      </c>
      <c r="P299" s="50" t="str">
        <f t="shared" si="22"/>
        <v/>
      </c>
      <c r="Q299" s="50" t="e">
        <f t="shared" si="23"/>
        <v>#REF!</v>
      </c>
    </row>
    <row r="300" spans="1:17">
      <c r="A300" s="2" t="s">
        <v>208</v>
      </c>
      <c r="B300" s="46">
        <v>4</v>
      </c>
      <c r="C300" s="46">
        <v>2023</v>
      </c>
      <c r="D300" s="46" t="s">
        <v>209</v>
      </c>
      <c r="E300" s="46" t="s">
        <v>209</v>
      </c>
      <c r="F300" s="31">
        <v>44927</v>
      </c>
      <c r="G300" s="46">
        <f t="shared" si="20"/>
        <v>31</v>
      </c>
      <c r="H300" s="47">
        <f t="shared" si="21"/>
        <v>44949</v>
      </c>
      <c r="I300" s="140">
        <f>_xlfn.XLOOKUP(Table12[[#This Row],[Month Year]],'Modelling New'!D:D,'Modelling New'!N:N)</f>
        <v>10.507</v>
      </c>
      <c r="J300" s="50" t="e">
        <f>'Raw Data'!#REF!/J$1</f>
        <v>#REF!</v>
      </c>
      <c r="K300" s="50" t="e">
        <f>'Raw Data'!#REF!/K$1</f>
        <v>#REF!</v>
      </c>
      <c r="L300" s="50" t="e">
        <f>'Raw Data'!#REF!/L$1</f>
        <v>#REF!</v>
      </c>
      <c r="M300" s="50" t="e">
        <f>'Raw Data'!#REF!/M$1</f>
        <v>#REF!</v>
      </c>
      <c r="N300" s="50" t="e">
        <f>'Raw Data'!#REF!/N$1</f>
        <v>#REF!</v>
      </c>
      <c r="O300" s="50" t="e">
        <f>'Raw Data'!#REF!/O$1</f>
        <v>#REF!</v>
      </c>
      <c r="P300" s="50" t="str">
        <f t="shared" si="22"/>
        <v/>
      </c>
      <c r="Q300" s="50" t="e">
        <f t="shared" si="23"/>
        <v>#REF!</v>
      </c>
    </row>
    <row r="301" spans="1:17">
      <c r="A301" s="2" t="s">
        <v>208</v>
      </c>
      <c r="B301" s="44">
        <v>4</v>
      </c>
      <c r="C301" s="44">
        <v>2023</v>
      </c>
      <c r="D301" s="44" t="s">
        <v>209</v>
      </c>
      <c r="E301" s="44" t="s">
        <v>209</v>
      </c>
      <c r="F301" s="31">
        <v>44927</v>
      </c>
      <c r="G301" s="44">
        <f t="shared" si="20"/>
        <v>31</v>
      </c>
      <c r="H301" s="45">
        <f t="shared" si="21"/>
        <v>44950</v>
      </c>
      <c r="I301" s="139">
        <f>_xlfn.XLOOKUP(Table12[[#This Row],[Month Year]],'Modelling New'!D:D,'Modelling New'!N:N)</f>
        <v>10.507</v>
      </c>
      <c r="J301" s="50" t="e">
        <f>'Raw Data'!#REF!/J$1</f>
        <v>#REF!</v>
      </c>
      <c r="K301" s="50" t="e">
        <f>'Raw Data'!#REF!/K$1</f>
        <v>#REF!</v>
      </c>
      <c r="L301" s="50" t="e">
        <f>'Raw Data'!#REF!/L$1</f>
        <v>#REF!</v>
      </c>
      <c r="M301" s="50" t="e">
        <f>'Raw Data'!#REF!/M$1</f>
        <v>#REF!</v>
      </c>
      <c r="N301" s="50" t="e">
        <f>'Raw Data'!#REF!/N$1</f>
        <v>#REF!</v>
      </c>
      <c r="O301" s="50" t="e">
        <f>'Raw Data'!#REF!/O$1</f>
        <v>#REF!</v>
      </c>
      <c r="P301" s="50" t="str">
        <f t="shared" si="22"/>
        <v/>
      </c>
      <c r="Q301" s="50" t="e">
        <f t="shared" si="23"/>
        <v>#REF!</v>
      </c>
    </row>
    <row r="302" spans="1:17">
      <c r="A302" s="2" t="s">
        <v>208</v>
      </c>
      <c r="B302" s="46">
        <v>4</v>
      </c>
      <c r="C302" s="46">
        <v>2023</v>
      </c>
      <c r="D302" s="46" t="s">
        <v>209</v>
      </c>
      <c r="E302" s="46" t="s">
        <v>209</v>
      </c>
      <c r="F302" s="31">
        <v>44927</v>
      </c>
      <c r="G302" s="46">
        <f t="shared" si="20"/>
        <v>31</v>
      </c>
      <c r="H302" s="47">
        <f t="shared" si="21"/>
        <v>44951</v>
      </c>
      <c r="I302" s="140">
        <f>_xlfn.XLOOKUP(Table12[[#This Row],[Month Year]],'Modelling New'!D:D,'Modelling New'!N:N)</f>
        <v>10.507</v>
      </c>
      <c r="J302" s="50" t="e">
        <f>'Raw Data'!#REF!/J$1</f>
        <v>#REF!</v>
      </c>
      <c r="K302" s="50" t="e">
        <f>'Raw Data'!#REF!/K$1</f>
        <v>#REF!</v>
      </c>
      <c r="L302" s="50" t="e">
        <f>'Raw Data'!#REF!/L$1</f>
        <v>#REF!</v>
      </c>
      <c r="M302" s="50" t="e">
        <f>'Raw Data'!#REF!/M$1</f>
        <v>#REF!</v>
      </c>
      <c r="N302" s="50" t="e">
        <f>'Raw Data'!#REF!/N$1</f>
        <v>#REF!</v>
      </c>
      <c r="O302" s="50" t="e">
        <f>'Raw Data'!#REF!/O$1</f>
        <v>#REF!</v>
      </c>
      <c r="P302" s="50" t="str">
        <f t="shared" si="22"/>
        <v/>
      </c>
      <c r="Q302" s="50" t="e">
        <f t="shared" si="23"/>
        <v>#REF!</v>
      </c>
    </row>
    <row r="303" spans="1:17">
      <c r="A303" s="2" t="s">
        <v>208</v>
      </c>
      <c r="B303" s="44">
        <v>4</v>
      </c>
      <c r="C303" s="44">
        <v>2023</v>
      </c>
      <c r="D303" s="44" t="s">
        <v>209</v>
      </c>
      <c r="E303" s="44" t="s">
        <v>209</v>
      </c>
      <c r="F303" s="31">
        <v>44927</v>
      </c>
      <c r="G303" s="44">
        <f t="shared" si="20"/>
        <v>31</v>
      </c>
      <c r="H303" s="45">
        <f t="shared" si="21"/>
        <v>44952</v>
      </c>
      <c r="I303" s="139">
        <f>_xlfn.XLOOKUP(Table12[[#This Row],[Month Year]],'Modelling New'!D:D,'Modelling New'!N:N)</f>
        <v>10.507</v>
      </c>
      <c r="J303" s="50" t="e">
        <f>'Raw Data'!#REF!/J$1</f>
        <v>#REF!</v>
      </c>
      <c r="K303" s="50" t="e">
        <f>'Raw Data'!#REF!/K$1</f>
        <v>#REF!</v>
      </c>
      <c r="L303" s="50" t="e">
        <f>'Raw Data'!#REF!/L$1</f>
        <v>#REF!</v>
      </c>
      <c r="M303" s="50" t="e">
        <f>'Raw Data'!#REF!/M$1</f>
        <v>#REF!</v>
      </c>
      <c r="N303" s="50" t="e">
        <f>'Raw Data'!#REF!/N$1</f>
        <v>#REF!</v>
      </c>
      <c r="O303" s="50" t="e">
        <f>'Raw Data'!#REF!/O$1</f>
        <v>#REF!</v>
      </c>
      <c r="P303" s="50" t="str">
        <f t="shared" si="22"/>
        <v/>
      </c>
      <c r="Q303" s="50" t="e">
        <f t="shared" si="23"/>
        <v>#REF!</v>
      </c>
    </row>
    <row r="304" spans="1:17">
      <c r="A304" s="2" t="s">
        <v>208</v>
      </c>
      <c r="B304" s="46">
        <v>4</v>
      </c>
      <c r="C304" s="46">
        <v>2023</v>
      </c>
      <c r="D304" s="46" t="s">
        <v>209</v>
      </c>
      <c r="E304" s="46" t="s">
        <v>209</v>
      </c>
      <c r="F304" s="31">
        <v>44927</v>
      </c>
      <c r="G304" s="46">
        <f t="shared" si="20"/>
        <v>31</v>
      </c>
      <c r="H304" s="47">
        <f t="shared" si="21"/>
        <v>44953</v>
      </c>
      <c r="I304" s="140">
        <f>_xlfn.XLOOKUP(Table12[[#This Row],[Month Year]],'Modelling New'!D:D,'Modelling New'!N:N)</f>
        <v>10.507</v>
      </c>
      <c r="J304" s="50" t="e">
        <f>'Raw Data'!#REF!/J$1</f>
        <v>#REF!</v>
      </c>
      <c r="K304" s="50" t="e">
        <f>'Raw Data'!#REF!/K$1</f>
        <v>#REF!</v>
      </c>
      <c r="L304" s="50" t="e">
        <f>'Raw Data'!#REF!/L$1</f>
        <v>#REF!</v>
      </c>
      <c r="M304" s="50" t="e">
        <f>'Raw Data'!#REF!/M$1</f>
        <v>#REF!</v>
      </c>
      <c r="N304" s="50" t="e">
        <f>'Raw Data'!#REF!/N$1</f>
        <v>#REF!</v>
      </c>
      <c r="O304" s="50" t="e">
        <f>'Raw Data'!#REF!/O$1</f>
        <v>#REF!</v>
      </c>
      <c r="P304" s="50" t="str">
        <f t="shared" si="22"/>
        <v/>
      </c>
      <c r="Q304" s="50" t="e">
        <f t="shared" si="23"/>
        <v>#REF!</v>
      </c>
    </row>
    <row r="305" spans="1:17">
      <c r="A305" s="2" t="s">
        <v>208</v>
      </c>
      <c r="B305" s="44">
        <v>4</v>
      </c>
      <c r="C305" s="44">
        <v>2023</v>
      </c>
      <c r="D305" s="44" t="s">
        <v>209</v>
      </c>
      <c r="E305" s="44" t="s">
        <v>209</v>
      </c>
      <c r="F305" s="31">
        <v>44927</v>
      </c>
      <c r="G305" s="44">
        <f t="shared" si="20"/>
        <v>31</v>
      </c>
      <c r="H305" s="45">
        <f t="shared" si="21"/>
        <v>44954</v>
      </c>
      <c r="I305" s="139">
        <f>_xlfn.XLOOKUP(Table12[[#This Row],[Month Year]],'Modelling New'!D:D,'Modelling New'!N:N)</f>
        <v>10.507</v>
      </c>
      <c r="J305" s="50" t="e">
        <f>'Raw Data'!#REF!/J$1</f>
        <v>#REF!</v>
      </c>
      <c r="K305" s="50" t="e">
        <f>'Raw Data'!#REF!/K$1</f>
        <v>#REF!</v>
      </c>
      <c r="L305" s="50" t="e">
        <f>'Raw Data'!#REF!/L$1</f>
        <v>#REF!</v>
      </c>
      <c r="M305" s="50" t="e">
        <f>'Raw Data'!#REF!/M$1</f>
        <v>#REF!</v>
      </c>
      <c r="N305" s="50" t="e">
        <f>'Raw Data'!#REF!/N$1</f>
        <v>#REF!</v>
      </c>
      <c r="O305" s="50" t="e">
        <f>'Raw Data'!#REF!/O$1</f>
        <v>#REF!</v>
      </c>
      <c r="P305" s="50" t="str">
        <f t="shared" si="22"/>
        <v/>
      </c>
      <c r="Q305" s="50" t="e">
        <f t="shared" si="23"/>
        <v>#REF!</v>
      </c>
    </row>
    <row r="306" spans="1:17">
      <c r="A306" s="2" t="s">
        <v>208</v>
      </c>
      <c r="B306" s="46">
        <v>4</v>
      </c>
      <c r="C306" s="46">
        <v>2023</v>
      </c>
      <c r="D306" s="46" t="s">
        <v>209</v>
      </c>
      <c r="E306" s="46" t="s">
        <v>209</v>
      </c>
      <c r="F306" s="31">
        <v>44927</v>
      </c>
      <c r="G306" s="46">
        <f t="shared" si="20"/>
        <v>31</v>
      </c>
      <c r="H306" s="47">
        <f t="shared" si="21"/>
        <v>44955</v>
      </c>
      <c r="I306" s="140">
        <f>_xlfn.XLOOKUP(Table12[[#This Row],[Month Year]],'Modelling New'!D:D,'Modelling New'!N:N)</f>
        <v>10.507</v>
      </c>
      <c r="J306" s="50" t="e">
        <f>'Raw Data'!#REF!/J$1</f>
        <v>#REF!</v>
      </c>
      <c r="K306" s="50" t="e">
        <f>'Raw Data'!#REF!/K$1</f>
        <v>#REF!</v>
      </c>
      <c r="L306" s="50" t="e">
        <f>'Raw Data'!#REF!/L$1</f>
        <v>#REF!</v>
      </c>
      <c r="M306" s="50" t="e">
        <f>'Raw Data'!#REF!/M$1</f>
        <v>#REF!</v>
      </c>
      <c r="N306" s="50" t="e">
        <f>'Raw Data'!#REF!/N$1</f>
        <v>#REF!</v>
      </c>
      <c r="O306" s="50" t="e">
        <f>'Raw Data'!#REF!/O$1</f>
        <v>#REF!</v>
      </c>
      <c r="P306" s="50" t="str">
        <f t="shared" si="22"/>
        <v/>
      </c>
      <c r="Q306" s="50" t="e">
        <f t="shared" si="23"/>
        <v>#REF!</v>
      </c>
    </row>
    <row r="307" spans="1:17">
      <c r="A307" s="2" t="s">
        <v>208</v>
      </c>
      <c r="B307" s="44">
        <v>4</v>
      </c>
      <c r="C307" s="44">
        <v>2023</v>
      </c>
      <c r="D307" s="44" t="s">
        <v>209</v>
      </c>
      <c r="E307" s="44" t="s">
        <v>209</v>
      </c>
      <c r="F307" s="31">
        <v>44927</v>
      </c>
      <c r="G307" s="44">
        <f t="shared" si="20"/>
        <v>31</v>
      </c>
      <c r="H307" s="45">
        <f t="shared" si="21"/>
        <v>44956</v>
      </c>
      <c r="I307" s="139">
        <f>_xlfn.XLOOKUP(Table12[[#This Row],[Month Year]],'Modelling New'!D:D,'Modelling New'!N:N)</f>
        <v>10.507</v>
      </c>
      <c r="J307" s="50" t="e">
        <f>'Raw Data'!#REF!/J$1</f>
        <v>#REF!</v>
      </c>
      <c r="K307" s="50" t="e">
        <f>'Raw Data'!#REF!/K$1</f>
        <v>#REF!</v>
      </c>
      <c r="L307" s="50" t="e">
        <f>'Raw Data'!#REF!/L$1</f>
        <v>#REF!</v>
      </c>
      <c r="M307" s="50" t="e">
        <f>'Raw Data'!#REF!/M$1</f>
        <v>#REF!</v>
      </c>
      <c r="N307" s="50" t="e">
        <f>'Raw Data'!#REF!/N$1</f>
        <v>#REF!</v>
      </c>
      <c r="O307" s="50" t="e">
        <f>'Raw Data'!#REF!/O$1</f>
        <v>#REF!</v>
      </c>
      <c r="P307" s="50" t="str">
        <f t="shared" si="22"/>
        <v/>
      </c>
      <c r="Q307" s="50" t="e">
        <f t="shared" si="23"/>
        <v>#REF!</v>
      </c>
    </row>
    <row r="308" spans="1:17">
      <c r="A308" s="2" t="s">
        <v>208</v>
      </c>
      <c r="B308" s="46">
        <v>4</v>
      </c>
      <c r="C308" s="46">
        <v>2023</v>
      </c>
      <c r="D308" s="46" t="s">
        <v>209</v>
      </c>
      <c r="E308" s="46" t="s">
        <v>209</v>
      </c>
      <c r="F308" s="31">
        <v>44927</v>
      </c>
      <c r="G308" s="46">
        <f t="shared" si="20"/>
        <v>31</v>
      </c>
      <c r="H308" s="47">
        <f t="shared" si="21"/>
        <v>44957</v>
      </c>
      <c r="I308" s="140">
        <f>_xlfn.XLOOKUP(Table12[[#This Row],[Month Year]],'Modelling New'!D:D,'Modelling New'!N:N)</f>
        <v>10.507</v>
      </c>
      <c r="J308" s="50" t="e">
        <f>'Raw Data'!#REF!/J$1</f>
        <v>#REF!</v>
      </c>
      <c r="K308" s="50" t="e">
        <f>'Raw Data'!#REF!/K$1</f>
        <v>#REF!</v>
      </c>
      <c r="L308" s="50" t="e">
        <f>'Raw Data'!#REF!/L$1</f>
        <v>#REF!</v>
      </c>
      <c r="M308" s="50" t="e">
        <f>'Raw Data'!#REF!/M$1</f>
        <v>#REF!</v>
      </c>
      <c r="N308" s="50" t="e">
        <f>'Raw Data'!#REF!/N$1</f>
        <v>#REF!</v>
      </c>
      <c r="O308" s="50" t="e">
        <f>'Raw Data'!#REF!/O$1</f>
        <v>#REF!</v>
      </c>
      <c r="P308" s="50" t="str">
        <f t="shared" si="22"/>
        <v/>
      </c>
      <c r="Q308" s="50" t="e">
        <f t="shared" si="23"/>
        <v>#REF!</v>
      </c>
    </row>
    <row r="309" spans="1:17">
      <c r="A309" s="2" t="s">
        <v>208</v>
      </c>
      <c r="B309" s="44">
        <v>4</v>
      </c>
      <c r="C309" s="44">
        <v>2023</v>
      </c>
      <c r="D309" s="44" t="s">
        <v>209</v>
      </c>
      <c r="E309" s="44" t="s">
        <v>209</v>
      </c>
      <c r="F309" s="31">
        <v>44958</v>
      </c>
      <c r="G309" s="44">
        <f t="shared" si="20"/>
        <v>28</v>
      </c>
      <c r="H309" s="45">
        <f t="shared" si="21"/>
        <v>44958</v>
      </c>
      <c r="I309" s="139">
        <f>_xlfn.XLOOKUP(Table12[[#This Row],[Month Year]],'Modelling New'!D:D,'Modelling New'!N:N)</f>
        <v>10.507</v>
      </c>
      <c r="J309" s="50" t="e">
        <f>'Raw Data'!#REF!/J$1</f>
        <v>#REF!</v>
      </c>
      <c r="K309" s="50" t="e">
        <f>'Raw Data'!#REF!/K$1</f>
        <v>#REF!</v>
      </c>
      <c r="L309" s="50" t="e">
        <f>'Raw Data'!#REF!/L$1</f>
        <v>#REF!</v>
      </c>
      <c r="M309" s="50" t="e">
        <f>'Raw Data'!#REF!/M$1</f>
        <v>#REF!</v>
      </c>
      <c r="N309" s="50" t="e">
        <f>'Raw Data'!#REF!/N$1</f>
        <v>#REF!</v>
      </c>
      <c r="O309" s="50" t="e">
        <f>'Raw Data'!#REF!/O$1</f>
        <v>#REF!</v>
      </c>
      <c r="P309" s="50" t="str">
        <f t="shared" si="22"/>
        <v/>
      </c>
      <c r="Q309" s="50" t="e">
        <f t="shared" si="23"/>
        <v>#REF!</v>
      </c>
    </row>
    <row r="310" spans="1:17">
      <c r="A310" s="2" t="s">
        <v>208</v>
      </c>
      <c r="B310" s="46">
        <v>4</v>
      </c>
      <c r="C310" s="46">
        <v>2023</v>
      </c>
      <c r="D310" s="46" t="s">
        <v>209</v>
      </c>
      <c r="E310" s="46" t="s">
        <v>209</v>
      </c>
      <c r="F310" s="31">
        <v>44958</v>
      </c>
      <c r="G310" s="46">
        <f t="shared" si="20"/>
        <v>28</v>
      </c>
      <c r="H310" s="47">
        <f t="shared" si="21"/>
        <v>44959</v>
      </c>
      <c r="I310" s="140">
        <f>_xlfn.XLOOKUP(Table12[[#This Row],[Month Year]],'Modelling New'!D:D,'Modelling New'!N:N)</f>
        <v>10.507</v>
      </c>
      <c r="J310" s="50" t="e">
        <f>'Raw Data'!#REF!/J$1</f>
        <v>#REF!</v>
      </c>
      <c r="K310" s="50" t="e">
        <f>'Raw Data'!#REF!/K$1</f>
        <v>#REF!</v>
      </c>
      <c r="L310" s="50" t="e">
        <f>'Raw Data'!#REF!/L$1</f>
        <v>#REF!</v>
      </c>
      <c r="M310" s="50" t="e">
        <f>'Raw Data'!#REF!/M$1</f>
        <v>#REF!</v>
      </c>
      <c r="N310" s="50" t="e">
        <f>'Raw Data'!#REF!/N$1</f>
        <v>#REF!</v>
      </c>
      <c r="O310" s="50" t="e">
        <f>'Raw Data'!#REF!/O$1</f>
        <v>#REF!</v>
      </c>
      <c r="P310" s="50" t="str">
        <f t="shared" si="22"/>
        <v/>
      </c>
      <c r="Q310" s="50" t="e">
        <f t="shared" si="23"/>
        <v>#REF!</v>
      </c>
    </row>
    <row r="311" spans="1:17">
      <c r="A311" s="2" t="s">
        <v>208</v>
      </c>
      <c r="B311" s="44">
        <v>4</v>
      </c>
      <c r="C311" s="44">
        <v>2023</v>
      </c>
      <c r="D311" s="44" t="s">
        <v>209</v>
      </c>
      <c r="E311" s="44" t="s">
        <v>209</v>
      </c>
      <c r="F311" s="31">
        <v>44958</v>
      </c>
      <c r="G311" s="44">
        <f t="shared" si="20"/>
        <v>28</v>
      </c>
      <c r="H311" s="45">
        <f t="shared" si="21"/>
        <v>44960</v>
      </c>
      <c r="I311" s="139">
        <f>_xlfn.XLOOKUP(Table12[[#This Row],[Month Year]],'Modelling New'!D:D,'Modelling New'!N:N)</f>
        <v>10.507</v>
      </c>
      <c r="J311" s="50" t="e">
        <f>'Raw Data'!#REF!/J$1</f>
        <v>#REF!</v>
      </c>
      <c r="K311" s="50" t="e">
        <f>'Raw Data'!#REF!/K$1</f>
        <v>#REF!</v>
      </c>
      <c r="L311" s="50" t="e">
        <f>'Raw Data'!#REF!/L$1</f>
        <v>#REF!</v>
      </c>
      <c r="M311" s="50" t="e">
        <f>'Raw Data'!#REF!/M$1</f>
        <v>#REF!</v>
      </c>
      <c r="N311" s="50" t="e">
        <f>'Raw Data'!#REF!/N$1</f>
        <v>#REF!</v>
      </c>
      <c r="O311" s="50" t="e">
        <f>'Raw Data'!#REF!/O$1</f>
        <v>#REF!</v>
      </c>
      <c r="P311" s="50" t="str">
        <f t="shared" si="22"/>
        <v/>
      </c>
      <c r="Q311" s="50" t="e">
        <f t="shared" si="23"/>
        <v>#REF!</v>
      </c>
    </row>
    <row r="312" spans="1:17">
      <c r="A312" s="2" t="s">
        <v>208</v>
      </c>
      <c r="B312" s="46">
        <v>4</v>
      </c>
      <c r="C312" s="46">
        <v>2023</v>
      </c>
      <c r="D312" s="46" t="s">
        <v>209</v>
      </c>
      <c r="E312" s="46" t="s">
        <v>209</v>
      </c>
      <c r="F312" s="31">
        <v>44958</v>
      </c>
      <c r="G312" s="46">
        <f t="shared" si="20"/>
        <v>28</v>
      </c>
      <c r="H312" s="47">
        <f t="shared" si="21"/>
        <v>44961</v>
      </c>
      <c r="I312" s="140">
        <f>_xlfn.XLOOKUP(Table12[[#This Row],[Month Year]],'Modelling New'!D:D,'Modelling New'!N:N)</f>
        <v>10.507</v>
      </c>
      <c r="J312" s="50" t="e">
        <f>'Raw Data'!#REF!/J$1</f>
        <v>#REF!</v>
      </c>
      <c r="K312" s="50" t="e">
        <f>'Raw Data'!#REF!/K$1</f>
        <v>#REF!</v>
      </c>
      <c r="L312" s="50" t="e">
        <f>'Raw Data'!#REF!/L$1</f>
        <v>#REF!</v>
      </c>
      <c r="M312" s="50" t="e">
        <f>'Raw Data'!#REF!/M$1</f>
        <v>#REF!</v>
      </c>
      <c r="N312" s="50" t="e">
        <f>'Raw Data'!#REF!/N$1</f>
        <v>#REF!</v>
      </c>
      <c r="O312" s="50" t="e">
        <f>'Raw Data'!#REF!/O$1</f>
        <v>#REF!</v>
      </c>
      <c r="P312" s="50" t="str">
        <f t="shared" si="22"/>
        <v/>
      </c>
      <c r="Q312" s="50" t="e">
        <f t="shared" si="23"/>
        <v>#REF!</v>
      </c>
    </row>
    <row r="313" spans="1:17">
      <c r="A313" s="2" t="s">
        <v>208</v>
      </c>
      <c r="B313" s="44">
        <v>4</v>
      </c>
      <c r="C313" s="44">
        <v>2023</v>
      </c>
      <c r="D313" s="44" t="s">
        <v>209</v>
      </c>
      <c r="E313" s="44" t="s">
        <v>209</v>
      </c>
      <c r="F313" s="31">
        <v>44958</v>
      </c>
      <c r="G313" s="44">
        <f t="shared" si="20"/>
        <v>28</v>
      </c>
      <c r="H313" s="45">
        <f t="shared" si="21"/>
        <v>44962</v>
      </c>
      <c r="I313" s="139">
        <f>_xlfn.XLOOKUP(Table12[[#This Row],[Month Year]],'Modelling New'!D:D,'Modelling New'!N:N)</f>
        <v>10.507</v>
      </c>
      <c r="J313" s="50" t="e">
        <f>'Raw Data'!#REF!/J$1</f>
        <v>#REF!</v>
      </c>
      <c r="K313" s="50" t="e">
        <f>'Raw Data'!#REF!/K$1</f>
        <v>#REF!</v>
      </c>
      <c r="L313" s="50" t="e">
        <f>'Raw Data'!#REF!/L$1</f>
        <v>#REF!</v>
      </c>
      <c r="M313" s="50" t="e">
        <f>'Raw Data'!#REF!/M$1</f>
        <v>#REF!</v>
      </c>
      <c r="N313" s="50" t="e">
        <f>'Raw Data'!#REF!/N$1</f>
        <v>#REF!</v>
      </c>
      <c r="O313" s="50" t="e">
        <f>'Raw Data'!#REF!/O$1</f>
        <v>#REF!</v>
      </c>
      <c r="P313" s="50" t="str">
        <f t="shared" si="22"/>
        <v/>
      </c>
      <c r="Q313" s="50" t="e">
        <f t="shared" si="23"/>
        <v>#REF!</v>
      </c>
    </row>
    <row r="314" spans="1:17">
      <c r="A314" s="2" t="s">
        <v>208</v>
      </c>
      <c r="B314" s="46">
        <v>4</v>
      </c>
      <c r="C314" s="46">
        <v>2023</v>
      </c>
      <c r="D314" s="46" t="s">
        <v>209</v>
      </c>
      <c r="E314" s="46" t="s">
        <v>209</v>
      </c>
      <c r="F314" s="31">
        <v>44958</v>
      </c>
      <c r="G314" s="46">
        <f t="shared" si="20"/>
        <v>28</v>
      </c>
      <c r="H314" s="47">
        <f t="shared" si="21"/>
        <v>44963</v>
      </c>
      <c r="I314" s="140">
        <f>_xlfn.XLOOKUP(Table12[[#This Row],[Month Year]],'Modelling New'!D:D,'Modelling New'!N:N)</f>
        <v>10.507</v>
      </c>
      <c r="J314" s="50" t="e">
        <f>'Raw Data'!#REF!/J$1</f>
        <v>#REF!</v>
      </c>
      <c r="K314" s="50" t="e">
        <f>'Raw Data'!#REF!/K$1</f>
        <v>#REF!</v>
      </c>
      <c r="L314" s="50" t="e">
        <f>'Raw Data'!#REF!/L$1</f>
        <v>#REF!</v>
      </c>
      <c r="M314" s="50" t="e">
        <f>'Raw Data'!#REF!/M$1</f>
        <v>#REF!</v>
      </c>
      <c r="N314" s="50" t="e">
        <f>'Raw Data'!#REF!/N$1</f>
        <v>#REF!</v>
      </c>
      <c r="O314" s="50" t="e">
        <f>'Raw Data'!#REF!/O$1</f>
        <v>#REF!</v>
      </c>
      <c r="P314" s="50" t="str">
        <f t="shared" si="22"/>
        <v/>
      </c>
      <c r="Q314" s="50" t="e">
        <f t="shared" si="23"/>
        <v>#REF!</v>
      </c>
    </row>
    <row r="315" spans="1:17">
      <c r="A315" s="2" t="s">
        <v>208</v>
      </c>
      <c r="B315" s="44">
        <v>4</v>
      </c>
      <c r="C315" s="44">
        <v>2023</v>
      </c>
      <c r="D315" s="44" t="s">
        <v>209</v>
      </c>
      <c r="E315" s="44" t="s">
        <v>209</v>
      </c>
      <c r="F315" s="31">
        <v>44958</v>
      </c>
      <c r="G315" s="44">
        <f t="shared" si="20"/>
        <v>28</v>
      </c>
      <c r="H315" s="45">
        <f t="shared" si="21"/>
        <v>44964</v>
      </c>
      <c r="I315" s="139">
        <f>_xlfn.XLOOKUP(Table12[[#This Row],[Month Year]],'Modelling New'!D:D,'Modelling New'!N:N)</f>
        <v>10.507</v>
      </c>
      <c r="J315" s="50" t="e">
        <f>'Raw Data'!#REF!/J$1</f>
        <v>#REF!</v>
      </c>
      <c r="K315" s="50" t="e">
        <f>'Raw Data'!#REF!/K$1</f>
        <v>#REF!</v>
      </c>
      <c r="L315" s="50" t="e">
        <f>'Raw Data'!#REF!/L$1</f>
        <v>#REF!</v>
      </c>
      <c r="M315" s="50" t="e">
        <f>'Raw Data'!#REF!/M$1</f>
        <v>#REF!</v>
      </c>
      <c r="N315" s="50" t="e">
        <f>'Raw Data'!#REF!/N$1</f>
        <v>#REF!</v>
      </c>
      <c r="O315" s="50" t="e">
        <f>'Raw Data'!#REF!/O$1</f>
        <v>#REF!</v>
      </c>
      <c r="P315" s="50" t="str">
        <f t="shared" si="22"/>
        <v/>
      </c>
      <c r="Q315" s="50" t="e">
        <f t="shared" si="23"/>
        <v>#REF!</v>
      </c>
    </row>
    <row r="316" spans="1:17">
      <c r="A316" s="2" t="s">
        <v>208</v>
      </c>
      <c r="B316" s="46">
        <v>4</v>
      </c>
      <c r="C316" s="46">
        <v>2023</v>
      </c>
      <c r="D316" s="46" t="s">
        <v>209</v>
      </c>
      <c r="E316" s="46" t="s">
        <v>209</v>
      </c>
      <c r="F316" s="31">
        <v>44958</v>
      </c>
      <c r="G316" s="46">
        <f t="shared" si="20"/>
        <v>28</v>
      </c>
      <c r="H316" s="47">
        <f t="shared" si="21"/>
        <v>44965</v>
      </c>
      <c r="I316" s="140">
        <f>_xlfn.XLOOKUP(Table12[[#This Row],[Month Year]],'Modelling New'!D:D,'Modelling New'!N:N)</f>
        <v>10.507</v>
      </c>
      <c r="J316" s="50" t="e">
        <f>'Raw Data'!#REF!/J$1</f>
        <v>#REF!</v>
      </c>
      <c r="K316" s="50" t="e">
        <f>'Raw Data'!#REF!/K$1</f>
        <v>#REF!</v>
      </c>
      <c r="L316" s="50" t="e">
        <f>'Raw Data'!#REF!/L$1</f>
        <v>#REF!</v>
      </c>
      <c r="M316" s="50" t="e">
        <f>'Raw Data'!#REF!/M$1</f>
        <v>#REF!</v>
      </c>
      <c r="N316" s="50" t="e">
        <f>'Raw Data'!#REF!/N$1</f>
        <v>#REF!</v>
      </c>
      <c r="O316" s="50" t="e">
        <f>'Raw Data'!#REF!/O$1</f>
        <v>#REF!</v>
      </c>
      <c r="P316" s="50" t="str">
        <f t="shared" si="22"/>
        <v/>
      </c>
      <c r="Q316" s="50" t="e">
        <f t="shared" si="23"/>
        <v>#REF!</v>
      </c>
    </row>
    <row r="317" spans="1:17">
      <c r="A317" s="2" t="s">
        <v>208</v>
      </c>
      <c r="B317" s="44">
        <v>4</v>
      </c>
      <c r="C317" s="44">
        <v>2023</v>
      </c>
      <c r="D317" s="44" t="s">
        <v>209</v>
      </c>
      <c r="E317" s="44" t="s">
        <v>209</v>
      </c>
      <c r="F317" s="31">
        <v>44958</v>
      </c>
      <c r="G317" s="44">
        <f t="shared" si="20"/>
        <v>28</v>
      </c>
      <c r="H317" s="45">
        <f t="shared" si="21"/>
        <v>44966</v>
      </c>
      <c r="I317" s="139">
        <f>_xlfn.XLOOKUP(Table12[[#This Row],[Month Year]],'Modelling New'!D:D,'Modelling New'!N:N)</f>
        <v>10.507</v>
      </c>
      <c r="J317" s="50" t="e">
        <f>'Raw Data'!#REF!/J$1</f>
        <v>#REF!</v>
      </c>
      <c r="K317" s="50" t="e">
        <f>'Raw Data'!#REF!/K$1</f>
        <v>#REF!</v>
      </c>
      <c r="L317" s="50" t="e">
        <f>'Raw Data'!#REF!/L$1</f>
        <v>#REF!</v>
      </c>
      <c r="M317" s="50" t="e">
        <f>'Raw Data'!#REF!/M$1</f>
        <v>#REF!</v>
      </c>
      <c r="N317" s="50" t="e">
        <f>'Raw Data'!#REF!/N$1</f>
        <v>#REF!</v>
      </c>
      <c r="O317" s="50" t="e">
        <f>'Raw Data'!#REF!/O$1</f>
        <v>#REF!</v>
      </c>
      <c r="P317" s="50" t="str">
        <f t="shared" si="22"/>
        <v/>
      </c>
      <c r="Q317" s="50" t="e">
        <f t="shared" si="23"/>
        <v>#REF!</v>
      </c>
    </row>
    <row r="318" spans="1:17">
      <c r="A318" s="2" t="s">
        <v>208</v>
      </c>
      <c r="B318" s="46">
        <v>4</v>
      </c>
      <c r="C318" s="46">
        <v>2023</v>
      </c>
      <c r="D318" s="46" t="s">
        <v>209</v>
      </c>
      <c r="E318" s="46" t="s">
        <v>209</v>
      </c>
      <c r="F318" s="31">
        <v>44958</v>
      </c>
      <c r="G318" s="46">
        <f t="shared" si="20"/>
        <v>28</v>
      </c>
      <c r="H318" s="47">
        <f t="shared" si="21"/>
        <v>44967</v>
      </c>
      <c r="I318" s="140">
        <f>_xlfn.XLOOKUP(Table12[[#This Row],[Month Year]],'Modelling New'!D:D,'Modelling New'!N:N)</f>
        <v>10.507</v>
      </c>
      <c r="J318" s="50" t="e">
        <f>'Raw Data'!#REF!/J$1</f>
        <v>#REF!</v>
      </c>
      <c r="K318" s="50" t="e">
        <f>'Raw Data'!#REF!/K$1</f>
        <v>#REF!</v>
      </c>
      <c r="L318" s="50" t="e">
        <f>'Raw Data'!#REF!/L$1</f>
        <v>#REF!</v>
      </c>
      <c r="M318" s="50" t="e">
        <f>'Raw Data'!#REF!/M$1</f>
        <v>#REF!</v>
      </c>
      <c r="N318" s="50" t="e">
        <f>'Raw Data'!#REF!/N$1</f>
        <v>#REF!</v>
      </c>
      <c r="O318" s="50" t="e">
        <f>'Raw Data'!#REF!/O$1</f>
        <v>#REF!</v>
      </c>
      <c r="P318" s="50" t="str">
        <f t="shared" si="22"/>
        <v/>
      </c>
      <c r="Q318" s="50" t="e">
        <f t="shared" si="23"/>
        <v>#REF!</v>
      </c>
    </row>
    <row r="319" spans="1:17">
      <c r="A319" s="2" t="s">
        <v>208</v>
      </c>
      <c r="B319" s="44">
        <v>4</v>
      </c>
      <c r="C319" s="44">
        <v>2023</v>
      </c>
      <c r="D319" s="44" t="s">
        <v>209</v>
      </c>
      <c r="E319" s="44" t="s">
        <v>209</v>
      </c>
      <c r="F319" s="31">
        <v>44958</v>
      </c>
      <c r="G319" s="44">
        <f t="shared" si="20"/>
        <v>28</v>
      </c>
      <c r="H319" s="45">
        <f t="shared" si="21"/>
        <v>44968</v>
      </c>
      <c r="I319" s="139">
        <f>_xlfn.XLOOKUP(Table12[[#This Row],[Month Year]],'Modelling New'!D:D,'Modelling New'!N:N)</f>
        <v>10.507</v>
      </c>
      <c r="J319" s="50" t="e">
        <f>'Raw Data'!#REF!/J$1</f>
        <v>#REF!</v>
      </c>
      <c r="K319" s="50" t="e">
        <f>'Raw Data'!#REF!/K$1</f>
        <v>#REF!</v>
      </c>
      <c r="L319" s="50" t="e">
        <f>'Raw Data'!#REF!/L$1</f>
        <v>#REF!</v>
      </c>
      <c r="M319" s="50" t="e">
        <f>'Raw Data'!#REF!/M$1</f>
        <v>#REF!</v>
      </c>
      <c r="N319" s="50" t="e">
        <f>'Raw Data'!#REF!/N$1</f>
        <v>#REF!</v>
      </c>
      <c r="O319" s="50" t="e">
        <f>'Raw Data'!#REF!/O$1</f>
        <v>#REF!</v>
      </c>
      <c r="P319" s="50" t="str">
        <f t="shared" si="22"/>
        <v/>
      </c>
      <c r="Q319" s="50" t="e">
        <f t="shared" si="23"/>
        <v>#REF!</v>
      </c>
    </row>
    <row r="320" spans="1:17">
      <c r="A320" s="2" t="s">
        <v>208</v>
      </c>
      <c r="B320" s="46">
        <v>4</v>
      </c>
      <c r="C320" s="46">
        <v>2023</v>
      </c>
      <c r="D320" s="46" t="s">
        <v>209</v>
      </c>
      <c r="E320" s="46" t="s">
        <v>209</v>
      </c>
      <c r="F320" s="31">
        <v>44958</v>
      </c>
      <c r="G320" s="46">
        <f t="shared" si="20"/>
        <v>28</v>
      </c>
      <c r="H320" s="47">
        <f t="shared" si="21"/>
        <v>44969</v>
      </c>
      <c r="I320" s="140">
        <f>_xlfn.XLOOKUP(Table12[[#This Row],[Month Year]],'Modelling New'!D:D,'Modelling New'!N:N)</f>
        <v>10.507</v>
      </c>
      <c r="J320" s="50" t="e">
        <f>'Raw Data'!#REF!/J$1</f>
        <v>#REF!</v>
      </c>
      <c r="K320" s="50" t="e">
        <f>'Raw Data'!#REF!/K$1</f>
        <v>#REF!</v>
      </c>
      <c r="L320" s="50" t="e">
        <f>'Raw Data'!#REF!/L$1</f>
        <v>#REF!</v>
      </c>
      <c r="M320" s="50" t="e">
        <f>'Raw Data'!#REF!/M$1</f>
        <v>#REF!</v>
      </c>
      <c r="N320" s="50" t="e">
        <f>'Raw Data'!#REF!/N$1</f>
        <v>#REF!</v>
      </c>
      <c r="O320" s="50" t="e">
        <f>'Raw Data'!#REF!/O$1</f>
        <v>#REF!</v>
      </c>
      <c r="P320" s="50" t="str">
        <f t="shared" si="22"/>
        <v/>
      </c>
      <c r="Q320" s="50" t="e">
        <f t="shared" si="23"/>
        <v>#REF!</v>
      </c>
    </row>
    <row r="321" spans="1:17">
      <c r="A321" s="2" t="s">
        <v>208</v>
      </c>
      <c r="B321" s="44">
        <v>4</v>
      </c>
      <c r="C321" s="44">
        <v>2023</v>
      </c>
      <c r="D321" s="44" t="s">
        <v>209</v>
      </c>
      <c r="E321" s="44" t="s">
        <v>209</v>
      </c>
      <c r="F321" s="31">
        <v>44958</v>
      </c>
      <c r="G321" s="44">
        <f t="shared" si="20"/>
        <v>28</v>
      </c>
      <c r="H321" s="45">
        <f t="shared" si="21"/>
        <v>44970</v>
      </c>
      <c r="I321" s="139">
        <f>_xlfn.XLOOKUP(Table12[[#This Row],[Month Year]],'Modelling New'!D:D,'Modelling New'!N:N)</f>
        <v>10.507</v>
      </c>
      <c r="J321" s="50" t="e">
        <f>'Raw Data'!#REF!/J$1</f>
        <v>#REF!</v>
      </c>
      <c r="K321" s="50" t="e">
        <f>'Raw Data'!#REF!/K$1</f>
        <v>#REF!</v>
      </c>
      <c r="L321" s="50" t="e">
        <f>'Raw Data'!#REF!/L$1</f>
        <v>#REF!</v>
      </c>
      <c r="M321" s="50" t="e">
        <f>'Raw Data'!#REF!/M$1</f>
        <v>#REF!</v>
      </c>
      <c r="N321" s="50" t="e">
        <f>'Raw Data'!#REF!/N$1</f>
        <v>#REF!</v>
      </c>
      <c r="O321" s="50" t="e">
        <f>'Raw Data'!#REF!/O$1</f>
        <v>#REF!</v>
      </c>
      <c r="P321" s="50" t="str">
        <f t="shared" si="22"/>
        <v/>
      </c>
      <c r="Q321" s="50" t="e">
        <f t="shared" si="23"/>
        <v>#REF!</v>
      </c>
    </row>
    <row r="322" spans="1:17">
      <c r="A322" s="2" t="s">
        <v>208</v>
      </c>
      <c r="B322" s="46">
        <v>4</v>
      </c>
      <c r="C322" s="46">
        <v>2023</v>
      </c>
      <c r="D322" s="46" t="s">
        <v>209</v>
      </c>
      <c r="E322" s="46" t="s">
        <v>209</v>
      </c>
      <c r="F322" s="31">
        <v>44958</v>
      </c>
      <c r="G322" s="46">
        <f t="shared" si="20"/>
        <v>28</v>
      </c>
      <c r="H322" s="47">
        <f t="shared" si="21"/>
        <v>44971</v>
      </c>
      <c r="I322" s="140">
        <f>_xlfn.XLOOKUP(Table12[[#This Row],[Month Year]],'Modelling New'!D:D,'Modelling New'!N:N)</f>
        <v>10.507</v>
      </c>
      <c r="J322" s="50" t="e">
        <f>'Raw Data'!#REF!/J$1</f>
        <v>#REF!</v>
      </c>
      <c r="K322" s="50" t="e">
        <f>'Raw Data'!#REF!/K$1</f>
        <v>#REF!</v>
      </c>
      <c r="L322" s="50" t="e">
        <f>'Raw Data'!#REF!/L$1</f>
        <v>#REF!</v>
      </c>
      <c r="M322" s="50" t="e">
        <f>'Raw Data'!#REF!/M$1</f>
        <v>#REF!</v>
      </c>
      <c r="N322" s="50" t="e">
        <f>'Raw Data'!#REF!/N$1</f>
        <v>#REF!</v>
      </c>
      <c r="O322" s="50" t="e">
        <f>'Raw Data'!#REF!/O$1</f>
        <v>#REF!</v>
      </c>
      <c r="P322" s="50" t="str">
        <f t="shared" si="22"/>
        <v/>
      </c>
      <c r="Q322" s="50" t="e">
        <f t="shared" si="23"/>
        <v>#REF!</v>
      </c>
    </row>
    <row r="323" spans="1:17">
      <c r="A323" s="2" t="s">
        <v>208</v>
      </c>
      <c r="B323" s="44">
        <v>4</v>
      </c>
      <c r="C323" s="44">
        <v>2023</v>
      </c>
      <c r="D323" s="44" t="s">
        <v>209</v>
      </c>
      <c r="E323" s="44" t="s">
        <v>209</v>
      </c>
      <c r="F323" s="31">
        <v>44958</v>
      </c>
      <c r="G323" s="44">
        <f t="shared" si="20"/>
        <v>28</v>
      </c>
      <c r="H323" s="45">
        <f t="shared" si="21"/>
        <v>44972</v>
      </c>
      <c r="I323" s="139">
        <f>_xlfn.XLOOKUP(Table12[[#This Row],[Month Year]],'Modelling New'!D:D,'Modelling New'!N:N)</f>
        <v>10.507</v>
      </c>
      <c r="J323" s="50" t="e">
        <f>'Raw Data'!#REF!/J$1</f>
        <v>#REF!</v>
      </c>
      <c r="K323" s="50" t="e">
        <f>'Raw Data'!#REF!/K$1</f>
        <v>#REF!</v>
      </c>
      <c r="L323" s="50" t="e">
        <f>'Raw Data'!#REF!/L$1</f>
        <v>#REF!</v>
      </c>
      <c r="M323" s="50" t="e">
        <f>'Raw Data'!#REF!/M$1</f>
        <v>#REF!</v>
      </c>
      <c r="N323" s="50" t="e">
        <f>'Raw Data'!#REF!/N$1</f>
        <v>#REF!</v>
      </c>
      <c r="O323" s="50" t="e">
        <f>'Raw Data'!#REF!/O$1</f>
        <v>#REF!</v>
      </c>
      <c r="P323" s="50" t="str">
        <f t="shared" si="22"/>
        <v/>
      </c>
      <c r="Q323" s="50" t="e">
        <f t="shared" si="23"/>
        <v>#REF!</v>
      </c>
    </row>
    <row r="324" spans="1:17">
      <c r="A324" s="2" t="s">
        <v>208</v>
      </c>
      <c r="B324" s="46">
        <v>4</v>
      </c>
      <c r="C324" s="46">
        <v>2023</v>
      </c>
      <c r="D324" s="46" t="s">
        <v>209</v>
      </c>
      <c r="E324" s="46" t="s">
        <v>209</v>
      </c>
      <c r="F324" s="31">
        <v>44958</v>
      </c>
      <c r="G324" s="46">
        <f t="shared" ref="G324:G367" si="24">DAY(EOMONTH(F324,0))</f>
        <v>28</v>
      </c>
      <c r="H324" s="47">
        <f t="shared" si="21"/>
        <v>44973</v>
      </c>
      <c r="I324" s="140">
        <f>_xlfn.XLOOKUP(Table12[[#This Row],[Month Year]],'Modelling New'!D:D,'Modelling New'!N:N)</f>
        <v>10.507</v>
      </c>
      <c r="J324" s="50" t="e">
        <f>'Raw Data'!#REF!/J$1</f>
        <v>#REF!</v>
      </c>
      <c r="K324" s="50" t="e">
        <f>'Raw Data'!#REF!/K$1</f>
        <v>#REF!</v>
      </c>
      <c r="L324" s="50" t="e">
        <f>'Raw Data'!#REF!/L$1</f>
        <v>#REF!</v>
      </c>
      <c r="M324" s="50" t="e">
        <f>'Raw Data'!#REF!/M$1</f>
        <v>#REF!</v>
      </c>
      <c r="N324" s="50" t="e">
        <f>'Raw Data'!#REF!/N$1</f>
        <v>#REF!</v>
      </c>
      <c r="O324" s="50" t="e">
        <f>'Raw Data'!#REF!/O$1</f>
        <v>#REF!</v>
      </c>
      <c r="P324" s="50" t="str">
        <f t="shared" si="22"/>
        <v/>
      </c>
      <c r="Q324" s="50" t="e">
        <f t="shared" si="23"/>
        <v>#REF!</v>
      </c>
    </row>
    <row r="325" spans="1:17">
      <c r="A325" s="2" t="s">
        <v>208</v>
      </c>
      <c r="B325" s="44">
        <v>4</v>
      </c>
      <c r="C325" s="44">
        <v>2023</v>
      </c>
      <c r="D325" s="44" t="s">
        <v>209</v>
      </c>
      <c r="E325" s="44" t="s">
        <v>209</v>
      </c>
      <c r="F325" s="31">
        <v>44958</v>
      </c>
      <c r="G325" s="44">
        <f t="shared" si="24"/>
        <v>28</v>
      </c>
      <c r="H325" s="45">
        <f t="shared" si="21"/>
        <v>44974</v>
      </c>
      <c r="I325" s="139">
        <f>_xlfn.XLOOKUP(Table12[[#This Row],[Month Year]],'Modelling New'!D:D,'Modelling New'!N:N)</f>
        <v>10.507</v>
      </c>
      <c r="J325" s="50" t="e">
        <f>'Raw Data'!#REF!/J$1</f>
        <v>#REF!</v>
      </c>
      <c r="K325" s="50" t="e">
        <f>'Raw Data'!#REF!/K$1</f>
        <v>#REF!</v>
      </c>
      <c r="L325" s="50" t="e">
        <f>'Raw Data'!#REF!/L$1</f>
        <v>#REF!</v>
      </c>
      <c r="M325" s="50" t="e">
        <f>'Raw Data'!#REF!/M$1</f>
        <v>#REF!</v>
      </c>
      <c r="N325" s="50" t="e">
        <f>'Raw Data'!#REF!/N$1</f>
        <v>#REF!</v>
      </c>
      <c r="O325" s="50" t="e">
        <f>'Raw Data'!#REF!/O$1</f>
        <v>#REF!</v>
      </c>
      <c r="P325" s="50" t="str">
        <f t="shared" si="22"/>
        <v/>
      </c>
      <c r="Q325" s="50" t="e">
        <f t="shared" si="23"/>
        <v>#REF!</v>
      </c>
    </row>
    <row r="326" spans="1:17">
      <c r="A326" s="2" t="s">
        <v>208</v>
      </c>
      <c r="B326" s="46">
        <v>4</v>
      </c>
      <c r="C326" s="46">
        <v>2023</v>
      </c>
      <c r="D326" s="46" t="s">
        <v>209</v>
      </c>
      <c r="E326" s="46" t="s">
        <v>209</v>
      </c>
      <c r="F326" s="31">
        <v>44958</v>
      </c>
      <c r="G326" s="46">
        <f t="shared" si="24"/>
        <v>28</v>
      </c>
      <c r="H326" s="47">
        <f t="shared" si="21"/>
        <v>44975</v>
      </c>
      <c r="I326" s="140">
        <f>_xlfn.XLOOKUP(Table12[[#This Row],[Month Year]],'Modelling New'!D:D,'Modelling New'!N:N)</f>
        <v>10.507</v>
      </c>
      <c r="J326" s="50" t="e">
        <f>'Raw Data'!#REF!/J$1</f>
        <v>#REF!</v>
      </c>
      <c r="K326" s="50" t="e">
        <f>'Raw Data'!#REF!/K$1</f>
        <v>#REF!</v>
      </c>
      <c r="L326" s="50" t="e">
        <f>'Raw Data'!#REF!/L$1</f>
        <v>#REF!</v>
      </c>
      <c r="M326" s="50" t="e">
        <f>'Raw Data'!#REF!/M$1</f>
        <v>#REF!</v>
      </c>
      <c r="N326" s="50" t="e">
        <f>'Raw Data'!#REF!/N$1</f>
        <v>#REF!</v>
      </c>
      <c r="O326" s="50" t="e">
        <f>'Raw Data'!#REF!/O$1</f>
        <v>#REF!</v>
      </c>
      <c r="P326" s="50" t="str">
        <f t="shared" si="22"/>
        <v/>
      </c>
      <c r="Q326" s="50" t="e">
        <f t="shared" si="23"/>
        <v>#REF!</v>
      </c>
    </row>
    <row r="327" spans="1:17">
      <c r="A327" s="2" t="s">
        <v>208</v>
      </c>
      <c r="B327" s="44">
        <v>4</v>
      </c>
      <c r="C327" s="44">
        <v>2023</v>
      </c>
      <c r="D327" s="44" t="s">
        <v>209</v>
      </c>
      <c r="E327" s="44" t="s">
        <v>209</v>
      </c>
      <c r="F327" s="31">
        <v>44958</v>
      </c>
      <c r="G327" s="44">
        <f t="shared" si="24"/>
        <v>28</v>
      </c>
      <c r="H327" s="45">
        <f t="shared" si="21"/>
        <v>44976</v>
      </c>
      <c r="I327" s="139">
        <f>_xlfn.XLOOKUP(Table12[[#This Row],[Month Year]],'Modelling New'!D:D,'Modelling New'!N:N)</f>
        <v>10.507</v>
      </c>
      <c r="J327" s="50" t="e">
        <f>'Raw Data'!#REF!/J$1</f>
        <v>#REF!</v>
      </c>
      <c r="K327" s="50" t="e">
        <f>'Raw Data'!#REF!/K$1</f>
        <v>#REF!</v>
      </c>
      <c r="L327" s="50" t="e">
        <f>'Raw Data'!#REF!/L$1</f>
        <v>#REF!</v>
      </c>
      <c r="M327" s="50" t="e">
        <f>'Raw Data'!#REF!/M$1</f>
        <v>#REF!</v>
      </c>
      <c r="N327" s="50" t="e">
        <f>'Raw Data'!#REF!/N$1</f>
        <v>#REF!</v>
      </c>
      <c r="O327" s="50" t="e">
        <f>'Raw Data'!#REF!/O$1</f>
        <v>#REF!</v>
      </c>
      <c r="P327" s="50" t="str">
        <f t="shared" si="22"/>
        <v/>
      </c>
      <c r="Q327" s="50" t="e">
        <f t="shared" si="23"/>
        <v>#REF!</v>
      </c>
    </row>
    <row r="328" spans="1:17">
      <c r="A328" s="2" t="s">
        <v>208</v>
      </c>
      <c r="B328" s="46">
        <v>4</v>
      </c>
      <c r="C328" s="46">
        <v>2023</v>
      </c>
      <c r="D328" s="46" t="s">
        <v>209</v>
      </c>
      <c r="E328" s="46" t="s">
        <v>209</v>
      </c>
      <c r="F328" s="31">
        <v>44958</v>
      </c>
      <c r="G328" s="46">
        <f t="shared" si="24"/>
        <v>28</v>
      </c>
      <c r="H328" s="47">
        <f t="shared" si="21"/>
        <v>44977</v>
      </c>
      <c r="I328" s="140">
        <f>_xlfn.XLOOKUP(Table12[[#This Row],[Month Year]],'Modelling New'!D:D,'Modelling New'!N:N)</f>
        <v>10.507</v>
      </c>
      <c r="J328" s="50" t="e">
        <f>'Raw Data'!#REF!/J$1</f>
        <v>#REF!</v>
      </c>
      <c r="K328" s="50" t="e">
        <f>'Raw Data'!#REF!/K$1</f>
        <v>#REF!</v>
      </c>
      <c r="L328" s="50" t="e">
        <f>'Raw Data'!#REF!/L$1</f>
        <v>#REF!</v>
      </c>
      <c r="M328" s="50" t="e">
        <f>'Raw Data'!#REF!/M$1</f>
        <v>#REF!</v>
      </c>
      <c r="N328" s="50" t="e">
        <f>'Raw Data'!#REF!/N$1</f>
        <v>#REF!</v>
      </c>
      <c r="O328" s="50" t="e">
        <f>'Raw Data'!#REF!/O$1</f>
        <v>#REF!</v>
      </c>
      <c r="P328" s="50" t="str">
        <f t="shared" si="22"/>
        <v/>
      </c>
      <c r="Q328" s="50" t="e">
        <f t="shared" si="23"/>
        <v>#REF!</v>
      </c>
    </row>
    <row r="329" spans="1:17">
      <c r="A329" s="2" t="s">
        <v>208</v>
      </c>
      <c r="B329" s="44">
        <v>4</v>
      </c>
      <c r="C329" s="44">
        <v>2023</v>
      </c>
      <c r="D329" s="44" t="s">
        <v>209</v>
      </c>
      <c r="E329" s="44" t="s">
        <v>209</v>
      </c>
      <c r="F329" s="31">
        <v>44958</v>
      </c>
      <c r="G329" s="44">
        <f t="shared" si="24"/>
        <v>28</v>
      </c>
      <c r="H329" s="45">
        <f t="shared" si="21"/>
        <v>44978</v>
      </c>
      <c r="I329" s="139">
        <f>_xlfn.XLOOKUP(Table12[[#This Row],[Month Year]],'Modelling New'!D:D,'Modelling New'!N:N)</f>
        <v>10.507</v>
      </c>
      <c r="J329" s="50" t="e">
        <f>'Raw Data'!#REF!/J$1</f>
        <v>#REF!</v>
      </c>
      <c r="K329" s="50" t="e">
        <f>'Raw Data'!#REF!/K$1</f>
        <v>#REF!</v>
      </c>
      <c r="L329" s="50" t="e">
        <f>'Raw Data'!#REF!/L$1</f>
        <v>#REF!</v>
      </c>
      <c r="M329" s="50" t="e">
        <f>'Raw Data'!#REF!/M$1</f>
        <v>#REF!</v>
      </c>
      <c r="N329" s="50" t="e">
        <f>'Raw Data'!#REF!/N$1</f>
        <v>#REF!</v>
      </c>
      <c r="O329" s="50" t="e">
        <f>'Raw Data'!#REF!/O$1</f>
        <v>#REF!</v>
      </c>
      <c r="P329" s="50" t="str">
        <f t="shared" si="22"/>
        <v/>
      </c>
      <c r="Q329" s="50" t="e">
        <f t="shared" si="23"/>
        <v>#REF!</v>
      </c>
    </row>
    <row r="330" spans="1:17">
      <c r="A330" s="2" t="s">
        <v>208</v>
      </c>
      <c r="B330" s="46">
        <v>4</v>
      </c>
      <c r="C330" s="46">
        <v>2023</v>
      </c>
      <c r="D330" s="46" t="s">
        <v>209</v>
      </c>
      <c r="E330" s="46" t="s">
        <v>209</v>
      </c>
      <c r="F330" s="31">
        <v>44958</v>
      </c>
      <c r="G330" s="46">
        <f t="shared" si="24"/>
        <v>28</v>
      </c>
      <c r="H330" s="47">
        <f t="shared" si="21"/>
        <v>44979</v>
      </c>
      <c r="I330" s="140">
        <f>_xlfn.XLOOKUP(Table12[[#This Row],[Month Year]],'Modelling New'!D:D,'Modelling New'!N:N)</f>
        <v>10.507</v>
      </c>
      <c r="J330" s="50" t="e">
        <f>'Raw Data'!#REF!/J$1</f>
        <v>#REF!</v>
      </c>
      <c r="K330" s="50" t="e">
        <f>'Raw Data'!#REF!/K$1</f>
        <v>#REF!</v>
      </c>
      <c r="L330" s="50" t="e">
        <f>'Raw Data'!#REF!/L$1</f>
        <v>#REF!</v>
      </c>
      <c r="M330" s="50" t="e">
        <f>'Raw Data'!#REF!/M$1</f>
        <v>#REF!</v>
      </c>
      <c r="N330" s="50" t="e">
        <f>'Raw Data'!#REF!/N$1</f>
        <v>#REF!</v>
      </c>
      <c r="O330" s="50" t="e">
        <f>'Raw Data'!#REF!/O$1</f>
        <v>#REF!</v>
      </c>
      <c r="P330" s="50" t="str">
        <f t="shared" si="22"/>
        <v/>
      </c>
      <c r="Q330" s="50" t="e">
        <f t="shared" si="23"/>
        <v>#REF!</v>
      </c>
    </row>
    <row r="331" spans="1:17">
      <c r="A331" s="2" t="s">
        <v>208</v>
      </c>
      <c r="B331" s="44">
        <v>4</v>
      </c>
      <c r="C331" s="44">
        <v>2023</v>
      </c>
      <c r="D331" s="44" t="s">
        <v>209</v>
      </c>
      <c r="E331" s="44" t="s">
        <v>209</v>
      </c>
      <c r="F331" s="31">
        <v>44958</v>
      </c>
      <c r="G331" s="44">
        <f t="shared" si="24"/>
        <v>28</v>
      </c>
      <c r="H331" s="45">
        <f t="shared" si="21"/>
        <v>44980</v>
      </c>
      <c r="I331" s="139">
        <f>_xlfn.XLOOKUP(Table12[[#This Row],[Month Year]],'Modelling New'!D:D,'Modelling New'!N:N)</f>
        <v>10.507</v>
      </c>
      <c r="J331" s="50" t="e">
        <f>'Raw Data'!#REF!/J$1</f>
        <v>#REF!</v>
      </c>
      <c r="K331" s="50" t="e">
        <f>'Raw Data'!#REF!/K$1</f>
        <v>#REF!</v>
      </c>
      <c r="L331" s="50" t="e">
        <f>'Raw Data'!#REF!/L$1</f>
        <v>#REF!</v>
      </c>
      <c r="M331" s="50" t="e">
        <f>'Raw Data'!#REF!/M$1</f>
        <v>#REF!</v>
      </c>
      <c r="N331" s="50" t="e">
        <f>'Raw Data'!#REF!/N$1</f>
        <v>#REF!</v>
      </c>
      <c r="O331" s="50" t="e">
        <f>'Raw Data'!#REF!/O$1</f>
        <v>#REF!</v>
      </c>
      <c r="P331" s="50" t="str">
        <f t="shared" si="22"/>
        <v/>
      </c>
      <c r="Q331" s="50" t="e">
        <f t="shared" si="23"/>
        <v>#REF!</v>
      </c>
    </row>
    <row r="332" spans="1:17">
      <c r="A332" s="2" t="s">
        <v>208</v>
      </c>
      <c r="B332" s="46">
        <v>4</v>
      </c>
      <c r="C332" s="46">
        <v>2023</v>
      </c>
      <c r="D332" s="46" t="s">
        <v>209</v>
      </c>
      <c r="E332" s="46" t="s">
        <v>209</v>
      </c>
      <c r="F332" s="31">
        <v>44958</v>
      </c>
      <c r="G332" s="46">
        <f t="shared" si="24"/>
        <v>28</v>
      </c>
      <c r="H332" s="47">
        <f t="shared" si="21"/>
        <v>44981</v>
      </c>
      <c r="I332" s="140">
        <f>_xlfn.XLOOKUP(Table12[[#This Row],[Month Year]],'Modelling New'!D:D,'Modelling New'!N:N)</f>
        <v>10.507</v>
      </c>
      <c r="J332" s="50" t="e">
        <f>'Raw Data'!#REF!/J$1</f>
        <v>#REF!</v>
      </c>
      <c r="K332" s="50" t="e">
        <f>'Raw Data'!#REF!/K$1</f>
        <v>#REF!</v>
      </c>
      <c r="L332" s="50" t="e">
        <f>'Raw Data'!#REF!/L$1</f>
        <v>#REF!</v>
      </c>
      <c r="M332" s="50" t="e">
        <f>'Raw Data'!#REF!/M$1</f>
        <v>#REF!</v>
      </c>
      <c r="N332" s="50" t="e">
        <f>'Raw Data'!#REF!/N$1</f>
        <v>#REF!</v>
      </c>
      <c r="O332" s="50" t="e">
        <f>'Raw Data'!#REF!/O$1</f>
        <v>#REF!</v>
      </c>
      <c r="P332" s="50" t="str">
        <f t="shared" si="22"/>
        <v/>
      </c>
      <c r="Q332" s="50" t="e">
        <f t="shared" si="23"/>
        <v>#REF!</v>
      </c>
    </row>
    <row r="333" spans="1:17">
      <c r="A333" s="2" t="s">
        <v>208</v>
      </c>
      <c r="B333" s="44">
        <v>4</v>
      </c>
      <c r="C333" s="44">
        <v>2023</v>
      </c>
      <c r="D333" s="44" t="s">
        <v>209</v>
      </c>
      <c r="E333" s="44" t="s">
        <v>209</v>
      </c>
      <c r="F333" s="31">
        <v>44958</v>
      </c>
      <c r="G333" s="44">
        <f t="shared" si="24"/>
        <v>28</v>
      </c>
      <c r="H333" s="45">
        <f t="shared" si="21"/>
        <v>44982</v>
      </c>
      <c r="I333" s="139">
        <f>_xlfn.XLOOKUP(Table12[[#This Row],[Month Year]],'Modelling New'!D:D,'Modelling New'!N:N)</f>
        <v>10.507</v>
      </c>
      <c r="J333" s="50" t="e">
        <f>'Raw Data'!#REF!/J$1</f>
        <v>#REF!</v>
      </c>
      <c r="K333" s="50" t="e">
        <f>'Raw Data'!#REF!/K$1</f>
        <v>#REF!</v>
      </c>
      <c r="L333" s="50" t="e">
        <f>'Raw Data'!#REF!/L$1</f>
        <v>#REF!</v>
      </c>
      <c r="M333" s="50" t="e">
        <f>'Raw Data'!#REF!/M$1</f>
        <v>#REF!</v>
      </c>
      <c r="N333" s="50" t="e">
        <f>'Raw Data'!#REF!/N$1</f>
        <v>#REF!</v>
      </c>
      <c r="O333" s="50" t="e">
        <f>'Raw Data'!#REF!/O$1</f>
        <v>#REF!</v>
      </c>
      <c r="P333" s="50" t="str">
        <f t="shared" si="22"/>
        <v/>
      </c>
      <c r="Q333" s="50" t="e">
        <f t="shared" si="23"/>
        <v>#REF!</v>
      </c>
    </row>
    <row r="334" spans="1:17">
      <c r="A334" s="2" t="s">
        <v>208</v>
      </c>
      <c r="B334" s="46">
        <v>4</v>
      </c>
      <c r="C334" s="46">
        <v>2023</v>
      </c>
      <c r="D334" s="46" t="s">
        <v>209</v>
      </c>
      <c r="E334" s="46" t="s">
        <v>209</v>
      </c>
      <c r="F334" s="31">
        <v>44958</v>
      </c>
      <c r="G334" s="46">
        <f t="shared" si="24"/>
        <v>28</v>
      </c>
      <c r="H334" s="47">
        <f t="shared" si="21"/>
        <v>44983</v>
      </c>
      <c r="I334" s="140">
        <f>_xlfn.XLOOKUP(Table12[[#This Row],[Month Year]],'Modelling New'!D:D,'Modelling New'!N:N)</f>
        <v>10.507</v>
      </c>
      <c r="J334" s="50" t="e">
        <f>'Raw Data'!#REF!/J$1</f>
        <v>#REF!</v>
      </c>
      <c r="K334" s="50" t="e">
        <f>'Raw Data'!#REF!/K$1</f>
        <v>#REF!</v>
      </c>
      <c r="L334" s="50" t="e">
        <f>'Raw Data'!#REF!/L$1</f>
        <v>#REF!</v>
      </c>
      <c r="M334" s="50" t="e">
        <f>'Raw Data'!#REF!/M$1</f>
        <v>#REF!</v>
      </c>
      <c r="N334" s="50" t="e">
        <f>'Raw Data'!#REF!/N$1</f>
        <v>#REF!</v>
      </c>
      <c r="O334" s="50" t="e">
        <f>'Raw Data'!#REF!/O$1</f>
        <v>#REF!</v>
      </c>
      <c r="P334" s="50" t="str">
        <f t="shared" si="22"/>
        <v/>
      </c>
      <c r="Q334" s="50" t="e">
        <f t="shared" si="23"/>
        <v>#REF!</v>
      </c>
    </row>
    <row r="335" spans="1:17">
      <c r="A335" s="2" t="s">
        <v>208</v>
      </c>
      <c r="B335" s="44">
        <v>4</v>
      </c>
      <c r="C335" s="44">
        <v>2023</v>
      </c>
      <c r="D335" s="44" t="s">
        <v>209</v>
      </c>
      <c r="E335" s="44" t="s">
        <v>209</v>
      </c>
      <c r="F335" s="31">
        <v>44958</v>
      </c>
      <c r="G335" s="44">
        <f t="shared" si="24"/>
        <v>28</v>
      </c>
      <c r="H335" s="45">
        <f t="shared" si="21"/>
        <v>44984</v>
      </c>
      <c r="I335" s="139">
        <f>_xlfn.XLOOKUP(Table12[[#This Row],[Month Year]],'Modelling New'!D:D,'Modelling New'!N:N)</f>
        <v>10.507</v>
      </c>
      <c r="J335" s="50" t="e">
        <f>'Raw Data'!#REF!/J$1</f>
        <v>#REF!</v>
      </c>
      <c r="K335" s="50" t="e">
        <f>'Raw Data'!#REF!/K$1</f>
        <v>#REF!</v>
      </c>
      <c r="L335" s="50" t="e">
        <f>'Raw Data'!#REF!/L$1</f>
        <v>#REF!</v>
      </c>
      <c r="M335" s="50" t="e">
        <f>'Raw Data'!#REF!/M$1</f>
        <v>#REF!</v>
      </c>
      <c r="N335" s="50" t="e">
        <f>'Raw Data'!#REF!/N$1</f>
        <v>#REF!</v>
      </c>
      <c r="O335" s="50" t="e">
        <f>'Raw Data'!#REF!/O$1</f>
        <v>#REF!</v>
      </c>
      <c r="P335" s="50" t="str">
        <f t="shared" si="22"/>
        <v/>
      </c>
      <c r="Q335" s="50" t="e">
        <f t="shared" si="23"/>
        <v>#REF!</v>
      </c>
    </row>
    <row r="336" spans="1:17">
      <c r="A336" s="2" t="s">
        <v>208</v>
      </c>
      <c r="B336" s="46">
        <v>4</v>
      </c>
      <c r="C336" s="46">
        <v>2023</v>
      </c>
      <c r="D336" s="46" t="s">
        <v>209</v>
      </c>
      <c r="E336" s="46" t="s">
        <v>209</v>
      </c>
      <c r="F336" s="31">
        <v>44958</v>
      </c>
      <c r="G336" s="46">
        <f t="shared" si="24"/>
        <v>28</v>
      </c>
      <c r="H336" s="47">
        <f t="shared" si="21"/>
        <v>44985</v>
      </c>
      <c r="I336" s="140">
        <f>_xlfn.XLOOKUP(Table12[[#This Row],[Month Year]],'Modelling New'!D:D,'Modelling New'!N:N)</f>
        <v>10.507</v>
      </c>
      <c r="J336" s="50" t="e">
        <f>'Raw Data'!#REF!/J$1</f>
        <v>#REF!</v>
      </c>
      <c r="K336" s="50" t="e">
        <f>'Raw Data'!#REF!/K$1</f>
        <v>#REF!</v>
      </c>
      <c r="L336" s="50" t="e">
        <f>'Raw Data'!#REF!/L$1</f>
        <v>#REF!</v>
      </c>
      <c r="M336" s="50" t="e">
        <f>'Raw Data'!#REF!/M$1</f>
        <v>#REF!</v>
      </c>
      <c r="N336" s="50" t="e">
        <f>'Raw Data'!#REF!/N$1</f>
        <v>#REF!</v>
      </c>
      <c r="O336" s="50" t="e">
        <f>'Raw Data'!#REF!/O$1</f>
        <v>#REF!</v>
      </c>
      <c r="P336" s="50" t="str">
        <f t="shared" si="22"/>
        <v/>
      </c>
      <c r="Q336" s="50" t="e">
        <f t="shared" si="23"/>
        <v>#REF!</v>
      </c>
    </row>
    <row r="337" spans="1:17">
      <c r="A337" s="2" t="s">
        <v>208</v>
      </c>
      <c r="B337" s="44">
        <v>4</v>
      </c>
      <c r="C337" s="44">
        <v>2023</v>
      </c>
      <c r="D337" s="44" t="s">
        <v>209</v>
      </c>
      <c r="E337" s="44" t="s">
        <v>209</v>
      </c>
      <c r="F337" s="31">
        <v>44986</v>
      </c>
      <c r="G337" s="44">
        <f t="shared" si="24"/>
        <v>31</v>
      </c>
      <c r="H337" s="45">
        <f t="shared" si="21"/>
        <v>44986</v>
      </c>
      <c r="I337" s="139">
        <f>_xlfn.XLOOKUP(Table12[[#This Row],[Month Year]],'Modelling New'!D:D,'Modelling New'!N:N)</f>
        <v>10.507</v>
      </c>
      <c r="J337" s="50" t="e">
        <f>'Raw Data'!#REF!/J$1</f>
        <v>#REF!</v>
      </c>
      <c r="K337" s="50" t="e">
        <f>'Raw Data'!#REF!/K$1</f>
        <v>#REF!</v>
      </c>
      <c r="L337" s="50" t="e">
        <f>'Raw Data'!#REF!/L$1</f>
        <v>#REF!</v>
      </c>
      <c r="M337" s="50" t="e">
        <f>'Raw Data'!#REF!/M$1</f>
        <v>#REF!</v>
      </c>
      <c r="N337" s="50" t="e">
        <f>'Raw Data'!#REF!/N$1</f>
        <v>#REF!</v>
      </c>
      <c r="O337" s="50" t="e">
        <f>'Raw Data'!#REF!/O$1</f>
        <v>#REF!</v>
      </c>
      <c r="P337" s="50" t="str">
        <f t="shared" si="22"/>
        <v/>
      </c>
      <c r="Q337" s="50" t="e">
        <f t="shared" si="23"/>
        <v>#REF!</v>
      </c>
    </row>
    <row r="338" spans="1:17">
      <c r="A338" s="2" t="s">
        <v>208</v>
      </c>
      <c r="B338" s="46">
        <v>4</v>
      </c>
      <c r="C338" s="46">
        <v>2023</v>
      </c>
      <c r="D338" s="46" t="s">
        <v>209</v>
      </c>
      <c r="E338" s="46" t="s">
        <v>209</v>
      </c>
      <c r="F338" s="31">
        <v>44986</v>
      </c>
      <c r="G338" s="46">
        <f t="shared" si="24"/>
        <v>31</v>
      </c>
      <c r="H338" s="47">
        <f t="shared" si="21"/>
        <v>44987</v>
      </c>
      <c r="I338" s="140">
        <f>_xlfn.XLOOKUP(Table12[[#This Row],[Month Year]],'Modelling New'!D:D,'Modelling New'!N:N)</f>
        <v>10.507</v>
      </c>
      <c r="J338" s="50" t="e">
        <f>'Raw Data'!#REF!/J$1</f>
        <v>#REF!</v>
      </c>
      <c r="K338" s="50" t="e">
        <f>'Raw Data'!#REF!/K$1</f>
        <v>#REF!</v>
      </c>
      <c r="L338" s="50" t="e">
        <f>'Raw Data'!#REF!/L$1</f>
        <v>#REF!</v>
      </c>
      <c r="M338" s="50" t="e">
        <f>'Raw Data'!#REF!/M$1</f>
        <v>#REF!</v>
      </c>
      <c r="N338" s="50" t="e">
        <f>'Raw Data'!#REF!/N$1</f>
        <v>#REF!</v>
      </c>
      <c r="O338" s="50" t="e">
        <f>'Raw Data'!#REF!/O$1</f>
        <v>#REF!</v>
      </c>
      <c r="P338" s="50" t="str">
        <f t="shared" si="22"/>
        <v/>
      </c>
      <c r="Q338" s="50" t="e">
        <f t="shared" si="23"/>
        <v>#REF!</v>
      </c>
    </row>
    <row r="339" spans="1:17">
      <c r="A339" s="2" t="s">
        <v>208</v>
      </c>
      <c r="B339" s="44">
        <v>4</v>
      </c>
      <c r="C339" s="44">
        <v>2023</v>
      </c>
      <c r="D339" s="44" t="s">
        <v>209</v>
      </c>
      <c r="E339" s="44" t="s">
        <v>209</v>
      </c>
      <c r="F339" s="31">
        <v>44986</v>
      </c>
      <c r="G339" s="44">
        <f t="shared" si="24"/>
        <v>31</v>
      </c>
      <c r="H339" s="45">
        <f t="shared" si="21"/>
        <v>44988</v>
      </c>
      <c r="I339" s="139">
        <f>_xlfn.XLOOKUP(Table12[[#This Row],[Month Year]],'Modelling New'!D:D,'Modelling New'!N:N)</f>
        <v>10.507</v>
      </c>
      <c r="J339" s="50" t="e">
        <f>'Raw Data'!#REF!/J$1</f>
        <v>#REF!</v>
      </c>
      <c r="K339" s="50" t="e">
        <f>'Raw Data'!#REF!/K$1</f>
        <v>#REF!</v>
      </c>
      <c r="L339" s="50" t="e">
        <f>'Raw Data'!#REF!/L$1</f>
        <v>#REF!</v>
      </c>
      <c r="M339" s="50" t="e">
        <f>'Raw Data'!#REF!/M$1</f>
        <v>#REF!</v>
      </c>
      <c r="N339" s="50" t="e">
        <f>'Raw Data'!#REF!/N$1</f>
        <v>#REF!</v>
      </c>
      <c r="O339" s="50" t="e">
        <f>'Raw Data'!#REF!/O$1</f>
        <v>#REF!</v>
      </c>
      <c r="P339" s="50" t="str">
        <f t="shared" si="22"/>
        <v/>
      </c>
      <c r="Q339" s="50" t="e">
        <f t="shared" si="23"/>
        <v>#REF!</v>
      </c>
    </row>
    <row r="340" spans="1:17">
      <c r="A340" s="2" t="s">
        <v>208</v>
      </c>
      <c r="B340" s="46">
        <v>4</v>
      </c>
      <c r="C340" s="46">
        <v>2023</v>
      </c>
      <c r="D340" s="46" t="s">
        <v>209</v>
      </c>
      <c r="E340" s="46" t="s">
        <v>209</v>
      </c>
      <c r="F340" s="31">
        <v>44986</v>
      </c>
      <c r="G340" s="46">
        <f t="shared" si="24"/>
        <v>31</v>
      </c>
      <c r="H340" s="47">
        <f t="shared" si="21"/>
        <v>44989</v>
      </c>
      <c r="I340" s="140">
        <f>_xlfn.XLOOKUP(Table12[[#This Row],[Month Year]],'Modelling New'!D:D,'Modelling New'!N:N)</f>
        <v>10.507</v>
      </c>
      <c r="J340" s="50" t="e">
        <f>'Raw Data'!#REF!/J$1</f>
        <v>#REF!</v>
      </c>
      <c r="K340" s="50" t="e">
        <f>'Raw Data'!#REF!/K$1</f>
        <v>#REF!</v>
      </c>
      <c r="L340" s="50" t="e">
        <f>'Raw Data'!#REF!/L$1</f>
        <v>#REF!</v>
      </c>
      <c r="M340" s="50" t="e">
        <f>'Raw Data'!#REF!/M$1</f>
        <v>#REF!</v>
      </c>
      <c r="N340" s="50" t="e">
        <f>'Raw Data'!#REF!/N$1</f>
        <v>#REF!</v>
      </c>
      <c r="O340" s="50" t="e">
        <f>'Raw Data'!#REF!/O$1</f>
        <v>#REF!</v>
      </c>
      <c r="P340" s="50" t="str">
        <f t="shared" si="22"/>
        <v/>
      </c>
      <c r="Q340" s="50" t="e">
        <f t="shared" si="23"/>
        <v>#REF!</v>
      </c>
    </row>
    <row r="341" spans="1:17">
      <c r="A341" s="2" t="s">
        <v>208</v>
      </c>
      <c r="B341" s="44">
        <v>4</v>
      </c>
      <c r="C341" s="44">
        <v>2023</v>
      </c>
      <c r="D341" s="44" t="s">
        <v>209</v>
      </c>
      <c r="E341" s="44" t="s">
        <v>209</v>
      </c>
      <c r="F341" s="31">
        <v>44986</v>
      </c>
      <c r="G341" s="44">
        <f t="shared" si="24"/>
        <v>31</v>
      </c>
      <c r="H341" s="45">
        <f t="shared" si="21"/>
        <v>44990</v>
      </c>
      <c r="I341" s="139">
        <f>_xlfn.XLOOKUP(Table12[[#This Row],[Month Year]],'Modelling New'!D:D,'Modelling New'!N:N)</f>
        <v>10.507</v>
      </c>
      <c r="J341" s="50" t="e">
        <f>'Raw Data'!#REF!/J$1</f>
        <v>#REF!</v>
      </c>
      <c r="K341" s="50" t="e">
        <f>'Raw Data'!#REF!/K$1</f>
        <v>#REF!</v>
      </c>
      <c r="L341" s="50" t="e">
        <f>'Raw Data'!#REF!/L$1</f>
        <v>#REF!</v>
      </c>
      <c r="M341" s="50" t="e">
        <f>'Raw Data'!#REF!/M$1</f>
        <v>#REF!</v>
      </c>
      <c r="N341" s="50" t="e">
        <f>'Raw Data'!#REF!/N$1</f>
        <v>#REF!</v>
      </c>
      <c r="O341" s="50" t="e">
        <f>'Raw Data'!#REF!/O$1</f>
        <v>#REF!</v>
      </c>
      <c r="P341" s="50" t="str">
        <f t="shared" si="22"/>
        <v/>
      </c>
      <c r="Q341" s="50" t="e">
        <f t="shared" si="23"/>
        <v>#REF!</v>
      </c>
    </row>
    <row r="342" spans="1:17">
      <c r="A342" s="2" t="s">
        <v>208</v>
      </c>
      <c r="B342" s="46">
        <v>4</v>
      </c>
      <c r="C342" s="46">
        <v>2023</v>
      </c>
      <c r="D342" s="46" t="s">
        <v>209</v>
      </c>
      <c r="E342" s="46" t="s">
        <v>209</v>
      </c>
      <c r="F342" s="31">
        <v>44986</v>
      </c>
      <c r="G342" s="46">
        <f t="shared" si="24"/>
        <v>31</v>
      </c>
      <c r="H342" s="47">
        <f t="shared" si="21"/>
        <v>44991</v>
      </c>
      <c r="I342" s="140">
        <f>_xlfn.XLOOKUP(Table12[[#This Row],[Month Year]],'Modelling New'!D:D,'Modelling New'!N:N)</f>
        <v>10.507</v>
      </c>
      <c r="J342" s="50" t="e">
        <f>'Raw Data'!#REF!/J$1</f>
        <v>#REF!</v>
      </c>
      <c r="K342" s="50" t="e">
        <f>'Raw Data'!#REF!/K$1</f>
        <v>#REF!</v>
      </c>
      <c r="L342" s="50" t="e">
        <f>'Raw Data'!#REF!/L$1</f>
        <v>#REF!</v>
      </c>
      <c r="M342" s="50" t="e">
        <f>'Raw Data'!#REF!/M$1</f>
        <v>#REF!</v>
      </c>
      <c r="N342" s="50" t="e">
        <f>'Raw Data'!#REF!/N$1</f>
        <v>#REF!</v>
      </c>
      <c r="O342" s="50" t="e">
        <f>'Raw Data'!#REF!/O$1</f>
        <v>#REF!</v>
      </c>
      <c r="P342" s="50" t="str">
        <f t="shared" si="22"/>
        <v/>
      </c>
      <c r="Q342" s="50" t="e">
        <f t="shared" si="23"/>
        <v>#REF!</v>
      </c>
    </row>
    <row r="343" spans="1:17">
      <c r="A343" s="2" t="s">
        <v>208</v>
      </c>
      <c r="B343" s="44">
        <v>4</v>
      </c>
      <c r="C343" s="44">
        <v>2023</v>
      </c>
      <c r="D343" s="44" t="s">
        <v>209</v>
      </c>
      <c r="E343" s="44" t="s">
        <v>209</v>
      </c>
      <c r="F343" s="31">
        <v>44986</v>
      </c>
      <c r="G343" s="44">
        <f t="shared" si="24"/>
        <v>31</v>
      </c>
      <c r="H343" s="45">
        <f t="shared" si="21"/>
        <v>44992</v>
      </c>
      <c r="I343" s="139">
        <f>_xlfn.XLOOKUP(Table12[[#This Row],[Month Year]],'Modelling New'!D:D,'Modelling New'!N:N)</f>
        <v>10.507</v>
      </c>
      <c r="J343" s="50" t="e">
        <f>'Raw Data'!#REF!/J$1</f>
        <v>#REF!</v>
      </c>
      <c r="K343" s="50" t="e">
        <f>'Raw Data'!#REF!/K$1</f>
        <v>#REF!</v>
      </c>
      <c r="L343" s="50" t="e">
        <f>'Raw Data'!#REF!/L$1</f>
        <v>#REF!</v>
      </c>
      <c r="M343" s="50" t="e">
        <f>'Raw Data'!#REF!/M$1</f>
        <v>#REF!</v>
      </c>
      <c r="N343" s="50" t="e">
        <f>'Raw Data'!#REF!/N$1</f>
        <v>#REF!</v>
      </c>
      <c r="O343" s="50" t="e">
        <f>'Raw Data'!#REF!/O$1</f>
        <v>#REF!</v>
      </c>
      <c r="P343" s="50" t="str">
        <f t="shared" si="22"/>
        <v/>
      </c>
      <c r="Q343" s="50" t="e">
        <f t="shared" si="23"/>
        <v>#REF!</v>
      </c>
    </row>
    <row r="344" spans="1:17">
      <c r="A344" s="2" t="s">
        <v>208</v>
      </c>
      <c r="B344" s="46">
        <v>4</v>
      </c>
      <c r="C344" s="46">
        <v>2023</v>
      </c>
      <c r="D344" s="46" t="s">
        <v>209</v>
      </c>
      <c r="E344" s="46" t="s">
        <v>209</v>
      </c>
      <c r="F344" s="31">
        <v>44986</v>
      </c>
      <c r="G344" s="46">
        <f t="shared" si="24"/>
        <v>31</v>
      </c>
      <c r="H344" s="47">
        <f t="shared" si="21"/>
        <v>44993</v>
      </c>
      <c r="I344" s="140">
        <f>_xlfn.XLOOKUP(Table12[[#This Row],[Month Year]],'Modelling New'!D:D,'Modelling New'!N:N)</f>
        <v>10.507</v>
      </c>
      <c r="J344" s="50" t="e">
        <f>'Raw Data'!#REF!/J$1</f>
        <v>#REF!</v>
      </c>
      <c r="K344" s="50" t="e">
        <f>'Raw Data'!#REF!/K$1</f>
        <v>#REF!</v>
      </c>
      <c r="L344" s="50" t="e">
        <f>'Raw Data'!#REF!/L$1</f>
        <v>#REF!</v>
      </c>
      <c r="M344" s="50" t="e">
        <f>'Raw Data'!#REF!/M$1</f>
        <v>#REF!</v>
      </c>
      <c r="N344" s="50" t="e">
        <f>'Raw Data'!#REF!/N$1</f>
        <v>#REF!</v>
      </c>
      <c r="O344" s="50" t="e">
        <f>'Raw Data'!#REF!/O$1</f>
        <v>#REF!</v>
      </c>
      <c r="P344" s="50" t="str">
        <f t="shared" si="22"/>
        <v/>
      </c>
      <c r="Q344" s="50" t="e">
        <f t="shared" si="23"/>
        <v>#REF!</v>
      </c>
    </row>
    <row r="345" spans="1:17">
      <c r="A345" s="2" t="s">
        <v>208</v>
      </c>
      <c r="B345" s="44">
        <v>4</v>
      </c>
      <c r="C345" s="44">
        <v>2023</v>
      </c>
      <c r="D345" s="44" t="s">
        <v>209</v>
      </c>
      <c r="E345" s="44" t="s">
        <v>209</v>
      </c>
      <c r="F345" s="31">
        <v>44986</v>
      </c>
      <c r="G345" s="44">
        <f t="shared" si="24"/>
        <v>31</v>
      </c>
      <c r="H345" s="45">
        <f t="shared" si="21"/>
        <v>44994</v>
      </c>
      <c r="I345" s="139">
        <f>_xlfn.XLOOKUP(Table12[[#This Row],[Month Year]],'Modelling New'!D:D,'Modelling New'!N:N)</f>
        <v>10.507</v>
      </c>
      <c r="J345" s="50" t="e">
        <f>'Raw Data'!#REF!/J$1</f>
        <v>#REF!</v>
      </c>
      <c r="K345" s="50" t="e">
        <f>'Raw Data'!#REF!/K$1</f>
        <v>#REF!</v>
      </c>
      <c r="L345" s="50" t="e">
        <f>'Raw Data'!#REF!/L$1</f>
        <v>#REF!</v>
      </c>
      <c r="M345" s="50" t="e">
        <f>'Raw Data'!#REF!/M$1</f>
        <v>#REF!</v>
      </c>
      <c r="N345" s="50" t="e">
        <f>'Raw Data'!#REF!/N$1</f>
        <v>#REF!</v>
      </c>
      <c r="O345" s="50" t="e">
        <f>'Raw Data'!#REF!/O$1</f>
        <v>#REF!</v>
      </c>
      <c r="P345" s="50" t="str">
        <f t="shared" si="22"/>
        <v/>
      </c>
      <c r="Q345" s="50" t="e">
        <f t="shared" si="23"/>
        <v>#REF!</v>
      </c>
    </row>
    <row r="346" spans="1:17">
      <c r="A346" s="2" t="s">
        <v>208</v>
      </c>
      <c r="B346" s="46">
        <v>4</v>
      </c>
      <c r="C346" s="46">
        <v>2023</v>
      </c>
      <c r="D346" s="46" t="s">
        <v>209</v>
      </c>
      <c r="E346" s="46" t="s">
        <v>209</v>
      </c>
      <c r="F346" s="31">
        <v>44986</v>
      </c>
      <c r="G346" s="46">
        <f t="shared" si="24"/>
        <v>31</v>
      </c>
      <c r="H346" s="47">
        <f t="shared" si="21"/>
        <v>44995</v>
      </c>
      <c r="I346" s="140">
        <f>_xlfn.XLOOKUP(Table12[[#This Row],[Month Year]],'Modelling New'!D:D,'Modelling New'!N:N)</f>
        <v>10.507</v>
      </c>
      <c r="J346" s="50" t="e">
        <f>'Raw Data'!#REF!/J$1</f>
        <v>#REF!</v>
      </c>
      <c r="K346" s="50" t="e">
        <f>'Raw Data'!#REF!/K$1</f>
        <v>#REF!</v>
      </c>
      <c r="L346" s="50" t="e">
        <f>'Raw Data'!#REF!/L$1</f>
        <v>#REF!</v>
      </c>
      <c r="M346" s="50" t="e">
        <f>'Raw Data'!#REF!/M$1</f>
        <v>#REF!</v>
      </c>
      <c r="N346" s="50" t="e">
        <f>'Raw Data'!#REF!/N$1</f>
        <v>#REF!</v>
      </c>
      <c r="O346" s="50" t="e">
        <f>'Raw Data'!#REF!/O$1</f>
        <v>#REF!</v>
      </c>
      <c r="P346" s="50" t="str">
        <f t="shared" si="22"/>
        <v/>
      </c>
      <c r="Q346" s="50" t="e">
        <f t="shared" si="23"/>
        <v>#REF!</v>
      </c>
    </row>
    <row r="347" spans="1:17">
      <c r="A347" s="2" t="s">
        <v>208</v>
      </c>
      <c r="B347" s="44">
        <v>4</v>
      </c>
      <c r="C347" s="44">
        <v>2023</v>
      </c>
      <c r="D347" s="44" t="s">
        <v>209</v>
      </c>
      <c r="E347" s="44" t="s">
        <v>209</v>
      </c>
      <c r="F347" s="31">
        <v>44986</v>
      </c>
      <c r="G347" s="44">
        <f t="shared" si="24"/>
        <v>31</v>
      </c>
      <c r="H347" s="45">
        <f t="shared" si="21"/>
        <v>44996</v>
      </c>
      <c r="I347" s="139">
        <f>_xlfn.XLOOKUP(Table12[[#This Row],[Month Year]],'Modelling New'!D:D,'Modelling New'!N:N)</f>
        <v>10.507</v>
      </c>
      <c r="J347" s="50" t="e">
        <f>'Raw Data'!#REF!/J$1</f>
        <v>#REF!</v>
      </c>
      <c r="K347" s="50" t="e">
        <f>'Raw Data'!#REF!/K$1</f>
        <v>#REF!</v>
      </c>
      <c r="L347" s="50" t="e">
        <f>'Raw Data'!#REF!/L$1</f>
        <v>#REF!</v>
      </c>
      <c r="M347" s="50" t="e">
        <f>'Raw Data'!#REF!/M$1</f>
        <v>#REF!</v>
      </c>
      <c r="N347" s="50" t="e">
        <f>'Raw Data'!#REF!/N$1</f>
        <v>#REF!</v>
      </c>
      <c r="O347" s="50" t="e">
        <f>'Raw Data'!#REF!/O$1</f>
        <v>#REF!</v>
      </c>
      <c r="P347" s="50" t="str">
        <f t="shared" si="22"/>
        <v/>
      </c>
      <c r="Q347" s="50" t="e">
        <f t="shared" si="23"/>
        <v>#REF!</v>
      </c>
    </row>
    <row r="348" spans="1:17">
      <c r="A348" s="2" t="s">
        <v>208</v>
      </c>
      <c r="B348" s="46">
        <v>4</v>
      </c>
      <c r="C348" s="46">
        <v>2023</v>
      </c>
      <c r="D348" s="46" t="s">
        <v>209</v>
      </c>
      <c r="E348" s="46" t="s">
        <v>209</v>
      </c>
      <c r="F348" s="31">
        <v>44986</v>
      </c>
      <c r="G348" s="46">
        <f t="shared" si="24"/>
        <v>31</v>
      </c>
      <c r="H348" s="47">
        <f t="shared" si="21"/>
        <v>44997</v>
      </c>
      <c r="I348" s="140">
        <f>_xlfn.XLOOKUP(Table12[[#This Row],[Month Year]],'Modelling New'!D:D,'Modelling New'!N:N)</f>
        <v>10.507</v>
      </c>
      <c r="J348" s="50" t="e">
        <f>'Raw Data'!#REF!/J$1</f>
        <v>#REF!</v>
      </c>
      <c r="K348" s="50" t="e">
        <f>'Raw Data'!#REF!/K$1</f>
        <v>#REF!</v>
      </c>
      <c r="L348" s="50" t="e">
        <f>'Raw Data'!#REF!/L$1</f>
        <v>#REF!</v>
      </c>
      <c r="M348" s="50" t="e">
        <f>'Raw Data'!#REF!/M$1</f>
        <v>#REF!</v>
      </c>
      <c r="N348" s="50" t="e">
        <f>'Raw Data'!#REF!/N$1</f>
        <v>#REF!</v>
      </c>
      <c r="O348" s="50" t="e">
        <f>'Raw Data'!#REF!/O$1</f>
        <v>#REF!</v>
      </c>
      <c r="P348" s="50" t="str">
        <f t="shared" si="22"/>
        <v/>
      </c>
      <c r="Q348" s="50" t="e">
        <f t="shared" si="23"/>
        <v>#REF!</v>
      </c>
    </row>
    <row r="349" spans="1:17">
      <c r="A349" s="2" t="s">
        <v>208</v>
      </c>
      <c r="B349" s="44">
        <v>4</v>
      </c>
      <c r="C349" s="44">
        <v>2023</v>
      </c>
      <c r="D349" s="44" t="s">
        <v>209</v>
      </c>
      <c r="E349" s="44" t="s">
        <v>209</v>
      </c>
      <c r="F349" s="31">
        <v>44986</v>
      </c>
      <c r="G349" s="44">
        <f t="shared" si="24"/>
        <v>31</v>
      </c>
      <c r="H349" s="45">
        <f t="shared" si="21"/>
        <v>44998</v>
      </c>
      <c r="I349" s="139">
        <f>_xlfn.XLOOKUP(Table12[[#This Row],[Month Year]],'Modelling New'!D:D,'Modelling New'!N:N)</f>
        <v>10.507</v>
      </c>
      <c r="J349" s="50" t="e">
        <f>'Raw Data'!#REF!/J$1</f>
        <v>#REF!</v>
      </c>
      <c r="K349" s="50" t="e">
        <f>'Raw Data'!#REF!/K$1</f>
        <v>#REF!</v>
      </c>
      <c r="L349" s="50" t="e">
        <f>'Raw Data'!#REF!/L$1</f>
        <v>#REF!</v>
      </c>
      <c r="M349" s="50" t="e">
        <f>'Raw Data'!#REF!/M$1</f>
        <v>#REF!</v>
      </c>
      <c r="N349" s="50" t="e">
        <f>'Raw Data'!#REF!/N$1</f>
        <v>#REF!</v>
      </c>
      <c r="O349" s="50" t="e">
        <f>'Raw Data'!#REF!/O$1</f>
        <v>#REF!</v>
      </c>
      <c r="P349" s="50" t="str">
        <f t="shared" si="22"/>
        <v/>
      </c>
      <c r="Q349" s="50" t="e">
        <f t="shared" si="23"/>
        <v>#REF!</v>
      </c>
    </row>
    <row r="350" spans="1:17">
      <c r="A350" s="2" t="s">
        <v>208</v>
      </c>
      <c r="B350" s="46">
        <v>4</v>
      </c>
      <c r="C350" s="46">
        <v>2023</v>
      </c>
      <c r="D350" s="46" t="s">
        <v>209</v>
      </c>
      <c r="E350" s="46" t="s">
        <v>209</v>
      </c>
      <c r="F350" s="31">
        <v>44986</v>
      </c>
      <c r="G350" s="46">
        <f t="shared" si="24"/>
        <v>31</v>
      </c>
      <c r="H350" s="47">
        <f t="shared" si="21"/>
        <v>44999</v>
      </c>
      <c r="I350" s="140">
        <f>_xlfn.XLOOKUP(Table12[[#This Row],[Month Year]],'Modelling New'!D:D,'Modelling New'!N:N)</f>
        <v>10.507</v>
      </c>
      <c r="J350" s="50" t="e">
        <f>'Raw Data'!#REF!/J$1</f>
        <v>#REF!</v>
      </c>
      <c r="K350" s="50" t="e">
        <f>'Raw Data'!#REF!/K$1</f>
        <v>#REF!</v>
      </c>
      <c r="L350" s="50" t="e">
        <f>'Raw Data'!#REF!/L$1</f>
        <v>#REF!</v>
      </c>
      <c r="M350" s="50" t="e">
        <f>'Raw Data'!#REF!/M$1</f>
        <v>#REF!</v>
      </c>
      <c r="N350" s="50" t="e">
        <f>'Raw Data'!#REF!/N$1</f>
        <v>#REF!</v>
      </c>
      <c r="O350" s="50" t="e">
        <f>'Raw Data'!#REF!/O$1</f>
        <v>#REF!</v>
      </c>
      <c r="P350" s="50" t="str">
        <f t="shared" si="22"/>
        <v/>
      </c>
      <c r="Q350" s="50" t="e">
        <f t="shared" si="23"/>
        <v>#REF!</v>
      </c>
    </row>
    <row r="351" spans="1:17">
      <c r="A351" s="2" t="s">
        <v>208</v>
      </c>
      <c r="B351" s="44">
        <v>4</v>
      </c>
      <c r="C351" s="44">
        <v>2023</v>
      </c>
      <c r="D351" s="44" t="s">
        <v>209</v>
      </c>
      <c r="E351" s="44" t="s">
        <v>209</v>
      </c>
      <c r="F351" s="31">
        <v>44986</v>
      </c>
      <c r="G351" s="44">
        <f t="shared" si="24"/>
        <v>31</v>
      </c>
      <c r="H351" s="45">
        <f t="shared" si="21"/>
        <v>45000</v>
      </c>
      <c r="I351" s="139">
        <f>_xlfn.XLOOKUP(Table12[[#This Row],[Month Year]],'Modelling New'!D:D,'Modelling New'!N:N)</f>
        <v>10.507</v>
      </c>
      <c r="J351" s="50" t="e">
        <f>'Raw Data'!#REF!/J$1</f>
        <v>#REF!</v>
      </c>
      <c r="K351" s="50" t="e">
        <f>'Raw Data'!#REF!/K$1</f>
        <v>#REF!</v>
      </c>
      <c r="L351" s="50" t="e">
        <f>'Raw Data'!#REF!/L$1</f>
        <v>#REF!</v>
      </c>
      <c r="M351" s="50" t="e">
        <f>'Raw Data'!#REF!/M$1</f>
        <v>#REF!</v>
      </c>
      <c r="N351" s="50" t="e">
        <f>'Raw Data'!#REF!/N$1</f>
        <v>#REF!</v>
      </c>
      <c r="O351" s="50" t="e">
        <f>'Raw Data'!#REF!/O$1</f>
        <v>#REF!</v>
      </c>
      <c r="P351" s="50" t="str">
        <f t="shared" si="22"/>
        <v/>
      </c>
      <c r="Q351" s="50" t="e">
        <f t="shared" si="23"/>
        <v>#REF!</v>
      </c>
    </row>
    <row r="352" spans="1:17">
      <c r="A352" s="2" t="s">
        <v>208</v>
      </c>
      <c r="B352" s="46">
        <v>4</v>
      </c>
      <c r="C352" s="46">
        <v>2023</v>
      </c>
      <c r="D352" s="46" t="s">
        <v>209</v>
      </c>
      <c r="E352" s="46" t="s">
        <v>209</v>
      </c>
      <c r="F352" s="31">
        <v>44986</v>
      </c>
      <c r="G352" s="46">
        <f t="shared" si="24"/>
        <v>31</v>
      </c>
      <c r="H352" s="47">
        <f t="shared" si="21"/>
        <v>45001</v>
      </c>
      <c r="I352" s="140">
        <f>_xlfn.XLOOKUP(Table12[[#This Row],[Month Year]],'Modelling New'!D:D,'Modelling New'!N:N)</f>
        <v>10.507</v>
      </c>
      <c r="J352" s="50" t="e">
        <f>'Raw Data'!#REF!/J$1</f>
        <v>#REF!</v>
      </c>
      <c r="K352" s="50" t="e">
        <f>'Raw Data'!#REF!/K$1</f>
        <v>#REF!</v>
      </c>
      <c r="L352" s="50" t="e">
        <f>'Raw Data'!#REF!/L$1</f>
        <v>#REF!</v>
      </c>
      <c r="M352" s="50" t="e">
        <f>'Raw Data'!#REF!/M$1</f>
        <v>#REF!</v>
      </c>
      <c r="N352" s="50" t="e">
        <f>'Raw Data'!#REF!/N$1</f>
        <v>#REF!</v>
      </c>
      <c r="O352" s="50" t="e">
        <f>'Raw Data'!#REF!/O$1</f>
        <v>#REF!</v>
      </c>
      <c r="P352" s="50" t="str">
        <f t="shared" si="22"/>
        <v/>
      </c>
      <c r="Q352" s="50" t="e">
        <f t="shared" si="23"/>
        <v>#REF!</v>
      </c>
    </row>
    <row r="353" spans="1:17">
      <c r="A353" s="2" t="s">
        <v>208</v>
      </c>
      <c r="B353" s="44">
        <v>4</v>
      </c>
      <c r="C353" s="44">
        <v>2023</v>
      </c>
      <c r="D353" s="44" t="s">
        <v>209</v>
      </c>
      <c r="E353" s="44" t="s">
        <v>209</v>
      </c>
      <c r="F353" s="31">
        <v>44986</v>
      </c>
      <c r="G353" s="44">
        <f t="shared" si="24"/>
        <v>31</v>
      </c>
      <c r="H353" s="45">
        <f t="shared" si="21"/>
        <v>45002</v>
      </c>
      <c r="I353" s="139">
        <f>_xlfn.XLOOKUP(Table12[[#This Row],[Month Year]],'Modelling New'!D:D,'Modelling New'!N:N)</f>
        <v>10.507</v>
      </c>
      <c r="J353" s="50" t="e">
        <f>'Raw Data'!#REF!/J$1</f>
        <v>#REF!</v>
      </c>
      <c r="K353" s="50" t="e">
        <f>'Raw Data'!#REF!/K$1</f>
        <v>#REF!</v>
      </c>
      <c r="L353" s="50" t="e">
        <f>'Raw Data'!#REF!/L$1</f>
        <v>#REF!</v>
      </c>
      <c r="M353" s="50" t="e">
        <f>'Raw Data'!#REF!/M$1</f>
        <v>#REF!</v>
      </c>
      <c r="N353" s="50" t="e">
        <f>'Raw Data'!#REF!/N$1</f>
        <v>#REF!</v>
      </c>
      <c r="O353" s="50" t="e">
        <f>'Raw Data'!#REF!/O$1</f>
        <v>#REF!</v>
      </c>
      <c r="P353" s="50" t="str">
        <f t="shared" si="22"/>
        <v/>
      </c>
      <c r="Q353" s="50" t="e">
        <f t="shared" si="23"/>
        <v>#REF!</v>
      </c>
    </row>
    <row r="354" spans="1:17">
      <c r="A354" s="2" t="s">
        <v>208</v>
      </c>
      <c r="B354" s="46">
        <v>4</v>
      </c>
      <c r="C354" s="46">
        <v>2023</v>
      </c>
      <c r="D354" s="46" t="s">
        <v>209</v>
      </c>
      <c r="E354" s="46" t="s">
        <v>209</v>
      </c>
      <c r="F354" s="31">
        <v>44986</v>
      </c>
      <c r="G354" s="46">
        <f t="shared" si="24"/>
        <v>31</v>
      </c>
      <c r="H354" s="47">
        <f t="shared" ref="H354:H382" si="25">H353+1</f>
        <v>45003</v>
      </c>
      <c r="I354" s="140">
        <f>_xlfn.XLOOKUP(Table12[[#This Row],[Month Year]],'Modelling New'!D:D,'Modelling New'!N:N)</f>
        <v>10.507</v>
      </c>
      <c r="J354" s="50" t="e">
        <f>'Raw Data'!#REF!/J$1</f>
        <v>#REF!</v>
      </c>
      <c r="K354" s="50" t="e">
        <f>'Raw Data'!#REF!/K$1</f>
        <v>#REF!</v>
      </c>
      <c r="L354" s="50" t="e">
        <f>'Raw Data'!#REF!/L$1</f>
        <v>#REF!</v>
      </c>
      <c r="M354" s="50" t="e">
        <f>'Raw Data'!#REF!/M$1</f>
        <v>#REF!</v>
      </c>
      <c r="N354" s="50" t="e">
        <f>'Raw Data'!#REF!/N$1</f>
        <v>#REF!</v>
      </c>
      <c r="O354" s="50" t="e">
        <f>'Raw Data'!#REF!/O$1</f>
        <v>#REF!</v>
      </c>
      <c r="P354" s="50" t="str">
        <f t="shared" ref="P354:P367" si="26">IFERROR(AVERAGEIF(J354:O354,"&gt;"&amp;0,J354:O354),"")</f>
        <v/>
      </c>
      <c r="Q354" s="50" t="e">
        <f t="shared" ref="Q354:Q367" si="27">MAXA(J354:O354)</f>
        <v>#REF!</v>
      </c>
    </row>
    <row r="355" spans="1:17">
      <c r="A355" s="2" t="s">
        <v>208</v>
      </c>
      <c r="B355" s="44">
        <v>4</v>
      </c>
      <c r="C355" s="44">
        <v>2023</v>
      </c>
      <c r="D355" s="44" t="s">
        <v>209</v>
      </c>
      <c r="E355" s="44" t="s">
        <v>209</v>
      </c>
      <c r="F355" s="31">
        <v>44986</v>
      </c>
      <c r="G355" s="44">
        <f t="shared" si="24"/>
        <v>31</v>
      </c>
      <c r="H355" s="45">
        <f t="shared" si="25"/>
        <v>45004</v>
      </c>
      <c r="I355" s="139">
        <f>_xlfn.XLOOKUP(Table12[[#This Row],[Month Year]],'Modelling New'!D:D,'Modelling New'!N:N)</f>
        <v>10.507</v>
      </c>
      <c r="J355" s="50" t="e">
        <f>'Raw Data'!#REF!/J$1</f>
        <v>#REF!</v>
      </c>
      <c r="K355" s="50" t="e">
        <f>'Raw Data'!#REF!/K$1</f>
        <v>#REF!</v>
      </c>
      <c r="L355" s="50" t="e">
        <f>'Raw Data'!#REF!/L$1</f>
        <v>#REF!</v>
      </c>
      <c r="M355" s="50" t="e">
        <f>'Raw Data'!#REF!/M$1</f>
        <v>#REF!</v>
      </c>
      <c r="N355" s="50" t="e">
        <f>'Raw Data'!#REF!/N$1</f>
        <v>#REF!</v>
      </c>
      <c r="O355" s="50" t="e">
        <f>'Raw Data'!#REF!/O$1</f>
        <v>#REF!</v>
      </c>
      <c r="P355" s="50" t="str">
        <f t="shared" si="26"/>
        <v/>
      </c>
      <c r="Q355" s="50" t="e">
        <f t="shared" si="27"/>
        <v>#REF!</v>
      </c>
    </row>
    <row r="356" spans="1:17">
      <c r="A356" s="2" t="s">
        <v>208</v>
      </c>
      <c r="B356" s="46">
        <v>4</v>
      </c>
      <c r="C356" s="46">
        <v>2023</v>
      </c>
      <c r="D356" s="46" t="s">
        <v>209</v>
      </c>
      <c r="E356" s="46" t="s">
        <v>209</v>
      </c>
      <c r="F356" s="31">
        <v>44986</v>
      </c>
      <c r="G356" s="46">
        <f t="shared" si="24"/>
        <v>31</v>
      </c>
      <c r="H356" s="47">
        <f t="shared" si="25"/>
        <v>45005</v>
      </c>
      <c r="I356" s="140">
        <f>_xlfn.XLOOKUP(Table12[[#This Row],[Month Year]],'Modelling New'!D:D,'Modelling New'!N:N)</f>
        <v>10.507</v>
      </c>
      <c r="J356" s="50" t="e">
        <f>'Raw Data'!#REF!/J$1</f>
        <v>#REF!</v>
      </c>
      <c r="K356" s="50" t="e">
        <f>'Raw Data'!#REF!/K$1</f>
        <v>#REF!</v>
      </c>
      <c r="L356" s="50" t="e">
        <f>'Raw Data'!#REF!/L$1</f>
        <v>#REF!</v>
      </c>
      <c r="M356" s="50" t="e">
        <f>'Raw Data'!#REF!/M$1</f>
        <v>#REF!</v>
      </c>
      <c r="N356" s="50" t="e">
        <f>'Raw Data'!#REF!/N$1</f>
        <v>#REF!</v>
      </c>
      <c r="O356" s="50" t="e">
        <f>'Raw Data'!#REF!/O$1</f>
        <v>#REF!</v>
      </c>
      <c r="P356" s="50" t="str">
        <f t="shared" si="26"/>
        <v/>
      </c>
      <c r="Q356" s="50" t="e">
        <f t="shared" si="27"/>
        <v>#REF!</v>
      </c>
    </row>
    <row r="357" spans="1:17">
      <c r="A357" s="2" t="s">
        <v>208</v>
      </c>
      <c r="B357" s="44">
        <v>4</v>
      </c>
      <c r="C357" s="44">
        <v>2023</v>
      </c>
      <c r="D357" s="44" t="s">
        <v>209</v>
      </c>
      <c r="E357" s="44" t="s">
        <v>209</v>
      </c>
      <c r="F357" s="31">
        <v>44986</v>
      </c>
      <c r="G357" s="44">
        <f t="shared" si="24"/>
        <v>31</v>
      </c>
      <c r="H357" s="45">
        <f t="shared" si="25"/>
        <v>45006</v>
      </c>
      <c r="I357" s="139">
        <f>_xlfn.XLOOKUP(Table12[[#This Row],[Month Year]],'Modelling New'!D:D,'Modelling New'!N:N)</f>
        <v>10.507</v>
      </c>
      <c r="J357" s="50" t="e">
        <f>'Raw Data'!#REF!/J$1</f>
        <v>#REF!</v>
      </c>
      <c r="K357" s="50" t="e">
        <f>'Raw Data'!#REF!/K$1</f>
        <v>#REF!</v>
      </c>
      <c r="L357" s="50" t="e">
        <f>'Raw Data'!#REF!/L$1</f>
        <v>#REF!</v>
      </c>
      <c r="M357" s="50" t="e">
        <f>'Raw Data'!#REF!/M$1</f>
        <v>#REF!</v>
      </c>
      <c r="N357" s="50" t="e">
        <f>'Raw Data'!#REF!/N$1</f>
        <v>#REF!</v>
      </c>
      <c r="O357" s="50" t="e">
        <f>'Raw Data'!#REF!/O$1</f>
        <v>#REF!</v>
      </c>
      <c r="P357" s="50" t="str">
        <f t="shared" si="26"/>
        <v/>
      </c>
      <c r="Q357" s="50" t="e">
        <f t="shared" si="27"/>
        <v>#REF!</v>
      </c>
    </row>
    <row r="358" spans="1:17">
      <c r="A358" s="2" t="s">
        <v>208</v>
      </c>
      <c r="B358" s="46">
        <v>4</v>
      </c>
      <c r="C358" s="46">
        <v>2023</v>
      </c>
      <c r="D358" s="46" t="s">
        <v>209</v>
      </c>
      <c r="E358" s="46" t="s">
        <v>209</v>
      </c>
      <c r="F358" s="31">
        <v>44986</v>
      </c>
      <c r="G358" s="46">
        <f t="shared" si="24"/>
        <v>31</v>
      </c>
      <c r="H358" s="47">
        <f t="shared" si="25"/>
        <v>45007</v>
      </c>
      <c r="I358" s="140">
        <f>_xlfn.XLOOKUP(Table12[[#This Row],[Month Year]],'Modelling New'!D:D,'Modelling New'!N:N)</f>
        <v>10.507</v>
      </c>
      <c r="J358" s="50" t="e">
        <f>'Raw Data'!#REF!/J$1</f>
        <v>#REF!</v>
      </c>
      <c r="K358" s="50" t="e">
        <f>'Raw Data'!#REF!/K$1</f>
        <v>#REF!</v>
      </c>
      <c r="L358" s="50" t="e">
        <f>'Raw Data'!#REF!/L$1</f>
        <v>#REF!</v>
      </c>
      <c r="M358" s="50" t="e">
        <f>'Raw Data'!#REF!/M$1</f>
        <v>#REF!</v>
      </c>
      <c r="N358" s="50" t="e">
        <f>'Raw Data'!#REF!/N$1</f>
        <v>#REF!</v>
      </c>
      <c r="O358" s="50" t="e">
        <f>'Raw Data'!#REF!/O$1</f>
        <v>#REF!</v>
      </c>
      <c r="P358" s="50" t="str">
        <f t="shared" si="26"/>
        <v/>
      </c>
      <c r="Q358" s="50" t="e">
        <f t="shared" si="27"/>
        <v>#REF!</v>
      </c>
    </row>
    <row r="359" spans="1:17">
      <c r="A359" s="2" t="s">
        <v>208</v>
      </c>
      <c r="B359" s="44">
        <v>4</v>
      </c>
      <c r="C359" s="44">
        <v>2023</v>
      </c>
      <c r="D359" s="44" t="s">
        <v>209</v>
      </c>
      <c r="E359" s="44" t="s">
        <v>209</v>
      </c>
      <c r="F359" s="31">
        <v>44986</v>
      </c>
      <c r="G359" s="44">
        <f t="shared" si="24"/>
        <v>31</v>
      </c>
      <c r="H359" s="45">
        <f t="shared" si="25"/>
        <v>45008</v>
      </c>
      <c r="I359" s="139">
        <f>_xlfn.XLOOKUP(Table12[[#This Row],[Month Year]],'Modelling New'!D:D,'Modelling New'!N:N)</f>
        <v>10.507</v>
      </c>
      <c r="J359" s="50" t="e">
        <f>'Raw Data'!#REF!/J$1</f>
        <v>#REF!</v>
      </c>
      <c r="K359" s="50" t="e">
        <f>'Raw Data'!#REF!/K$1</f>
        <v>#REF!</v>
      </c>
      <c r="L359" s="50" t="e">
        <f>'Raw Data'!#REF!/L$1</f>
        <v>#REF!</v>
      </c>
      <c r="M359" s="50" t="e">
        <f>'Raw Data'!#REF!/M$1</f>
        <v>#REF!</v>
      </c>
      <c r="N359" s="50" t="e">
        <f>'Raw Data'!#REF!/N$1</f>
        <v>#REF!</v>
      </c>
      <c r="O359" s="50" t="e">
        <f>'Raw Data'!#REF!/O$1</f>
        <v>#REF!</v>
      </c>
      <c r="P359" s="50" t="str">
        <f t="shared" si="26"/>
        <v/>
      </c>
      <c r="Q359" s="50" t="e">
        <f t="shared" si="27"/>
        <v>#REF!</v>
      </c>
    </row>
    <row r="360" spans="1:17">
      <c r="A360" s="2" t="s">
        <v>208</v>
      </c>
      <c r="B360" s="46">
        <v>4</v>
      </c>
      <c r="C360" s="46">
        <v>2023</v>
      </c>
      <c r="D360" s="46" t="s">
        <v>209</v>
      </c>
      <c r="E360" s="46" t="s">
        <v>209</v>
      </c>
      <c r="F360" s="31">
        <v>44986</v>
      </c>
      <c r="G360" s="46">
        <f t="shared" si="24"/>
        <v>31</v>
      </c>
      <c r="H360" s="47">
        <f t="shared" si="25"/>
        <v>45009</v>
      </c>
      <c r="I360" s="140">
        <f>_xlfn.XLOOKUP(Table12[[#This Row],[Month Year]],'Modelling New'!D:D,'Modelling New'!N:N)</f>
        <v>10.507</v>
      </c>
      <c r="J360" s="50" t="e">
        <f>'Raw Data'!#REF!/J$1</f>
        <v>#REF!</v>
      </c>
      <c r="K360" s="50" t="e">
        <f>'Raw Data'!#REF!/K$1</f>
        <v>#REF!</v>
      </c>
      <c r="L360" s="50" t="e">
        <f>'Raw Data'!#REF!/L$1</f>
        <v>#REF!</v>
      </c>
      <c r="M360" s="50" t="e">
        <f>'Raw Data'!#REF!/M$1</f>
        <v>#REF!</v>
      </c>
      <c r="N360" s="50" t="e">
        <f>'Raw Data'!#REF!/N$1</f>
        <v>#REF!</v>
      </c>
      <c r="O360" s="50" t="e">
        <f>'Raw Data'!#REF!/O$1</f>
        <v>#REF!</v>
      </c>
      <c r="P360" s="50" t="str">
        <f t="shared" si="26"/>
        <v/>
      </c>
      <c r="Q360" s="50" t="e">
        <f t="shared" si="27"/>
        <v>#REF!</v>
      </c>
    </row>
    <row r="361" spans="1:17">
      <c r="A361" s="2" t="s">
        <v>208</v>
      </c>
      <c r="B361" s="44">
        <v>4</v>
      </c>
      <c r="C361" s="44">
        <v>2023</v>
      </c>
      <c r="D361" s="44" t="s">
        <v>209</v>
      </c>
      <c r="E361" s="44" t="s">
        <v>209</v>
      </c>
      <c r="F361" s="31">
        <v>44986</v>
      </c>
      <c r="G361" s="44">
        <f t="shared" si="24"/>
        <v>31</v>
      </c>
      <c r="H361" s="45">
        <f t="shared" si="25"/>
        <v>45010</v>
      </c>
      <c r="I361" s="139">
        <f>_xlfn.XLOOKUP(Table12[[#This Row],[Month Year]],'Modelling New'!D:D,'Modelling New'!N:N)</f>
        <v>10.507</v>
      </c>
      <c r="J361" s="50" t="e">
        <f>'Raw Data'!#REF!/J$1</f>
        <v>#REF!</v>
      </c>
      <c r="K361" s="50" t="e">
        <f>'Raw Data'!#REF!/K$1</f>
        <v>#REF!</v>
      </c>
      <c r="L361" s="50" t="e">
        <f>'Raw Data'!#REF!/L$1</f>
        <v>#REF!</v>
      </c>
      <c r="M361" s="50" t="e">
        <f>'Raw Data'!#REF!/M$1</f>
        <v>#REF!</v>
      </c>
      <c r="N361" s="50" t="e">
        <f>'Raw Data'!#REF!/N$1</f>
        <v>#REF!</v>
      </c>
      <c r="O361" s="50" t="e">
        <f>'Raw Data'!#REF!/O$1</f>
        <v>#REF!</v>
      </c>
      <c r="P361" s="50" t="str">
        <f t="shared" si="26"/>
        <v/>
      </c>
      <c r="Q361" s="50" t="e">
        <f t="shared" si="27"/>
        <v>#REF!</v>
      </c>
    </row>
    <row r="362" spans="1:17">
      <c r="A362" s="2" t="s">
        <v>208</v>
      </c>
      <c r="B362" s="46">
        <v>4</v>
      </c>
      <c r="C362" s="46">
        <v>2023</v>
      </c>
      <c r="D362" s="46" t="s">
        <v>209</v>
      </c>
      <c r="E362" s="46" t="s">
        <v>209</v>
      </c>
      <c r="F362" s="31">
        <v>44986</v>
      </c>
      <c r="G362" s="46">
        <f t="shared" si="24"/>
        <v>31</v>
      </c>
      <c r="H362" s="47">
        <f t="shared" si="25"/>
        <v>45011</v>
      </c>
      <c r="I362" s="140">
        <f>_xlfn.XLOOKUP(Table12[[#This Row],[Month Year]],'Modelling New'!D:D,'Modelling New'!N:N)</f>
        <v>10.507</v>
      </c>
      <c r="J362" s="50" t="e">
        <f>'Raw Data'!#REF!/J$1</f>
        <v>#REF!</v>
      </c>
      <c r="K362" s="50" t="e">
        <f>'Raw Data'!#REF!/K$1</f>
        <v>#REF!</v>
      </c>
      <c r="L362" s="50" t="e">
        <f>'Raw Data'!#REF!/L$1</f>
        <v>#REF!</v>
      </c>
      <c r="M362" s="50" t="e">
        <f>'Raw Data'!#REF!/M$1</f>
        <v>#REF!</v>
      </c>
      <c r="N362" s="50" t="e">
        <f>'Raw Data'!#REF!/N$1</f>
        <v>#REF!</v>
      </c>
      <c r="O362" s="50" t="e">
        <f>'Raw Data'!#REF!/O$1</f>
        <v>#REF!</v>
      </c>
      <c r="P362" s="50" t="str">
        <f t="shared" si="26"/>
        <v/>
      </c>
      <c r="Q362" s="50" t="e">
        <f t="shared" si="27"/>
        <v>#REF!</v>
      </c>
    </row>
    <row r="363" spans="1:17">
      <c r="A363" s="2" t="s">
        <v>208</v>
      </c>
      <c r="B363" s="44">
        <v>4</v>
      </c>
      <c r="C363" s="44">
        <v>2023</v>
      </c>
      <c r="D363" s="44" t="s">
        <v>209</v>
      </c>
      <c r="E363" s="44" t="s">
        <v>209</v>
      </c>
      <c r="F363" s="31">
        <v>44986</v>
      </c>
      <c r="G363" s="44">
        <f t="shared" si="24"/>
        <v>31</v>
      </c>
      <c r="H363" s="45">
        <f t="shared" si="25"/>
        <v>45012</v>
      </c>
      <c r="I363" s="139">
        <f>_xlfn.XLOOKUP(Table12[[#This Row],[Month Year]],'Modelling New'!D:D,'Modelling New'!N:N)</f>
        <v>10.507</v>
      </c>
      <c r="J363" s="50" t="e">
        <f>'Raw Data'!#REF!/J$1</f>
        <v>#REF!</v>
      </c>
      <c r="K363" s="50" t="e">
        <f>'Raw Data'!#REF!/K$1</f>
        <v>#REF!</v>
      </c>
      <c r="L363" s="50" t="e">
        <f>'Raw Data'!#REF!/L$1</f>
        <v>#REF!</v>
      </c>
      <c r="M363" s="50" t="e">
        <f>'Raw Data'!#REF!/M$1</f>
        <v>#REF!</v>
      </c>
      <c r="N363" s="50" t="e">
        <f>'Raw Data'!#REF!/N$1</f>
        <v>#REF!</v>
      </c>
      <c r="O363" s="50" t="e">
        <f>'Raw Data'!#REF!/O$1</f>
        <v>#REF!</v>
      </c>
      <c r="P363" s="50" t="str">
        <f t="shared" si="26"/>
        <v/>
      </c>
      <c r="Q363" s="50" t="e">
        <f t="shared" si="27"/>
        <v>#REF!</v>
      </c>
    </row>
    <row r="364" spans="1:17">
      <c r="A364" s="2" t="s">
        <v>208</v>
      </c>
      <c r="B364" s="46">
        <v>4</v>
      </c>
      <c r="C364" s="46">
        <v>2023</v>
      </c>
      <c r="D364" s="46" t="s">
        <v>209</v>
      </c>
      <c r="E364" s="46" t="s">
        <v>209</v>
      </c>
      <c r="F364" s="31">
        <v>44986</v>
      </c>
      <c r="G364" s="46">
        <f t="shared" si="24"/>
        <v>31</v>
      </c>
      <c r="H364" s="47">
        <f t="shared" si="25"/>
        <v>45013</v>
      </c>
      <c r="I364" s="140">
        <f>_xlfn.XLOOKUP(Table12[[#This Row],[Month Year]],'Modelling New'!D:D,'Modelling New'!N:N)</f>
        <v>10.507</v>
      </c>
      <c r="J364" s="50" t="e">
        <f>'Raw Data'!#REF!/J$1</f>
        <v>#REF!</v>
      </c>
      <c r="K364" s="50" t="e">
        <f>'Raw Data'!#REF!/K$1</f>
        <v>#REF!</v>
      </c>
      <c r="L364" s="50" t="e">
        <f>'Raw Data'!#REF!/L$1</f>
        <v>#REF!</v>
      </c>
      <c r="M364" s="50" t="e">
        <f>'Raw Data'!#REF!/M$1</f>
        <v>#REF!</v>
      </c>
      <c r="N364" s="50" t="e">
        <f>'Raw Data'!#REF!/N$1</f>
        <v>#REF!</v>
      </c>
      <c r="O364" s="50" t="e">
        <f>'Raw Data'!#REF!/O$1</f>
        <v>#REF!</v>
      </c>
      <c r="P364" s="50" t="str">
        <f t="shared" si="26"/>
        <v/>
      </c>
      <c r="Q364" s="50" t="e">
        <f t="shared" si="27"/>
        <v>#REF!</v>
      </c>
    </row>
    <row r="365" spans="1:17">
      <c r="A365" s="2" t="s">
        <v>208</v>
      </c>
      <c r="B365" s="44">
        <v>4</v>
      </c>
      <c r="C365" s="44">
        <v>2023</v>
      </c>
      <c r="D365" s="44" t="s">
        <v>209</v>
      </c>
      <c r="E365" s="44" t="s">
        <v>209</v>
      </c>
      <c r="F365" s="31">
        <v>44986</v>
      </c>
      <c r="G365" s="44">
        <f t="shared" si="24"/>
        <v>31</v>
      </c>
      <c r="H365" s="45">
        <f t="shared" si="25"/>
        <v>45014</v>
      </c>
      <c r="I365" s="139">
        <f>_xlfn.XLOOKUP(Table12[[#This Row],[Month Year]],'Modelling New'!D:D,'Modelling New'!N:N)</f>
        <v>10.507</v>
      </c>
      <c r="J365" s="50" t="e">
        <f>'Raw Data'!#REF!/J$1</f>
        <v>#REF!</v>
      </c>
      <c r="K365" s="50" t="e">
        <f>'Raw Data'!#REF!/K$1</f>
        <v>#REF!</v>
      </c>
      <c r="L365" s="50" t="e">
        <f>'Raw Data'!#REF!/L$1</f>
        <v>#REF!</v>
      </c>
      <c r="M365" s="50" t="e">
        <f>'Raw Data'!#REF!/M$1</f>
        <v>#REF!</v>
      </c>
      <c r="N365" s="50" t="e">
        <f>'Raw Data'!#REF!/N$1</f>
        <v>#REF!</v>
      </c>
      <c r="O365" s="50" t="e">
        <f>'Raw Data'!#REF!/O$1</f>
        <v>#REF!</v>
      </c>
      <c r="P365" s="50" t="str">
        <f t="shared" si="26"/>
        <v/>
      </c>
      <c r="Q365" s="50" t="e">
        <f t="shared" si="27"/>
        <v>#REF!</v>
      </c>
    </row>
    <row r="366" spans="1:17">
      <c r="A366" s="2" t="s">
        <v>208</v>
      </c>
      <c r="B366" s="46">
        <v>4</v>
      </c>
      <c r="C366" s="46">
        <v>2023</v>
      </c>
      <c r="D366" s="46" t="s">
        <v>209</v>
      </c>
      <c r="E366" s="46" t="s">
        <v>209</v>
      </c>
      <c r="F366" s="31">
        <v>44986</v>
      </c>
      <c r="G366" s="46">
        <f t="shared" si="24"/>
        <v>31</v>
      </c>
      <c r="H366" s="47">
        <f t="shared" si="25"/>
        <v>45015</v>
      </c>
      <c r="I366" s="140">
        <f>_xlfn.XLOOKUP(Table12[[#This Row],[Month Year]],'Modelling New'!D:D,'Modelling New'!N:N)</f>
        <v>10.507</v>
      </c>
      <c r="J366" s="50" t="e">
        <f>'Raw Data'!#REF!/J$1</f>
        <v>#REF!</v>
      </c>
      <c r="K366" s="50" t="e">
        <f>'Raw Data'!#REF!/K$1</f>
        <v>#REF!</v>
      </c>
      <c r="L366" s="50" t="e">
        <f>'Raw Data'!#REF!/L$1</f>
        <v>#REF!</v>
      </c>
      <c r="M366" s="50" t="e">
        <f>'Raw Data'!#REF!/M$1</f>
        <v>#REF!</v>
      </c>
      <c r="N366" s="50" t="e">
        <f>'Raw Data'!#REF!/N$1</f>
        <v>#REF!</v>
      </c>
      <c r="O366" s="50" t="e">
        <f>'Raw Data'!#REF!/O$1</f>
        <v>#REF!</v>
      </c>
      <c r="P366" s="50" t="str">
        <f t="shared" si="26"/>
        <v/>
      </c>
      <c r="Q366" s="50" t="e">
        <f t="shared" si="27"/>
        <v>#REF!</v>
      </c>
    </row>
    <row r="367" spans="1:17">
      <c r="A367" s="2" t="s">
        <v>208</v>
      </c>
      <c r="B367" s="44">
        <v>4</v>
      </c>
      <c r="C367" s="44">
        <v>2023</v>
      </c>
      <c r="D367" s="44" t="s">
        <v>209</v>
      </c>
      <c r="E367" s="44" t="s">
        <v>209</v>
      </c>
      <c r="F367" s="31">
        <v>44986</v>
      </c>
      <c r="G367" s="44">
        <f t="shared" si="24"/>
        <v>31</v>
      </c>
      <c r="H367" s="45">
        <f t="shared" si="25"/>
        <v>45016</v>
      </c>
      <c r="I367" s="139">
        <f>_xlfn.XLOOKUP(Table12[[#This Row],[Month Year]],'Modelling New'!D:D,'Modelling New'!N:N)</f>
        <v>10.507</v>
      </c>
      <c r="J367" s="50" t="e">
        <f>'Raw Data'!#REF!/J$1</f>
        <v>#REF!</v>
      </c>
      <c r="K367" s="50" t="e">
        <f>'Raw Data'!#REF!/K$1</f>
        <v>#REF!</v>
      </c>
      <c r="L367" s="50" t="e">
        <f>'Raw Data'!#REF!/L$1</f>
        <v>#REF!</v>
      </c>
      <c r="M367" s="50" t="e">
        <f>'Raw Data'!#REF!/M$1</f>
        <v>#REF!</v>
      </c>
      <c r="N367" s="50" t="e">
        <f>'Raw Data'!#REF!/N$1</f>
        <v>#REF!</v>
      </c>
      <c r="O367" s="50" t="e">
        <f>'Raw Data'!#REF!/O$1</f>
        <v>#REF!</v>
      </c>
      <c r="P367" s="50" t="str">
        <f t="shared" si="26"/>
        <v/>
      </c>
      <c r="Q367" s="50" t="e">
        <f t="shared" si="27"/>
        <v>#REF!</v>
      </c>
    </row>
    <row r="368" spans="1:17">
      <c r="A368" s="2" t="s">
        <v>210</v>
      </c>
      <c r="B368" s="44">
        <v>4</v>
      </c>
      <c r="C368" s="44">
        <v>2023</v>
      </c>
      <c r="D368" s="44" t="s">
        <v>211</v>
      </c>
      <c r="E368" s="44" t="s">
        <v>211</v>
      </c>
      <c r="F368" s="31">
        <v>45017</v>
      </c>
      <c r="G368" s="44">
        <f t="shared" ref="G368:G382" si="28">DAY(EOMONTH(F368,0))</f>
        <v>30</v>
      </c>
      <c r="H368" s="45">
        <f t="shared" si="25"/>
        <v>45017</v>
      </c>
      <c r="I368" s="139">
        <f>_xlfn.XLOOKUP(Table12[[#This Row],[Month Year]],'Modelling New'!D:D,'Modelling New'!N:N)</f>
        <v>10.507</v>
      </c>
      <c r="J368" s="50" t="e">
        <f>'Raw Data'!#REF!/J$1</f>
        <v>#REF!</v>
      </c>
      <c r="K368" s="50" t="e">
        <f>'Raw Data'!#REF!/K$1</f>
        <v>#REF!</v>
      </c>
      <c r="L368" s="50" t="e">
        <f>'Raw Data'!#REF!/L$1</f>
        <v>#REF!</v>
      </c>
      <c r="M368" s="50" t="e">
        <f>'Raw Data'!#REF!/M$1</f>
        <v>#REF!</v>
      </c>
      <c r="N368" s="50" t="e">
        <f>'Raw Data'!#REF!/N$1</f>
        <v>#REF!</v>
      </c>
      <c r="O368" s="50" t="e">
        <f>'Raw Data'!#REF!/O$1</f>
        <v>#REF!</v>
      </c>
      <c r="P368" s="50" t="str">
        <f t="shared" ref="P368:P382" si="29">IFERROR(AVERAGEIF(J368:O368,"&gt;"&amp;0,J368:O368),"")</f>
        <v/>
      </c>
      <c r="Q368" s="50" t="e">
        <f t="shared" ref="Q368:Q382" si="30">MAXA(J368:O368)</f>
        <v>#REF!</v>
      </c>
    </row>
    <row r="369" spans="1:17">
      <c r="A369" s="2" t="s">
        <v>210</v>
      </c>
      <c r="B369" s="44">
        <v>4</v>
      </c>
      <c r="C369" s="44">
        <v>2023</v>
      </c>
      <c r="D369" s="44" t="s">
        <v>211</v>
      </c>
      <c r="E369" s="44" t="s">
        <v>211</v>
      </c>
      <c r="F369" s="31">
        <v>45017</v>
      </c>
      <c r="G369" s="44">
        <f t="shared" si="28"/>
        <v>30</v>
      </c>
      <c r="H369" s="45">
        <f t="shared" si="25"/>
        <v>45018</v>
      </c>
      <c r="I369" s="139">
        <f>_xlfn.XLOOKUP(Table12[[#This Row],[Month Year]],'Modelling New'!D:D,'Modelling New'!N:N)</f>
        <v>10.507</v>
      </c>
      <c r="J369" s="50" t="e">
        <f>'Raw Data'!#REF!/J$1</f>
        <v>#REF!</v>
      </c>
      <c r="K369" s="50" t="e">
        <f>'Raw Data'!#REF!/K$1</f>
        <v>#REF!</v>
      </c>
      <c r="L369" s="50" t="e">
        <f>'Raw Data'!#REF!/L$1</f>
        <v>#REF!</v>
      </c>
      <c r="M369" s="50" t="e">
        <f>'Raw Data'!#REF!/M$1</f>
        <v>#REF!</v>
      </c>
      <c r="N369" s="50" t="e">
        <f>'Raw Data'!#REF!/N$1</f>
        <v>#REF!</v>
      </c>
      <c r="O369" s="50" t="e">
        <f>'Raw Data'!#REF!/O$1</f>
        <v>#REF!</v>
      </c>
      <c r="P369" s="50" t="str">
        <f t="shared" si="29"/>
        <v/>
      </c>
      <c r="Q369" s="50" t="e">
        <f t="shared" si="30"/>
        <v>#REF!</v>
      </c>
    </row>
    <row r="370" spans="1:17">
      <c r="A370" s="2" t="s">
        <v>210</v>
      </c>
      <c r="B370" s="44">
        <v>4</v>
      </c>
      <c r="C370" s="44">
        <v>2023</v>
      </c>
      <c r="D370" s="44" t="s">
        <v>211</v>
      </c>
      <c r="E370" s="44" t="s">
        <v>211</v>
      </c>
      <c r="F370" s="31">
        <v>45017</v>
      </c>
      <c r="G370" s="44">
        <f t="shared" si="28"/>
        <v>30</v>
      </c>
      <c r="H370" s="45">
        <f t="shared" si="25"/>
        <v>45019</v>
      </c>
      <c r="I370" s="139">
        <f>_xlfn.XLOOKUP(Table12[[#This Row],[Month Year]],'Modelling New'!D:D,'Modelling New'!N:N)</f>
        <v>10.507</v>
      </c>
      <c r="J370" s="50" t="e">
        <f>'Raw Data'!#REF!/J$1</f>
        <v>#REF!</v>
      </c>
      <c r="K370" s="50" t="e">
        <f>'Raw Data'!#REF!/K$1</f>
        <v>#REF!</v>
      </c>
      <c r="L370" s="50" t="e">
        <f>'Raw Data'!#REF!/L$1</f>
        <v>#REF!</v>
      </c>
      <c r="M370" s="50" t="e">
        <f>'Raw Data'!#REF!/M$1</f>
        <v>#REF!</v>
      </c>
      <c r="N370" s="50" t="e">
        <f>'Raw Data'!#REF!/N$1</f>
        <v>#REF!</v>
      </c>
      <c r="O370" s="50" t="e">
        <f>'Raw Data'!#REF!/O$1</f>
        <v>#REF!</v>
      </c>
      <c r="P370" s="50" t="str">
        <f t="shared" si="29"/>
        <v/>
      </c>
      <c r="Q370" s="50" t="e">
        <f t="shared" si="30"/>
        <v>#REF!</v>
      </c>
    </row>
    <row r="371" spans="1:17">
      <c r="A371" s="2" t="s">
        <v>210</v>
      </c>
      <c r="B371" s="44">
        <v>4</v>
      </c>
      <c r="C371" s="44">
        <v>2023</v>
      </c>
      <c r="D371" s="44" t="s">
        <v>211</v>
      </c>
      <c r="E371" s="44" t="s">
        <v>211</v>
      </c>
      <c r="F371" s="31">
        <v>45017</v>
      </c>
      <c r="G371" s="44">
        <f t="shared" si="28"/>
        <v>30</v>
      </c>
      <c r="H371" s="45">
        <f t="shared" si="25"/>
        <v>45020</v>
      </c>
      <c r="I371" s="139">
        <f>_xlfn.XLOOKUP(Table12[[#This Row],[Month Year]],'Modelling New'!D:D,'Modelling New'!N:N)</f>
        <v>10.507</v>
      </c>
      <c r="J371" s="50" t="e">
        <f>'Raw Data'!#REF!/J$1</f>
        <v>#REF!</v>
      </c>
      <c r="K371" s="50" t="e">
        <f>'Raw Data'!#REF!/K$1</f>
        <v>#REF!</v>
      </c>
      <c r="L371" s="50" t="e">
        <f>'Raw Data'!#REF!/L$1</f>
        <v>#REF!</v>
      </c>
      <c r="M371" s="50" t="e">
        <f>'Raw Data'!#REF!/M$1</f>
        <v>#REF!</v>
      </c>
      <c r="N371" s="50" t="e">
        <f>'Raw Data'!#REF!/N$1</f>
        <v>#REF!</v>
      </c>
      <c r="O371" s="50" t="e">
        <f>'Raw Data'!#REF!/O$1</f>
        <v>#REF!</v>
      </c>
      <c r="P371" s="50" t="str">
        <f t="shared" si="29"/>
        <v/>
      </c>
      <c r="Q371" s="50" t="e">
        <f t="shared" si="30"/>
        <v>#REF!</v>
      </c>
    </row>
    <row r="372" spans="1:17">
      <c r="A372" s="2" t="s">
        <v>210</v>
      </c>
      <c r="B372" s="44">
        <v>4</v>
      </c>
      <c r="C372" s="44">
        <v>2023</v>
      </c>
      <c r="D372" s="44" t="s">
        <v>211</v>
      </c>
      <c r="E372" s="44" t="s">
        <v>211</v>
      </c>
      <c r="F372" s="31">
        <v>45017</v>
      </c>
      <c r="G372" s="44">
        <f t="shared" si="28"/>
        <v>30</v>
      </c>
      <c r="H372" s="45">
        <f t="shared" si="25"/>
        <v>45021</v>
      </c>
      <c r="I372" s="139">
        <f>_xlfn.XLOOKUP(Table12[[#This Row],[Month Year]],'Modelling New'!D:D,'Modelling New'!N:N)</f>
        <v>10.507</v>
      </c>
      <c r="J372" s="50" t="e">
        <f>'Raw Data'!#REF!/J$1</f>
        <v>#REF!</v>
      </c>
      <c r="K372" s="50" t="e">
        <f>'Raw Data'!#REF!/K$1</f>
        <v>#REF!</v>
      </c>
      <c r="L372" s="50" t="e">
        <f>'Raw Data'!#REF!/L$1</f>
        <v>#REF!</v>
      </c>
      <c r="M372" s="50" t="e">
        <f>'Raw Data'!#REF!/M$1</f>
        <v>#REF!</v>
      </c>
      <c r="N372" s="50" t="e">
        <f>'Raw Data'!#REF!/N$1</f>
        <v>#REF!</v>
      </c>
      <c r="O372" s="50" t="e">
        <f>'Raw Data'!#REF!/O$1</f>
        <v>#REF!</v>
      </c>
      <c r="P372" s="50" t="str">
        <f t="shared" si="29"/>
        <v/>
      </c>
      <c r="Q372" s="50" t="e">
        <f t="shared" si="30"/>
        <v>#REF!</v>
      </c>
    </row>
    <row r="373" spans="1:17">
      <c r="A373" s="2" t="s">
        <v>210</v>
      </c>
      <c r="B373" s="44">
        <v>4</v>
      </c>
      <c r="C373" s="44">
        <v>2023</v>
      </c>
      <c r="D373" s="44" t="s">
        <v>211</v>
      </c>
      <c r="E373" s="44" t="s">
        <v>211</v>
      </c>
      <c r="F373" s="31">
        <v>45017</v>
      </c>
      <c r="G373" s="44">
        <f t="shared" si="28"/>
        <v>30</v>
      </c>
      <c r="H373" s="45">
        <f t="shared" si="25"/>
        <v>45022</v>
      </c>
      <c r="I373" s="139">
        <f>_xlfn.XLOOKUP(Table12[[#This Row],[Month Year]],'Modelling New'!D:D,'Modelling New'!N:N)</f>
        <v>10.507</v>
      </c>
      <c r="J373" s="50" t="e">
        <f>'Raw Data'!#REF!/J$1</f>
        <v>#REF!</v>
      </c>
      <c r="K373" s="50" t="e">
        <f>'Raw Data'!#REF!/K$1</f>
        <v>#REF!</v>
      </c>
      <c r="L373" s="50" t="e">
        <f>'Raw Data'!#REF!/L$1</f>
        <v>#REF!</v>
      </c>
      <c r="M373" s="50" t="e">
        <f>'Raw Data'!#REF!/M$1</f>
        <v>#REF!</v>
      </c>
      <c r="N373" s="50" t="e">
        <f>'Raw Data'!#REF!/N$1</f>
        <v>#REF!</v>
      </c>
      <c r="O373" s="50" t="e">
        <f>'Raw Data'!#REF!/O$1</f>
        <v>#REF!</v>
      </c>
      <c r="P373" s="50" t="str">
        <f t="shared" si="29"/>
        <v/>
      </c>
      <c r="Q373" s="50" t="e">
        <f t="shared" si="30"/>
        <v>#REF!</v>
      </c>
    </row>
    <row r="374" spans="1:17">
      <c r="A374" s="2" t="s">
        <v>210</v>
      </c>
      <c r="B374" s="44">
        <v>4</v>
      </c>
      <c r="C374" s="44">
        <v>2023</v>
      </c>
      <c r="D374" s="44" t="s">
        <v>211</v>
      </c>
      <c r="E374" s="44" t="s">
        <v>211</v>
      </c>
      <c r="F374" s="31">
        <v>45017</v>
      </c>
      <c r="G374" s="44">
        <f t="shared" si="28"/>
        <v>30</v>
      </c>
      <c r="H374" s="45">
        <f t="shared" si="25"/>
        <v>45023</v>
      </c>
      <c r="I374" s="139">
        <f>_xlfn.XLOOKUP(Table12[[#This Row],[Month Year]],'Modelling New'!D:D,'Modelling New'!N:N)</f>
        <v>10.507</v>
      </c>
      <c r="J374" s="50" t="e">
        <f>'Raw Data'!#REF!/J$1</f>
        <v>#REF!</v>
      </c>
      <c r="K374" s="50" t="e">
        <f>'Raw Data'!#REF!/K$1</f>
        <v>#REF!</v>
      </c>
      <c r="L374" s="50" t="e">
        <f>'Raw Data'!#REF!/L$1</f>
        <v>#REF!</v>
      </c>
      <c r="M374" s="50" t="e">
        <f>'Raw Data'!#REF!/M$1</f>
        <v>#REF!</v>
      </c>
      <c r="N374" s="50" t="e">
        <f>'Raw Data'!#REF!/N$1</f>
        <v>#REF!</v>
      </c>
      <c r="O374" s="50" t="e">
        <f>'Raw Data'!#REF!/O$1</f>
        <v>#REF!</v>
      </c>
      <c r="P374" s="50" t="str">
        <f t="shared" si="29"/>
        <v/>
      </c>
      <c r="Q374" s="50" t="e">
        <f t="shared" si="30"/>
        <v>#REF!</v>
      </c>
    </row>
    <row r="375" spans="1:17">
      <c r="A375" s="2" t="s">
        <v>210</v>
      </c>
      <c r="B375" s="44">
        <v>4</v>
      </c>
      <c r="C375" s="44">
        <v>2023</v>
      </c>
      <c r="D375" s="44" t="s">
        <v>211</v>
      </c>
      <c r="E375" s="44" t="s">
        <v>211</v>
      </c>
      <c r="F375" s="31">
        <v>45017</v>
      </c>
      <c r="G375" s="44">
        <f t="shared" si="28"/>
        <v>30</v>
      </c>
      <c r="H375" s="45">
        <f t="shared" si="25"/>
        <v>45024</v>
      </c>
      <c r="I375" s="139">
        <f>_xlfn.XLOOKUP(Table12[[#This Row],[Month Year]],'Modelling New'!D:D,'Modelling New'!N:N)</f>
        <v>10.507</v>
      </c>
      <c r="J375" s="50" t="e">
        <f>'Raw Data'!#REF!/J$1</f>
        <v>#REF!</v>
      </c>
      <c r="K375" s="50" t="e">
        <f>'Raw Data'!#REF!/K$1</f>
        <v>#REF!</v>
      </c>
      <c r="L375" s="50" t="e">
        <f>'Raw Data'!#REF!/L$1</f>
        <v>#REF!</v>
      </c>
      <c r="M375" s="50" t="e">
        <f>'Raw Data'!#REF!/M$1</f>
        <v>#REF!</v>
      </c>
      <c r="N375" s="50" t="e">
        <f>'Raw Data'!#REF!/N$1</f>
        <v>#REF!</v>
      </c>
      <c r="O375" s="50" t="e">
        <f>'Raw Data'!#REF!/O$1</f>
        <v>#REF!</v>
      </c>
      <c r="P375" s="50" t="str">
        <f t="shared" si="29"/>
        <v/>
      </c>
      <c r="Q375" s="50" t="e">
        <f t="shared" si="30"/>
        <v>#REF!</v>
      </c>
    </row>
    <row r="376" spans="1:17">
      <c r="A376" s="2" t="s">
        <v>210</v>
      </c>
      <c r="B376" s="44">
        <v>4</v>
      </c>
      <c r="C376" s="44">
        <v>2023</v>
      </c>
      <c r="D376" s="44" t="s">
        <v>211</v>
      </c>
      <c r="E376" s="44" t="s">
        <v>211</v>
      </c>
      <c r="F376" s="31">
        <v>45017</v>
      </c>
      <c r="G376" s="44">
        <f t="shared" si="28"/>
        <v>30</v>
      </c>
      <c r="H376" s="45">
        <f t="shared" si="25"/>
        <v>45025</v>
      </c>
      <c r="I376" s="139">
        <f>_xlfn.XLOOKUP(Table12[[#This Row],[Month Year]],'Modelling New'!D:D,'Modelling New'!N:N)</f>
        <v>10.507</v>
      </c>
      <c r="J376" s="50" t="e">
        <f>'Raw Data'!#REF!/J$1</f>
        <v>#REF!</v>
      </c>
      <c r="K376" s="50" t="e">
        <f>'Raw Data'!#REF!/K$1</f>
        <v>#REF!</v>
      </c>
      <c r="L376" s="50" t="e">
        <f>'Raw Data'!#REF!/L$1</f>
        <v>#REF!</v>
      </c>
      <c r="M376" s="50" t="e">
        <f>'Raw Data'!#REF!/M$1</f>
        <v>#REF!</v>
      </c>
      <c r="N376" s="50" t="e">
        <f>'Raw Data'!#REF!/N$1</f>
        <v>#REF!</v>
      </c>
      <c r="O376" s="50" t="e">
        <f>'Raw Data'!#REF!/O$1</f>
        <v>#REF!</v>
      </c>
      <c r="P376" s="50" t="str">
        <f t="shared" si="29"/>
        <v/>
      </c>
      <c r="Q376" s="50" t="e">
        <f t="shared" si="30"/>
        <v>#REF!</v>
      </c>
    </row>
    <row r="377" spans="1:17">
      <c r="A377" s="2" t="s">
        <v>210</v>
      </c>
      <c r="B377" s="44">
        <v>4</v>
      </c>
      <c r="C377" s="44">
        <v>2023</v>
      </c>
      <c r="D377" s="44" t="s">
        <v>211</v>
      </c>
      <c r="E377" s="44" t="s">
        <v>211</v>
      </c>
      <c r="F377" s="31">
        <v>45017</v>
      </c>
      <c r="G377" s="44">
        <f t="shared" si="28"/>
        <v>30</v>
      </c>
      <c r="H377" s="45">
        <f t="shared" si="25"/>
        <v>45026</v>
      </c>
      <c r="I377" s="139">
        <f>_xlfn.XLOOKUP(Table12[[#This Row],[Month Year]],'Modelling New'!D:D,'Modelling New'!N:N)</f>
        <v>10.507</v>
      </c>
      <c r="J377" s="50" t="e">
        <f>'Raw Data'!#REF!/J$1</f>
        <v>#REF!</v>
      </c>
      <c r="K377" s="50" t="e">
        <f>'Raw Data'!#REF!/K$1</f>
        <v>#REF!</v>
      </c>
      <c r="L377" s="50" t="e">
        <f>'Raw Data'!#REF!/L$1</f>
        <v>#REF!</v>
      </c>
      <c r="M377" s="50" t="e">
        <f>'Raw Data'!#REF!/M$1</f>
        <v>#REF!</v>
      </c>
      <c r="N377" s="50" t="e">
        <f>'Raw Data'!#REF!/N$1</f>
        <v>#REF!</v>
      </c>
      <c r="O377" s="50" t="e">
        <f>'Raw Data'!#REF!/O$1</f>
        <v>#REF!</v>
      </c>
      <c r="P377" s="50" t="str">
        <f t="shared" si="29"/>
        <v/>
      </c>
      <c r="Q377" s="50" t="e">
        <f t="shared" si="30"/>
        <v>#REF!</v>
      </c>
    </row>
    <row r="378" spans="1:17">
      <c r="A378" s="2" t="s">
        <v>210</v>
      </c>
      <c r="B378" s="44">
        <v>4</v>
      </c>
      <c r="C378" s="44">
        <v>2023</v>
      </c>
      <c r="D378" s="44" t="s">
        <v>211</v>
      </c>
      <c r="E378" s="44" t="s">
        <v>211</v>
      </c>
      <c r="F378" s="31">
        <v>45017</v>
      </c>
      <c r="G378" s="44">
        <f t="shared" si="28"/>
        <v>30</v>
      </c>
      <c r="H378" s="45">
        <f t="shared" si="25"/>
        <v>45027</v>
      </c>
      <c r="I378" s="139">
        <f>_xlfn.XLOOKUP(Table12[[#This Row],[Month Year]],'Modelling New'!D:D,'Modelling New'!N:N)</f>
        <v>10.507</v>
      </c>
      <c r="J378" s="50" t="e">
        <f>'Raw Data'!#REF!/J$1</f>
        <v>#REF!</v>
      </c>
      <c r="K378" s="50" t="e">
        <f>'Raw Data'!#REF!/K$1</f>
        <v>#REF!</v>
      </c>
      <c r="L378" s="50" t="e">
        <f>'Raw Data'!#REF!/L$1</f>
        <v>#REF!</v>
      </c>
      <c r="M378" s="50" t="e">
        <f>'Raw Data'!#REF!/M$1</f>
        <v>#REF!</v>
      </c>
      <c r="N378" s="50" t="e">
        <f>'Raw Data'!#REF!/N$1</f>
        <v>#REF!</v>
      </c>
      <c r="O378" s="50" t="e">
        <f>'Raw Data'!#REF!/O$1</f>
        <v>#REF!</v>
      </c>
      <c r="P378" s="50" t="str">
        <f t="shared" si="29"/>
        <v/>
      </c>
      <c r="Q378" s="50" t="e">
        <f t="shared" si="30"/>
        <v>#REF!</v>
      </c>
    </row>
    <row r="379" spans="1:17">
      <c r="A379" s="2" t="s">
        <v>210</v>
      </c>
      <c r="B379" s="44">
        <v>4</v>
      </c>
      <c r="C379" s="44">
        <v>2023</v>
      </c>
      <c r="D379" s="44" t="s">
        <v>211</v>
      </c>
      <c r="E379" s="44" t="s">
        <v>211</v>
      </c>
      <c r="F379" s="31">
        <v>45017</v>
      </c>
      <c r="G379" s="44">
        <f t="shared" si="28"/>
        <v>30</v>
      </c>
      <c r="H379" s="45">
        <f t="shared" si="25"/>
        <v>45028</v>
      </c>
      <c r="I379" s="139">
        <f>_xlfn.XLOOKUP(Table12[[#This Row],[Month Year]],'Modelling New'!D:D,'Modelling New'!N:N)</f>
        <v>10.507</v>
      </c>
      <c r="J379" s="50" t="e">
        <f>'Raw Data'!#REF!/J$1</f>
        <v>#REF!</v>
      </c>
      <c r="K379" s="50" t="e">
        <f>'Raw Data'!#REF!/K$1</f>
        <v>#REF!</v>
      </c>
      <c r="L379" s="50" t="e">
        <f>'Raw Data'!#REF!/L$1</f>
        <v>#REF!</v>
      </c>
      <c r="M379" s="50" t="e">
        <f>'Raw Data'!#REF!/M$1</f>
        <v>#REF!</v>
      </c>
      <c r="N379" s="50" t="e">
        <f>'Raw Data'!#REF!/N$1</f>
        <v>#REF!</v>
      </c>
      <c r="O379" s="50" t="e">
        <f>'Raw Data'!#REF!/O$1</f>
        <v>#REF!</v>
      </c>
      <c r="P379" s="50" t="str">
        <f t="shared" si="29"/>
        <v/>
      </c>
      <c r="Q379" s="50" t="e">
        <f t="shared" si="30"/>
        <v>#REF!</v>
      </c>
    </row>
    <row r="380" spans="1:17">
      <c r="A380" s="2" t="s">
        <v>210</v>
      </c>
      <c r="B380" s="44">
        <v>4</v>
      </c>
      <c r="C380" s="44">
        <v>2023</v>
      </c>
      <c r="D380" s="44" t="s">
        <v>211</v>
      </c>
      <c r="E380" s="44" t="s">
        <v>211</v>
      </c>
      <c r="F380" s="31">
        <v>45017</v>
      </c>
      <c r="G380" s="44">
        <f t="shared" si="28"/>
        <v>30</v>
      </c>
      <c r="H380" s="45">
        <f t="shared" si="25"/>
        <v>45029</v>
      </c>
      <c r="I380" s="139">
        <f>_xlfn.XLOOKUP(Table12[[#This Row],[Month Year]],'Modelling New'!D:D,'Modelling New'!N:N)</f>
        <v>10.507</v>
      </c>
      <c r="J380" s="50" t="e">
        <f>'Raw Data'!#REF!/J$1</f>
        <v>#REF!</v>
      </c>
      <c r="K380" s="50" t="e">
        <f>'Raw Data'!#REF!/K$1</f>
        <v>#REF!</v>
      </c>
      <c r="L380" s="50" t="e">
        <f>'Raw Data'!#REF!/L$1</f>
        <v>#REF!</v>
      </c>
      <c r="M380" s="50" t="e">
        <f>'Raw Data'!#REF!/M$1</f>
        <v>#REF!</v>
      </c>
      <c r="N380" s="50" t="e">
        <f>'Raw Data'!#REF!/N$1</f>
        <v>#REF!</v>
      </c>
      <c r="O380" s="50" t="e">
        <f>'Raw Data'!#REF!/O$1</f>
        <v>#REF!</v>
      </c>
      <c r="P380" s="50" t="str">
        <f t="shared" si="29"/>
        <v/>
      </c>
      <c r="Q380" s="50" t="e">
        <f t="shared" si="30"/>
        <v>#REF!</v>
      </c>
    </row>
    <row r="381" spans="1:17">
      <c r="A381" s="2" t="s">
        <v>210</v>
      </c>
      <c r="B381" s="44">
        <v>4</v>
      </c>
      <c r="C381" s="44">
        <v>2023</v>
      </c>
      <c r="D381" s="44" t="s">
        <v>211</v>
      </c>
      <c r="E381" s="44" t="s">
        <v>211</v>
      </c>
      <c r="F381" s="31">
        <v>45017</v>
      </c>
      <c r="G381" s="44">
        <f t="shared" si="28"/>
        <v>30</v>
      </c>
      <c r="H381" s="45">
        <f t="shared" si="25"/>
        <v>45030</v>
      </c>
      <c r="I381" s="139">
        <f>_xlfn.XLOOKUP(Table12[[#This Row],[Month Year]],'Modelling New'!D:D,'Modelling New'!N:N)</f>
        <v>10.507</v>
      </c>
      <c r="J381" s="50" t="e">
        <f>'Raw Data'!#REF!/J$1</f>
        <v>#REF!</v>
      </c>
      <c r="K381" s="50" t="e">
        <f>'Raw Data'!#REF!/K$1</f>
        <v>#REF!</v>
      </c>
      <c r="L381" s="50" t="e">
        <f>'Raw Data'!#REF!/L$1</f>
        <v>#REF!</v>
      </c>
      <c r="M381" s="50" t="e">
        <f>'Raw Data'!#REF!/M$1</f>
        <v>#REF!</v>
      </c>
      <c r="N381" s="50" t="e">
        <f>'Raw Data'!#REF!/N$1</f>
        <v>#REF!</v>
      </c>
      <c r="O381" s="50" t="e">
        <f>'Raw Data'!#REF!/O$1</f>
        <v>#REF!</v>
      </c>
      <c r="P381" s="50" t="str">
        <f t="shared" si="29"/>
        <v/>
      </c>
      <c r="Q381" s="50" t="e">
        <f t="shared" si="30"/>
        <v>#REF!</v>
      </c>
    </row>
    <row r="382" spans="1:17">
      <c r="A382" s="2" t="s">
        <v>210</v>
      </c>
      <c r="B382" s="44">
        <v>4</v>
      </c>
      <c r="C382" s="44">
        <v>2023</v>
      </c>
      <c r="D382" s="44" t="s">
        <v>211</v>
      </c>
      <c r="E382" s="44" t="s">
        <v>211</v>
      </c>
      <c r="F382" s="31">
        <v>45017</v>
      </c>
      <c r="G382" s="44">
        <f t="shared" si="28"/>
        <v>30</v>
      </c>
      <c r="H382" s="45">
        <f t="shared" si="25"/>
        <v>45031</v>
      </c>
      <c r="I382" s="139">
        <f>_xlfn.XLOOKUP(Table12[[#This Row],[Month Year]],'Modelling New'!D:D,'Modelling New'!N:N)</f>
        <v>10.507</v>
      </c>
      <c r="J382" s="50" t="e">
        <f>'Raw Data'!#REF!/J$1</f>
        <v>#REF!</v>
      </c>
      <c r="K382" s="50" t="e">
        <f>'Raw Data'!#REF!/K$1</f>
        <v>#REF!</v>
      </c>
      <c r="L382" s="50" t="e">
        <f>'Raw Data'!#REF!/L$1</f>
        <v>#REF!</v>
      </c>
      <c r="M382" s="50" t="e">
        <f>'Raw Data'!#REF!/M$1</f>
        <v>#REF!</v>
      </c>
      <c r="N382" s="50" t="e">
        <f>'Raw Data'!#REF!/N$1</f>
        <v>#REF!</v>
      </c>
      <c r="O382" s="50" t="e">
        <f>'Raw Data'!#REF!/O$1</f>
        <v>#REF!</v>
      </c>
      <c r="P382" s="50" t="str">
        <f t="shared" si="29"/>
        <v/>
      </c>
      <c r="Q382" s="50" t="e">
        <f t="shared" si="30"/>
        <v>#REF!</v>
      </c>
    </row>
    <row r="383" spans="1:17">
      <c r="A383" s="2" t="s">
        <v>210</v>
      </c>
      <c r="B383" s="44">
        <v>4</v>
      </c>
      <c r="C383" s="44">
        <v>2023</v>
      </c>
      <c r="D383" s="44" t="s">
        <v>211</v>
      </c>
      <c r="E383" s="44" t="s">
        <v>211</v>
      </c>
      <c r="F383" s="31">
        <v>45017</v>
      </c>
      <c r="G383" s="101">
        <f t="shared" ref="G383:G387" si="31">DAY(EOMONTH(F383,0))</f>
        <v>30</v>
      </c>
      <c r="H383" s="103">
        <f t="shared" ref="H383:H440" si="32">H382+1</f>
        <v>45032</v>
      </c>
      <c r="I383" s="141">
        <f>_xlfn.XLOOKUP(Table12[[#This Row],[Month Year]],'Modelling New'!D:D,'Modelling New'!N:N)</f>
        <v>10.507</v>
      </c>
      <c r="J383" s="50" t="e">
        <f>'Raw Data'!#REF!/J$1</f>
        <v>#REF!</v>
      </c>
      <c r="K383" s="50" t="e">
        <f>'Raw Data'!#REF!/K$1</f>
        <v>#REF!</v>
      </c>
      <c r="L383" s="50" t="e">
        <f>'Raw Data'!#REF!/L$1</f>
        <v>#REF!</v>
      </c>
      <c r="M383" s="50" t="e">
        <f>'Raw Data'!#REF!/M$1</f>
        <v>#REF!</v>
      </c>
      <c r="N383" s="50" t="e">
        <f>'Raw Data'!#REF!/N$1</f>
        <v>#REF!</v>
      </c>
      <c r="O383" s="50" t="e">
        <f>'Raw Data'!#REF!/O$1</f>
        <v>#REF!</v>
      </c>
      <c r="P383" s="50" t="str">
        <f t="shared" ref="P383:P387" si="33">IFERROR(AVERAGEIF(J383:O383,"&gt;"&amp;0,J383:O383),"")</f>
        <v/>
      </c>
      <c r="Q383" s="50" t="e">
        <f t="shared" ref="Q383:Q387" si="34">MAXA(J383:O383)</f>
        <v>#REF!</v>
      </c>
    </row>
    <row r="384" spans="1:17">
      <c r="A384" s="2" t="s">
        <v>210</v>
      </c>
      <c r="B384" s="44">
        <v>4</v>
      </c>
      <c r="C384" s="44">
        <v>2023</v>
      </c>
      <c r="D384" s="44" t="s">
        <v>211</v>
      </c>
      <c r="E384" s="44" t="s">
        <v>211</v>
      </c>
      <c r="F384" s="31">
        <v>45017</v>
      </c>
      <c r="G384" s="101">
        <f t="shared" si="31"/>
        <v>30</v>
      </c>
      <c r="H384" s="103">
        <f t="shared" si="32"/>
        <v>45033</v>
      </c>
      <c r="I384" s="141">
        <f>_xlfn.XLOOKUP(Table12[[#This Row],[Month Year]],'Modelling New'!D:D,'Modelling New'!N:N)</f>
        <v>10.507</v>
      </c>
      <c r="J384" s="50" t="e">
        <f>'Raw Data'!#REF!/J$1</f>
        <v>#REF!</v>
      </c>
      <c r="K384" s="50" t="e">
        <f>'Raw Data'!#REF!/K$1</f>
        <v>#REF!</v>
      </c>
      <c r="L384" s="50" t="e">
        <f>'Raw Data'!#REF!/L$1</f>
        <v>#REF!</v>
      </c>
      <c r="M384" s="50" t="e">
        <f>'Raw Data'!#REF!/M$1</f>
        <v>#REF!</v>
      </c>
      <c r="N384" s="50" t="e">
        <f>'Raw Data'!#REF!/N$1</f>
        <v>#REF!</v>
      </c>
      <c r="O384" s="50" t="e">
        <f>'Raw Data'!#REF!/O$1</f>
        <v>#REF!</v>
      </c>
      <c r="P384" s="50" t="str">
        <f t="shared" si="33"/>
        <v/>
      </c>
      <c r="Q384" s="50" t="e">
        <f t="shared" si="34"/>
        <v>#REF!</v>
      </c>
    </row>
    <row r="385" spans="1:17">
      <c r="A385" s="2" t="s">
        <v>210</v>
      </c>
      <c r="B385" s="44">
        <v>4</v>
      </c>
      <c r="C385" s="44">
        <v>2023</v>
      </c>
      <c r="D385" s="44" t="s">
        <v>211</v>
      </c>
      <c r="E385" s="44" t="s">
        <v>211</v>
      </c>
      <c r="F385" s="31">
        <v>45017</v>
      </c>
      <c r="G385" s="101">
        <f t="shared" si="31"/>
        <v>30</v>
      </c>
      <c r="H385" s="103">
        <f t="shared" si="32"/>
        <v>45034</v>
      </c>
      <c r="I385" s="141">
        <f>_xlfn.XLOOKUP(Table12[[#This Row],[Month Year]],'Modelling New'!D:D,'Modelling New'!N:N)</f>
        <v>10.507</v>
      </c>
      <c r="J385" s="50" t="e">
        <f>'Raw Data'!#REF!/J$1</f>
        <v>#REF!</v>
      </c>
      <c r="K385" s="50" t="e">
        <f>'Raw Data'!#REF!/K$1</f>
        <v>#REF!</v>
      </c>
      <c r="L385" s="50" t="e">
        <f>'Raw Data'!#REF!/L$1</f>
        <v>#REF!</v>
      </c>
      <c r="M385" s="50" t="e">
        <f>'Raw Data'!#REF!/M$1</f>
        <v>#REF!</v>
      </c>
      <c r="N385" s="50" t="e">
        <f>'Raw Data'!#REF!/N$1</f>
        <v>#REF!</v>
      </c>
      <c r="O385" s="50" t="e">
        <f>'Raw Data'!#REF!/O$1</f>
        <v>#REF!</v>
      </c>
      <c r="P385" s="50" t="str">
        <f t="shared" si="33"/>
        <v/>
      </c>
      <c r="Q385" s="50" t="e">
        <f t="shared" si="34"/>
        <v>#REF!</v>
      </c>
    </row>
    <row r="386" spans="1:17">
      <c r="A386" s="2" t="s">
        <v>210</v>
      </c>
      <c r="B386" s="44">
        <v>4</v>
      </c>
      <c r="C386" s="44">
        <v>2023</v>
      </c>
      <c r="D386" s="44" t="s">
        <v>211</v>
      </c>
      <c r="E386" s="44" t="s">
        <v>211</v>
      </c>
      <c r="F386" s="31">
        <v>45017</v>
      </c>
      <c r="G386" s="101">
        <f t="shared" si="31"/>
        <v>30</v>
      </c>
      <c r="H386" s="103">
        <f t="shared" si="32"/>
        <v>45035</v>
      </c>
      <c r="I386" s="141">
        <f>_xlfn.XLOOKUP(Table12[[#This Row],[Month Year]],'Modelling New'!D:D,'Modelling New'!N:N)</f>
        <v>10.507</v>
      </c>
      <c r="J386" s="50" t="e">
        <f>'Raw Data'!#REF!/J$1</f>
        <v>#REF!</v>
      </c>
      <c r="K386" s="50" t="e">
        <f>'Raw Data'!#REF!/K$1</f>
        <v>#REF!</v>
      </c>
      <c r="L386" s="50" t="e">
        <f>'Raw Data'!#REF!/L$1</f>
        <v>#REF!</v>
      </c>
      <c r="M386" s="50" t="e">
        <f>'Raw Data'!#REF!/M$1</f>
        <v>#REF!</v>
      </c>
      <c r="N386" s="50" t="e">
        <f>'Raw Data'!#REF!/N$1</f>
        <v>#REF!</v>
      </c>
      <c r="O386" s="50" t="e">
        <f>'Raw Data'!#REF!/O$1</f>
        <v>#REF!</v>
      </c>
      <c r="P386" s="50" t="str">
        <f t="shared" si="33"/>
        <v/>
      </c>
      <c r="Q386" s="50" t="e">
        <f t="shared" si="34"/>
        <v>#REF!</v>
      </c>
    </row>
    <row r="387" spans="1:17">
      <c r="A387" s="2" t="s">
        <v>210</v>
      </c>
      <c r="B387" s="44">
        <v>4</v>
      </c>
      <c r="C387" s="44">
        <v>2023</v>
      </c>
      <c r="D387" s="44" t="s">
        <v>211</v>
      </c>
      <c r="E387" s="44" t="s">
        <v>211</v>
      </c>
      <c r="F387" s="31">
        <v>45017</v>
      </c>
      <c r="G387" s="101">
        <f t="shared" si="31"/>
        <v>30</v>
      </c>
      <c r="H387" s="103">
        <f t="shared" si="32"/>
        <v>45036</v>
      </c>
      <c r="I387" s="141">
        <f>_xlfn.XLOOKUP(Table12[[#This Row],[Month Year]],'Modelling New'!D:D,'Modelling New'!N:N)</f>
        <v>10.507</v>
      </c>
      <c r="J387" s="50" t="e">
        <f>'Raw Data'!#REF!/J$1</f>
        <v>#REF!</v>
      </c>
      <c r="K387" s="50" t="e">
        <f>'Raw Data'!#REF!/K$1</f>
        <v>#REF!</v>
      </c>
      <c r="L387" s="50" t="e">
        <f>'Raw Data'!#REF!/L$1</f>
        <v>#REF!</v>
      </c>
      <c r="M387" s="50" t="e">
        <f>'Raw Data'!#REF!/M$1</f>
        <v>#REF!</v>
      </c>
      <c r="N387" s="50" t="e">
        <f>'Raw Data'!#REF!/N$1</f>
        <v>#REF!</v>
      </c>
      <c r="O387" s="50" t="e">
        <f>'Raw Data'!#REF!/O$1</f>
        <v>#REF!</v>
      </c>
      <c r="P387" s="50" t="str">
        <f t="shared" si="33"/>
        <v/>
      </c>
      <c r="Q387" s="50" t="e">
        <f t="shared" si="34"/>
        <v>#REF!</v>
      </c>
    </row>
    <row r="388" spans="1:17">
      <c r="A388" s="2" t="s">
        <v>210</v>
      </c>
      <c r="B388" s="44">
        <v>4</v>
      </c>
      <c r="C388" s="44">
        <v>2023</v>
      </c>
      <c r="D388" s="44" t="s">
        <v>211</v>
      </c>
      <c r="E388" s="44" t="s">
        <v>211</v>
      </c>
      <c r="F388" s="31">
        <v>45017</v>
      </c>
      <c r="G388" s="101">
        <f t="shared" ref="G388:G395" si="35">DAY(EOMONTH(F388,0))</f>
        <v>30</v>
      </c>
      <c r="H388" s="103">
        <f t="shared" si="32"/>
        <v>45037</v>
      </c>
      <c r="I388" s="141">
        <f>_xlfn.XLOOKUP(Table12[[#This Row],[Month Year]],'Modelling New'!D:D,'Modelling New'!N:N)</f>
        <v>10.507</v>
      </c>
      <c r="J388" s="50" t="e">
        <f>'Raw Data'!#REF!/J$1</f>
        <v>#REF!</v>
      </c>
      <c r="K388" s="50" t="e">
        <f>'Raw Data'!#REF!/K$1</f>
        <v>#REF!</v>
      </c>
      <c r="L388" s="50" t="e">
        <f>'Raw Data'!#REF!/L$1</f>
        <v>#REF!</v>
      </c>
      <c r="M388" s="50" t="e">
        <f>'Raw Data'!#REF!/M$1</f>
        <v>#REF!</v>
      </c>
      <c r="N388" s="50" t="e">
        <f>'Raw Data'!#REF!/N$1</f>
        <v>#REF!</v>
      </c>
      <c r="O388" s="50" t="e">
        <f>'Raw Data'!#REF!/O$1</f>
        <v>#REF!</v>
      </c>
      <c r="P388" s="50" t="str">
        <f t="shared" ref="P388:P395" si="36">IFERROR(AVERAGEIF(J388:O388,"&gt;"&amp;0,J388:O388),"")</f>
        <v/>
      </c>
      <c r="Q388" s="50" t="e">
        <f t="shared" ref="Q388:Q395" si="37">MAXA(J388:O388)</f>
        <v>#REF!</v>
      </c>
    </row>
    <row r="389" spans="1:17">
      <c r="A389" s="2" t="s">
        <v>210</v>
      </c>
      <c r="B389" s="44">
        <v>4</v>
      </c>
      <c r="C389" s="44">
        <v>2023</v>
      </c>
      <c r="D389" s="44" t="s">
        <v>211</v>
      </c>
      <c r="E389" s="44" t="s">
        <v>211</v>
      </c>
      <c r="F389" s="31">
        <v>45017</v>
      </c>
      <c r="G389" s="101">
        <f t="shared" si="35"/>
        <v>30</v>
      </c>
      <c r="H389" s="103">
        <f t="shared" si="32"/>
        <v>45038</v>
      </c>
      <c r="I389" s="141">
        <f>_xlfn.XLOOKUP(Table12[[#This Row],[Month Year]],'Modelling New'!D:D,'Modelling New'!N:N)</f>
        <v>10.507</v>
      </c>
      <c r="J389" s="50" t="e">
        <f>'Raw Data'!#REF!/J$1</f>
        <v>#REF!</v>
      </c>
      <c r="K389" s="50" t="e">
        <f>'Raw Data'!#REF!/K$1</f>
        <v>#REF!</v>
      </c>
      <c r="L389" s="50" t="e">
        <f>'Raw Data'!#REF!/L$1</f>
        <v>#REF!</v>
      </c>
      <c r="M389" s="50" t="e">
        <f>'Raw Data'!#REF!/M$1</f>
        <v>#REF!</v>
      </c>
      <c r="N389" s="50" t="e">
        <f>'Raw Data'!#REF!/N$1</f>
        <v>#REF!</v>
      </c>
      <c r="O389" s="50" t="e">
        <f>'Raw Data'!#REF!/O$1</f>
        <v>#REF!</v>
      </c>
      <c r="P389" s="50" t="str">
        <f t="shared" si="36"/>
        <v/>
      </c>
      <c r="Q389" s="50" t="e">
        <f t="shared" si="37"/>
        <v>#REF!</v>
      </c>
    </row>
    <row r="390" spans="1:17">
      <c r="A390" s="2" t="s">
        <v>210</v>
      </c>
      <c r="B390" s="44">
        <v>4</v>
      </c>
      <c r="C390" s="44">
        <v>2023</v>
      </c>
      <c r="D390" s="44" t="s">
        <v>211</v>
      </c>
      <c r="E390" s="44" t="s">
        <v>211</v>
      </c>
      <c r="F390" s="31">
        <v>45017</v>
      </c>
      <c r="G390" s="101">
        <f t="shared" si="35"/>
        <v>30</v>
      </c>
      <c r="H390" s="103">
        <f t="shared" si="32"/>
        <v>45039</v>
      </c>
      <c r="I390" s="141">
        <f>_xlfn.XLOOKUP(Table12[[#This Row],[Month Year]],'Modelling New'!D:D,'Modelling New'!N:N)</f>
        <v>10.507</v>
      </c>
      <c r="J390" s="50" t="e">
        <f>'Raw Data'!#REF!/J$1</f>
        <v>#REF!</v>
      </c>
      <c r="K390" s="50" t="e">
        <f>'Raw Data'!#REF!/K$1</f>
        <v>#REF!</v>
      </c>
      <c r="L390" s="50" t="e">
        <f>'Raw Data'!#REF!/L$1</f>
        <v>#REF!</v>
      </c>
      <c r="M390" s="50" t="e">
        <f>'Raw Data'!#REF!/M$1</f>
        <v>#REF!</v>
      </c>
      <c r="N390" s="50" t="e">
        <f>'Raw Data'!#REF!/N$1</f>
        <v>#REF!</v>
      </c>
      <c r="O390" s="50" t="e">
        <f>'Raw Data'!#REF!/O$1</f>
        <v>#REF!</v>
      </c>
      <c r="P390" s="50" t="str">
        <f t="shared" si="36"/>
        <v/>
      </c>
      <c r="Q390" s="50" t="e">
        <f t="shared" si="37"/>
        <v>#REF!</v>
      </c>
    </row>
    <row r="391" spans="1:17">
      <c r="A391" s="2" t="s">
        <v>210</v>
      </c>
      <c r="B391" s="44">
        <v>4</v>
      </c>
      <c r="C391" s="44">
        <v>2023</v>
      </c>
      <c r="D391" s="44" t="s">
        <v>211</v>
      </c>
      <c r="E391" s="44" t="s">
        <v>211</v>
      </c>
      <c r="F391" s="31">
        <v>45017</v>
      </c>
      <c r="G391" s="101">
        <f t="shared" si="35"/>
        <v>30</v>
      </c>
      <c r="H391" s="103">
        <f t="shared" si="32"/>
        <v>45040</v>
      </c>
      <c r="I391" s="141">
        <f>_xlfn.XLOOKUP(Table12[[#This Row],[Month Year]],'Modelling New'!D:D,'Modelling New'!N:N)</f>
        <v>10.507</v>
      </c>
      <c r="J391" s="50" t="e">
        <f>'Raw Data'!#REF!/J$1</f>
        <v>#REF!</v>
      </c>
      <c r="K391" s="50" t="e">
        <f>'Raw Data'!#REF!/K$1</f>
        <v>#REF!</v>
      </c>
      <c r="L391" s="50" t="e">
        <f>'Raw Data'!#REF!/L$1</f>
        <v>#REF!</v>
      </c>
      <c r="M391" s="50" t="e">
        <f>'Raw Data'!#REF!/M$1</f>
        <v>#REF!</v>
      </c>
      <c r="N391" s="50" t="e">
        <f>'Raw Data'!#REF!/N$1</f>
        <v>#REF!</v>
      </c>
      <c r="O391" s="50" t="e">
        <f>'Raw Data'!#REF!/O$1</f>
        <v>#REF!</v>
      </c>
      <c r="P391" s="50" t="str">
        <f t="shared" si="36"/>
        <v/>
      </c>
      <c r="Q391" s="50" t="e">
        <f t="shared" si="37"/>
        <v>#REF!</v>
      </c>
    </row>
    <row r="392" spans="1:17">
      <c r="A392" s="2" t="s">
        <v>210</v>
      </c>
      <c r="B392" s="44">
        <v>4</v>
      </c>
      <c r="C392" s="44">
        <v>2023</v>
      </c>
      <c r="D392" s="44" t="s">
        <v>211</v>
      </c>
      <c r="E392" s="44" t="s">
        <v>211</v>
      </c>
      <c r="F392" s="31">
        <v>45017</v>
      </c>
      <c r="G392" s="101">
        <f t="shared" si="35"/>
        <v>30</v>
      </c>
      <c r="H392" s="103">
        <f t="shared" si="32"/>
        <v>45041</v>
      </c>
      <c r="I392" s="141">
        <f>_xlfn.XLOOKUP(Table12[[#This Row],[Month Year]],'Modelling New'!D:D,'Modelling New'!N:N)</f>
        <v>10.507</v>
      </c>
      <c r="J392" s="50" t="e">
        <f>'Raw Data'!#REF!/J$1</f>
        <v>#REF!</v>
      </c>
      <c r="K392" s="50" t="e">
        <f>'Raw Data'!#REF!/K$1</f>
        <v>#REF!</v>
      </c>
      <c r="L392" s="50" t="e">
        <f>'Raw Data'!#REF!/L$1</f>
        <v>#REF!</v>
      </c>
      <c r="M392" s="50" t="e">
        <f>'Raw Data'!#REF!/M$1</f>
        <v>#REF!</v>
      </c>
      <c r="N392" s="50" t="e">
        <f>'Raw Data'!#REF!/N$1</f>
        <v>#REF!</v>
      </c>
      <c r="O392" s="50" t="e">
        <f>'Raw Data'!#REF!/O$1</f>
        <v>#REF!</v>
      </c>
      <c r="P392" s="50" t="str">
        <f t="shared" si="36"/>
        <v/>
      </c>
      <c r="Q392" s="50" t="e">
        <f t="shared" si="37"/>
        <v>#REF!</v>
      </c>
    </row>
    <row r="393" spans="1:17">
      <c r="A393" s="2" t="s">
        <v>210</v>
      </c>
      <c r="B393" s="44">
        <v>4</v>
      </c>
      <c r="C393" s="44">
        <v>2023</v>
      </c>
      <c r="D393" s="44" t="s">
        <v>211</v>
      </c>
      <c r="E393" s="44" t="s">
        <v>211</v>
      </c>
      <c r="F393" s="31">
        <v>45017</v>
      </c>
      <c r="G393" s="101">
        <f t="shared" si="35"/>
        <v>30</v>
      </c>
      <c r="H393" s="103">
        <f t="shared" si="32"/>
        <v>45042</v>
      </c>
      <c r="I393" s="141">
        <f>_xlfn.XLOOKUP(Table12[[#This Row],[Month Year]],'Modelling New'!D:D,'Modelling New'!N:N)</f>
        <v>10.507</v>
      </c>
      <c r="J393" s="50" t="e">
        <f>'Raw Data'!#REF!/J$1</f>
        <v>#REF!</v>
      </c>
      <c r="K393" s="50" t="e">
        <f>'Raw Data'!#REF!/K$1</f>
        <v>#REF!</v>
      </c>
      <c r="L393" s="50" t="e">
        <f>'Raw Data'!#REF!/L$1</f>
        <v>#REF!</v>
      </c>
      <c r="M393" s="50" t="e">
        <f>'Raw Data'!#REF!/M$1</f>
        <v>#REF!</v>
      </c>
      <c r="N393" s="50" t="e">
        <f>'Raw Data'!#REF!/N$1</f>
        <v>#REF!</v>
      </c>
      <c r="O393" s="50" t="e">
        <f>'Raw Data'!#REF!/O$1</f>
        <v>#REF!</v>
      </c>
      <c r="P393" s="50" t="str">
        <f t="shared" si="36"/>
        <v/>
      </c>
      <c r="Q393" s="50" t="e">
        <f t="shared" si="37"/>
        <v>#REF!</v>
      </c>
    </row>
    <row r="394" spans="1:17">
      <c r="A394" s="2" t="s">
        <v>210</v>
      </c>
      <c r="B394" s="44">
        <v>4</v>
      </c>
      <c r="C394" s="44">
        <v>2023</v>
      </c>
      <c r="D394" s="44" t="s">
        <v>211</v>
      </c>
      <c r="E394" s="44" t="s">
        <v>211</v>
      </c>
      <c r="F394" s="31">
        <v>45017</v>
      </c>
      <c r="G394" s="101">
        <f t="shared" si="35"/>
        <v>30</v>
      </c>
      <c r="H394" s="103">
        <f t="shared" si="32"/>
        <v>45043</v>
      </c>
      <c r="I394" s="141">
        <f>_xlfn.XLOOKUP(Table12[[#This Row],[Month Year]],'Modelling New'!D:D,'Modelling New'!N:N)</f>
        <v>10.507</v>
      </c>
      <c r="J394" s="50" t="e">
        <f>'Raw Data'!#REF!/J$1</f>
        <v>#REF!</v>
      </c>
      <c r="K394" s="50" t="e">
        <f>'Raw Data'!#REF!/K$1</f>
        <v>#REF!</v>
      </c>
      <c r="L394" s="50" t="e">
        <f>'Raw Data'!#REF!/L$1</f>
        <v>#REF!</v>
      </c>
      <c r="M394" s="50" t="e">
        <f>'Raw Data'!#REF!/M$1</f>
        <v>#REF!</v>
      </c>
      <c r="N394" s="50" t="e">
        <f>'Raw Data'!#REF!/N$1</f>
        <v>#REF!</v>
      </c>
      <c r="O394" s="50" t="e">
        <f>'Raw Data'!#REF!/O$1</f>
        <v>#REF!</v>
      </c>
      <c r="P394" s="50" t="str">
        <f t="shared" si="36"/>
        <v/>
      </c>
      <c r="Q394" s="50" t="e">
        <f t="shared" si="37"/>
        <v>#REF!</v>
      </c>
    </row>
    <row r="395" spans="1:17">
      <c r="A395" s="2" t="s">
        <v>210</v>
      </c>
      <c r="B395" s="44">
        <v>4</v>
      </c>
      <c r="C395" s="44">
        <v>2023</v>
      </c>
      <c r="D395" s="44" t="s">
        <v>211</v>
      </c>
      <c r="E395" s="44" t="s">
        <v>211</v>
      </c>
      <c r="F395" s="31">
        <v>45017</v>
      </c>
      <c r="G395" s="101">
        <f t="shared" si="35"/>
        <v>30</v>
      </c>
      <c r="H395" s="103">
        <f t="shared" si="32"/>
        <v>45044</v>
      </c>
      <c r="I395" s="141">
        <f>_xlfn.XLOOKUP(Table12[[#This Row],[Month Year]],'Modelling New'!D:D,'Modelling New'!N:N)</f>
        <v>10.507</v>
      </c>
      <c r="J395" s="50" t="e">
        <f>'Raw Data'!#REF!/J$1</f>
        <v>#REF!</v>
      </c>
      <c r="K395" s="50" t="e">
        <f>'Raw Data'!#REF!/K$1</f>
        <v>#REF!</v>
      </c>
      <c r="L395" s="50" t="e">
        <f>'Raw Data'!#REF!/L$1</f>
        <v>#REF!</v>
      </c>
      <c r="M395" s="50" t="e">
        <f>'Raw Data'!#REF!/M$1</f>
        <v>#REF!</v>
      </c>
      <c r="N395" s="50" t="e">
        <f>'Raw Data'!#REF!/N$1</f>
        <v>#REF!</v>
      </c>
      <c r="O395" s="50" t="e">
        <f>'Raw Data'!#REF!/O$1</f>
        <v>#REF!</v>
      </c>
      <c r="P395" s="50" t="str">
        <f t="shared" si="36"/>
        <v/>
      </c>
      <c r="Q395" s="50" t="e">
        <f t="shared" si="37"/>
        <v>#REF!</v>
      </c>
    </row>
    <row r="396" spans="1:17">
      <c r="A396" s="2" t="s">
        <v>210</v>
      </c>
      <c r="B396" s="44">
        <v>4</v>
      </c>
      <c r="C396" s="44">
        <v>2023</v>
      </c>
      <c r="D396" s="44" t="s">
        <v>211</v>
      </c>
      <c r="E396" s="44" t="s">
        <v>211</v>
      </c>
      <c r="F396" s="31">
        <v>45017</v>
      </c>
      <c r="G396" s="101">
        <f t="shared" ref="G396:G403" si="38">DAY(EOMONTH(F396,0))</f>
        <v>30</v>
      </c>
      <c r="H396" s="103">
        <f t="shared" si="32"/>
        <v>45045</v>
      </c>
      <c r="I396" s="141">
        <f>_xlfn.XLOOKUP(Table12[[#This Row],[Month Year]],'Modelling New'!D:D,'Modelling New'!N:N)</f>
        <v>10.507</v>
      </c>
      <c r="J396" s="50" t="e">
        <f>'Raw Data'!#REF!/J$1</f>
        <v>#REF!</v>
      </c>
      <c r="K396" s="50" t="e">
        <f>'Raw Data'!#REF!/K$1</f>
        <v>#REF!</v>
      </c>
      <c r="L396" s="50" t="e">
        <f>'Raw Data'!#REF!/L$1</f>
        <v>#REF!</v>
      </c>
      <c r="M396" s="50" t="e">
        <f>'Raw Data'!#REF!/M$1</f>
        <v>#REF!</v>
      </c>
      <c r="N396" s="50" t="e">
        <f>'Raw Data'!#REF!/N$1</f>
        <v>#REF!</v>
      </c>
      <c r="O396" s="50" t="e">
        <f>'Raw Data'!#REF!/O$1</f>
        <v>#REF!</v>
      </c>
      <c r="P396" s="50" t="str">
        <f t="shared" ref="P396:P403" si="39">IFERROR(AVERAGEIF(J396:O396,"&gt;"&amp;0,J396:O396),"")</f>
        <v/>
      </c>
      <c r="Q396" s="50" t="e">
        <f t="shared" ref="Q396:Q403" si="40">MAXA(J396:O396)</f>
        <v>#REF!</v>
      </c>
    </row>
    <row r="397" spans="1:17">
      <c r="A397" s="2" t="s">
        <v>210</v>
      </c>
      <c r="B397" s="44">
        <v>4</v>
      </c>
      <c r="C397" s="44">
        <v>2023</v>
      </c>
      <c r="D397" s="44" t="s">
        <v>211</v>
      </c>
      <c r="E397" s="44" t="s">
        <v>211</v>
      </c>
      <c r="F397" s="31">
        <v>45017</v>
      </c>
      <c r="G397" s="101">
        <f t="shared" si="38"/>
        <v>30</v>
      </c>
      <c r="H397" s="103">
        <f t="shared" si="32"/>
        <v>45046</v>
      </c>
      <c r="I397" s="141">
        <f>_xlfn.XLOOKUP(Table12[[#This Row],[Month Year]],'Modelling New'!D:D,'Modelling New'!N:N)</f>
        <v>10.507</v>
      </c>
      <c r="J397" s="50" t="e">
        <f>'Raw Data'!#REF!/J$1</f>
        <v>#REF!</v>
      </c>
      <c r="K397" s="50" t="e">
        <f>'Raw Data'!#REF!/K$1</f>
        <v>#REF!</v>
      </c>
      <c r="L397" s="50" t="e">
        <f>'Raw Data'!#REF!/L$1</f>
        <v>#REF!</v>
      </c>
      <c r="M397" s="50" t="e">
        <f>'Raw Data'!#REF!/M$1</f>
        <v>#REF!</v>
      </c>
      <c r="N397" s="50" t="e">
        <f>'Raw Data'!#REF!/N$1</f>
        <v>#REF!</v>
      </c>
      <c r="O397" s="50" t="e">
        <f>'Raw Data'!#REF!/O$1</f>
        <v>#REF!</v>
      </c>
      <c r="P397" s="50" t="str">
        <f t="shared" si="39"/>
        <v/>
      </c>
      <c r="Q397" s="50" t="e">
        <f t="shared" si="40"/>
        <v>#REF!</v>
      </c>
    </row>
    <row r="398" spans="1:17">
      <c r="A398" s="2" t="s">
        <v>210</v>
      </c>
      <c r="B398" s="44">
        <v>4</v>
      </c>
      <c r="C398" s="44">
        <v>2023</v>
      </c>
      <c r="D398" s="44" t="s">
        <v>211</v>
      </c>
      <c r="E398" s="44" t="s">
        <v>211</v>
      </c>
      <c r="F398" s="31">
        <v>45047</v>
      </c>
      <c r="G398" s="101">
        <f t="shared" si="38"/>
        <v>31</v>
      </c>
      <c r="H398" s="103">
        <f t="shared" si="32"/>
        <v>45047</v>
      </c>
      <c r="I398" s="141">
        <f>_xlfn.XLOOKUP(Table12[[#This Row],[Month Year]],'Modelling New'!D:D,'Modelling New'!N:N)</f>
        <v>10.507</v>
      </c>
      <c r="J398" s="50" t="e">
        <f>'Raw Data'!#REF!/J$1</f>
        <v>#REF!</v>
      </c>
      <c r="K398" s="50" t="e">
        <f>'Raw Data'!#REF!/K$1</f>
        <v>#REF!</v>
      </c>
      <c r="L398" s="50" t="e">
        <f>'Raw Data'!#REF!/L$1</f>
        <v>#REF!</v>
      </c>
      <c r="M398" s="50" t="e">
        <f>'Raw Data'!#REF!/M$1</f>
        <v>#REF!</v>
      </c>
      <c r="N398" s="50" t="e">
        <f>'Raw Data'!#REF!/N$1</f>
        <v>#REF!</v>
      </c>
      <c r="O398" s="50" t="e">
        <f>'Raw Data'!#REF!/O$1</f>
        <v>#REF!</v>
      </c>
      <c r="P398" s="50" t="str">
        <f t="shared" si="39"/>
        <v/>
      </c>
      <c r="Q398" s="50" t="e">
        <f t="shared" si="40"/>
        <v>#REF!</v>
      </c>
    </row>
    <row r="399" spans="1:17">
      <c r="A399" s="2" t="s">
        <v>210</v>
      </c>
      <c r="B399" s="44">
        <v>4</v>
      </c>
      <c r="C399" s="44">
        <v>2023</v>
      </c>
      <c r="D399" s="44" t="s">
        <v>211</v>
      </c>
      <c r="E399" s="44" t="s">
        <v>211</v>
      </c>
      <c r="F399" s="31">
        <v>45047</v>
      </c>
      <c r="G399" s="101">
        <f t="shared" si="38"/>
        <v>31</v>
      </c>
      <c r="H399" s="103">
        <f t="shared" si="32"/>
        <v>45048</v>
      </c>
      <c r="I399" s="141">
        <f>_xlfn.XLOOKUP(Table12[[#This Row],[Month Year]],'Modelling New'!D:D,'Modelling New'!N:N)</f>
        <v>10.507</v>
      </c>
      <c r="J399" s="50" t="e">
        <f>'Raw Data'!#REF!/J$1</f>
        <v>#REF!</v>
      </c>
      <c r="K399" s="50" t="e">
        <f>'Raw Data'!#REF!/K$1</f>
        <v>#REF!</v>
      </c>
      <c r="L399" s="50" t="e">
        <f>'Raw Data'!#REF!/L$1</f>
        <v>#REF!</v>
      </c>
      <c r="M399" s="50" t="e">
        <f>'Raw Data'!#REF!/M$1</f>
        <v>#REF!</v>
      </c>
      <c r="N399" s="50" t="e">
        <f>'Raw Data'!#REF!/N$1</f>
        <v>#REF!</v>
      </c>
      <c r="O399" s="50" t="e">
        <f>'Raw Data'!#REF!/O$1</f>
        <v>#REF!</v>
      </c>
      <c r="P399" s="50" t="str">
        <f t="shared" si="39"/>
        <v/>
      </c>
      <c r="Q399" s="50" t="e">
        <f t="shared" si="40"/>
        <v>#REF!</v>
      </c>
    </row>
    <row r="400" spans="1:17">
      <c r="A400" s="2" t="s">
        <v>210</v>
      </c>
      <c r="B400" s="44">
        <v>4</v>
      </c>
      <c r="C400" s="44">
        <v>2023</v>
      </c>
      <c r="D400" s="44" t="s">
        <v>211</v>
      </c>
      <c r="E400" s="44" t="s">
        <v>211</v>
      </c>
      <c r="F400" s="31">
        <v>45047</v>
      </c>
      <c r="G400" s="101">
        <f t="shared" si="38"/>
        <v>31</v>
      </c>
      <c r="H400" s="103">
        <f t="shared" si="32"/>
        <v>45049</v>
      </c>
      <c r="I400" s="141">
        <f>_xlfn.XLOOKUP(Table12[[#This Row],[Month Year]],'Modelling New'!D:D,'Modelling New'!N:N)</f>
        <v>10.507</v>
      </c>
      <c r="J400" s="50" t="e">
        <f>'Raw Data'!#REF!/J$1</f>
        <v>#REF!</v>
      </c>
      <c r="K400" s="50" t="e">
        <f>'Raw Data'!#REF!/K$1</f>
        <v>#REF!</v>
      </c>
      <c r="L400" s="50" t="e">
        <f>'Raw Data'!#REF!/L$1</f>
        <v>#REF!</v>
      </c>
      <c r="M400" s="50" t="e">
        <f>'Raw Data'!#REF!/M$1</f>
        <v>#REF!</v>
      </c>
      <c r="N400" s="50" t="e">
        <f>'Raw Data'!#REF!/N$1</f>
        <v>#REF!</v>
      </c>
      <c r="O400" s="50" t="e">
        <f>'Raw Data'!#REF!/O$1</f>
        <v>#REF!</v>
      </c>
      <c r="P400" s="50" t="str">
        <f t="shared" si="39"/>
        <v/>
      </c>
      <c r="Q400" s="50" t="e">
        <f t="shared" si="40"/>
        <v>#REF!</v>
      </c>
    </row>
    <row r="401" spans="1:17">
      <c r="A401" s="2" t="s">
        <v>210</v>
      </c>
      <c r="B401" s="44">
        <v>4</v>
      </c>
      <c r="C401" s="44">
        <v>2023</v>
      </c>
      <c r="D401" s="44" t="s">
        <v>211</v>
      </c>
      <c r="E401" s="44" t="s">
        <v>211</v>
      </c>
      <c r="F401" s="31">
        <v>45047</v>
      </c>
      <c r="G401" s="101">
        <f t="shared" si="38"/>
        <v>31</v>
      </c>
      <c r="H401" s="103">
        <f t="shared" si="32"/>
        <v>45050</v>
      </c>
      <c r="I401" s="141">
        <f>_xlfn.XLOOKUP(Table12[[#This Row],[Month Year]],'Modelling New'!D:D,'Modelling New'!N:N)</f>
        <v>10.507</v>
      </c>
      <c r="J401" s="50" t="e">
        <f>'Raw Data'!#REF!/J$1</f>
        <v>#REF!</v>
      </c>
      <c r="K401" s="50" t="e">
        <f>'Raw Data'!#REF!/K$1</f>
        <v>#REF!</v>
      </c>
      <c r="L401" s="50" t="e">
        <f>'Raw Data'!#REF!/L$1</f>
        <v>#REF!</v>
      </c>
      <c r="M401" s="50" t="e">
        <f>'Raw Data'!#REF!/M$1</f>
        <v>#REF!</v>
      </c>
      <c r="N401" s="50" t="e">
        <f>'Raw Data'!#REF!/N$1</f>
        <v>#REF!</v>
      </c>
      <c r="O401" s="50" t="e">
        <f>'Raw Data'!#REF!/O$1</f>
        <v>#REF!</v>
      </c>
      <c r="P401" s="50" t="str">
        <f t="shared" si="39"/>
        <v/>
      </c>
      <c r="Q401" s="50" t="e">
        <f t="shared" si="40"/>
        <v>#REF!</v>
      </c>
    </row>
    <row r="402" spans="1:17">
      <c r="A402" s="2" t="s">
        <v>210</v>
      </c>
      <c r="B402" s="44">
        <v>4</v>
      </c>
      <c r="C402" s="44">
        <v>2023</v>
      </c>
      <c r="D402" s="44" t="s">
        <v>211</v>
      </c>
      <c r="E402" s="44" t="s">
        <v>211</v>
      </c>
      <c r="F402" s="31">
        <v>45047</v>
      </c>
      <c r="G402" s="101">
        <f t="shared" si="38"/>
        <v>31</v>
      </c>
      <c r="H402" s="103">
        <f t="shared" si="32"/>
        <v>45051</v>
      </c>
      <c r="I402" s="141">
        <f>_xlfn.XLOOKUP(Table12[[#This Row],[Month Year]],'Modelling New'!D:D,'Modelling New'!N:N)</f>
        <v>10.507</v>
      </c>
      <c r="J402" s="50" t="e">
        <f>'Raw Data'!#REF!/J$1</f>
        <v>#REF!</v>
      </c>
      <c r="K402" s="50" t="e">
        <f>'Raw Data'!#REF!/K$1</f>
        <v>#REF!</v>
      </c>
      <c r="L402" s="50" t="e">
        <f>'Raw Data'!#REF!/L$1</f>
        <v>#REF!</v>
      </c>
      <c r="M402" s="50" t="e">
        <f>'Raw Data'!#REF!/M$1</f>
        <v>#REF!</v>
      </c>
      <c r="N402" s="50" t="e">
        <f>'Raw Data'!#REF!/N$1</f>
        <v>#REF!</v>
      </c>
      <c r="O402" s="50" t="e">
        <f>'Raw Data'!#REF!/O$1</f>
        <v>#REF!</v>
      </c>
      <c r="P402" s="50" t="str">
        <f t="shared" si="39"/>
        <v/>
      </c>
      <c r="Q402" s="50" t="e">
        <f t="shared" si="40"/>
        <v>#REF!</v>
      </c>
    </row>
    <row r="403" spans="1:17">
      <c r="A403" s="2" t="s">
        <v>210</v>
      </c>
      <c r="B403" s="44">
        <v>4</v>
      </c>
      <c r="C403" s="44">
        <v>2023</v>
      </c>
      <c r="D403" s="44" t="s">
        <v>211</v>
      </c>
      <c r="E403" s="44" t="s">
        <v>211</v>
      </c>
      <c r="F403" s="31">
        <v>45047</v>
      </c>
      <c r="G403" s="101">
        <f t="shared" si="38"/>
        <v>31</v>
      </c>
      <c r="H403" s="103">
        <f t="shared" si="32"/>
        <v>45052</v>
      </c>
      <c r="I403" s="141">
        <f>_xlfn.XLOOKUP(Table12[[#This Row],[Month Year]],'Modelling New'!D:D,'Modelling New'!N:N)</f>
        <v>10.507</v>
      </c>
      <c r="J403" s="50" t="e">
        <f>'Raw Data'!#REF!/J$1</f>
        <v>#REF!</v>
      </c>
      <c r="K403" s="50" t="e">
        <f>'Raw Data'!#REF!/K$1</f>
        <v>#REF!</v>
      </c>
      <c r="L403" s="50" t="e">
        <f>'Raw Data'!#REF!/L$1</f>
        <v>#REF!</v>
      </c>
      <c r="M403" s="50" t="e">
        <f>'Raw Data'!#REF!/M$1</f>
        <v>#REF!</v>
      </c>
      <c r="N403" s="50" t="e">
        <f>'Raw Data'!#REF!/N$1</f>
        <v>#REF!</v>
      </c>
      <c r="O403" s="50" t="e">
        <f>'Raw Data'!#REF!/O$1</f>
        <v>#REF!</v>
      </c>
      <c r="P403" s="50" t="str">
        <f t="shared" si="39"/>
        <v/>
      </c>
      <c r="Q403" s="50" t="e">
        <f t="shared" si="40"/>
        <v>#REF!</v>
      </c>
    </row>
    <row r="404" spans="1:17">
      <c r="A404" s="2" t="s">
        <v>210</v>
      </c>
      <c r="B404" s="44">
        <v>4</v>
      </c>
      <c r="C404" s="44">
        <v>2023</v>
      </c>
      <c r="D404" s="44" t="s">
        <v>211</v>
      </c>
      <c r="E404" s="44" t="s">
        <v>211</v>
      </c>
      <c r="F404" s="31">
        <v>45047</v>
      </c>
      <c r="G404" s="101">
        <f t="shared" ref="G404:G440" si="41">DAY(EOMONTH(F404,0))</f>
        <v>31</v>
      </c>
      <c r="H404" s="103">
        <f t="shared" si="32"/>
        <v>45053</v>
      </c>
      <c r="I404" s="141">
        <f>_xlfn.XLOOKUP(Table12[[#This Row],[Month Year]],'Modelling New'!D:D,'Modelling New'!N:N)</f>
        <v>10.507</v>
      </c>
      <c r="J404" s="50" t="e">
        <f>'Raw Data'!#REF!/J$1</f>
        <v>#REF!</v>
      </c>
      <c r="K404" s="50" t="e">
        <f>'Raw Data'!#REF!/K$1</f>
        <v>#REF!</v>
      </c>
      <c r="L404" s="50" t="e">
        <f>'Raw Data'!#REF!/L$1</f>
        <v>#REF!</v>
      </c>
      <c r="M404" s="50" t="e">
        <f>'Raw Data'!#REF!/M$1</f>
        <v>#REF!</v>
      </c>
      <c r="N404" s="50" t="e">
        <f>'Raw Data'!#REF!/N$1</f>
        <v>#REF!</v>
      </c>
      <c r="O404" s="50" t="e">
        <f>'Raw Data'!#REF!/O$1</f>
        <v>#REF!</v>
      </c>
      <c r="P404" s="50" t="str">
        <f t="shared" ref="P404:P440" si="42">IFERROR(AVERAGEIF(J404:O404,"&gt;"&amp;0,J404:O404),"")</f>
        <v/>
      </c>
      <c r="Q404" s="50" t="e">
        <f t="shared" ref="Q404:Q440" si="43">MAXA(J404:O404)</f>
        <v>#REF!</v>
      </c>
    </row>
    <row r="405" spans="1:17">
      <c r="A405" s="2" t="s">
        <v>210</v>
      </c>
      <c r="B405" s="44">
        <v>4</v>
      </c>
      <c r="C405" s="44">
        <v>2023</v>
      </c>
      <c r="D405" s="44" t="s">
        <v>211</v>
      </c>
      <c r="E405" s="44" t="s">
        <v>211</v>
      </c>
      <c r="F405" s="31">
        <v>45047</v>
      </c>
      <c r="G405" s="101">
        <f t="shared" si="41"/>
        <v>31</v>
      </c>
      <c r="H405" s="103">
        <f t="shared" si="32"/>
        <v>45054</v>
      </c>
      <c r="I405" s="141">
        <f>_xlfn.XLOOKUP(Table12[[#This Row],[Month Year]],'Modelling New'!D:D,'Modelling New'!N:N)</f>
        <v>10.507</v>
      </c>
      <c r="J405" s="50" t="e">
        <f>'Raw Data'!#REF!/J$1</f>
        <v>#REF!</v>
      </c>
      <c r="K405" s="50" t="e">
        <f>'Raw Data'!#REF!/K$1</f>
        <v>#REF!</v>
      </c>
      <c r="L405" s="50" t="e">
        <f>'Raw Data'!#REF!/L$1</f>
        <v>#REF!</v>
      </c>
      <c r="M405" s="50" t="e">
        <f>'Raw Data'!#REF!/M$1</f>
        <v>#REF!</v>
      </c>
      <c r="N405" s="50" t="e">
        <f>'Raw Data'!#REF!/N$1</f>
        <v>#REF!</v>
      </c>
      <c r="O405" s="50" t="e">
        <f>'Raw Data'!#REF!/O$1</f>
        <v>#REF!</v>
      </c>
      <c r="P405" s="50" t="str">
        <f t="shared" si="42"/>
        <v/>
      </c>
      <c r="Q405" s="50" t="e">
        <f t="shared" si="43"/>
        <v>#REF!</v>
      </c>
    </row>
    <row r="406" spans="1:17">
      <c r="A406" s="2" t="s">
        <v>210</v>
      </c>
      <c r="B406" s="44">
        <v>4</v>
      </c>
      <c r="C406" s="44">
        <v>2023</v>
      </c>
      <c r="D406" s="44" t="s">
        <v>211</v>
      </c>
      <c r="E406" s="44" t="s">
        <v>211</v>
      </c>
      <c r="F406" s="31">
        <v>45047</v>
      </c>
      <c r="G406" s="101">
        <f t="shared" si="41"/>
        <v>31</v>
      </c>
      <c r="H406" s="103">
        <f t="shared" si="32"/>
        <v>45055</v>
      </c>
      <c r="I406" s="141">
        <f>_xlfn.XLOOKUP(Table12[[#This Row],[Month Year]],'Modelling New'!D:D,'Modelling New'!N:N)</f>
        <v>10.507</v>
      </c>
      <c r="J406" s="50" t="e">
        <f>'Raw Data'!#REF!/J$1</f>
        <v>#REF!</v>
      </c>
      <c r="K406" s="50" t="e">
        <f>'Raw Data'!#REF!/K$1</f>
        <v>#REF!</v>
      </c>
      <c r="L406" s="50" t="e">
        <f>'Raw Data'!#REF!/L$1</f>
        <v>#REF!</v>
      </c>
      <c r="M406" s="50" t="e">
        <f>'Raw Data'!#REF!/M$1</f>
        <v>#REF!</v>
      </c>
      <c r="N406" s="50" t="e">
        <f>'Raw Data'!#REF!/N$1</f>
        <v>#REF!</v>
      </c>
      <c r="O406" s="50" t="e">
        <f>'Raw Data'!#REF!/O$1</f>
        <v>#REF!</v>
      </c>
      <c r="P406" s="50" t="str">
        <f t="shared" si="42"/>
        <v/>
      </c>
      <c r="Q406" s="50" t="e">
        <f t="shared" si="43"/>
        <v>#REF!</v>
      </c>
    </row>
    <row r="407" spans="1:17">
      <c r="A407" s="2" t="s">
        <v>210</v>
      </c>
      <c r="B407" s="44">
        <v>4</v>
      </c>
      <c r="C407" s="44">
        <v>2023</v>
      </c>
      <c r="D407" s="44" t="s">
        <v>211</v>
      </c>
      <c r="E407" s="44" t="s">
        <v>211</v>
      </c>
      <c r="F407" s="31">
        <v>45047</v>
      </c>
      <c r="G407" s="101">
        <f t="shared" si="41"/>
        <v>31</v>
      </c>
      <c r="H407" s="103">
        <f t="shared" si="32"/>
        <v>45056</v>
      </c>
      <c r="I407" s="141">
        <f>_xlfn.XLOOKUP(Table12[[#This Row],[Month Year]],'Modelling New'!D:D,'Modelling New'!N:N)</f>
        <v>10.507</v>
      </c>
      <c r="J407" s="50" t="e">
        <f>'Raw Data'!#REF!/J$1</f>
        <v>#REF!</v>
      </c>
      <c r="K407" s="50" t="e">
        <f>'Raw Data'!#REF!/K$1</f>
        <v>#REF!</v>
      </c>
      <c r="L407" s="50" t="e">
        <f>'Raw Data'!#REF!/L$1</f>
        <v>#REF!</v>
      </c>
      <c r="M407" s="50" t="e">
        <f>'Raw Data'!#REF!/M$1</f>
        <v>#REF!</v>
      </c>
      <c r="N407" s="50" t="e">
        <f>'Raw Data'!#REF!/N$1</f>
        <v>#REF!</v>
      </c>
      <c r="O407" s="50" t="e">
        <f>'Raw Data'!#REF!/O$1</f>
        <v>#REF!</v>
      </c>
      <c r="P407" s="50" t="str">
        <f t="shared" si="42"/>
        <v/>
      </c>
      <c r="Q407" s="50" t="e">
        <f t="shared" si="43"/>
        <v>#REF!</v>
      </c>
    </row>
    <row r="408" spans="1:17">
      <c r="A408" s="2" t="s">
        <v>210</v>
      </c>
      <c r="B408" s="44">
        <v>4</v>
      </c>
      <c r="C408" s="44">
        <v>2023</v>
      </c>
      <c r="D408" s="44" t="s">
        <v>211</v>
      </c>
      <c r="E408" s="44" t="s">
        <v>211</v>
      </c>
      <c r="F408" s="31">
        <v>45047</v>
      </c>
      <c r="G408" s="101">
        <f t="shared" si="41"/>
        <v>31</v>
      </c>
      <c r="H408" s="103">
        <f t="shared" si="32"/>
        <v>45057</v>
      </c>
      <c r="I408" s="141">
        <f>_xlfn.XLOOKUP(Table12[[#This Row],[Month Year]],'Modelling New'!D:D,'Modelling New'!N:N)</f>
        <v>10.507</v>
      </c>
      <c r="J408" s="50" t="e">
        <f>'Raw Data'!#REF!/J$1</f>
        <v>#REF!</v>
      </c>
      <c r="K408" s="50" t="e">
        <f>'Raw Data'!#REF!/K$1</f>
        <v>#REF!</v>
      </c>
      <c r="L408" s="50" t="e">
        <f>'Raw Data'!#REF!/L$1</f>
        <v>#REF!</v>
      </c>
      <c r="M408" s="50" t="e">
        <f>'Raw Data'!#REF!/M$1</f>
        <v>#REF!</v>
      </c>
      <c r="N408" s="50" t="e">
        <f>'Raw Data'!#REF!/N$1</f>
        <v>#REF!</v>
      </c>
      <c r="O408" s="50" t="e">
        <f>'Raw Data'!#REF!/O$1</f>
        <v>#REF!</v>
      </c>
      <c r="P408" s="50" t="str">
        <f t="shared" si="42"/>
        <v/>
      </c>
      <c r="Q408" s="50" t="e">
        <f t="shared" si="43"/>
        <v>#REF!</v>
      </c>
    </row>
    <row r="409" spans="1:17">
      <c r="A409" s="2" t="s">
        <v>210</v>
      </c>
      <c r="B409" s="44">
        <v>4</v>
      </c>
      <c r="C409" s="44">
        <v>2023</v>
      </c>
      <c r="D409" s="44" t="s">
        <v>211</v>
      </c>
      <c r="E409" s="44" t="s">
        <v>211</v>
      </c>
      <c r="F409" s="31">
        <v>45047</v>
      </c>
      <c r="G409" s="101">
        <f t="shared" si="41"/>
        <v>31</v>
      </c>
      <c r="H409" s="103">
        <f t="shared" si="32"/>
        <v>45058</v>
      </c>
      <c r="I409" s="141">
        <f>_xlfn.XLOOKUP(Table12[[#This Row],[Month Year]],'Modelling New'!D:D,'Modelling New'!N:N)</f>
        <v>10.507</v>
      </c>
      <c r="J409" s="50" t="e">
        <f>'Raw Data'!#REF!/J$1</f>
        <v>#REF!</v>
      </c>
      <c r="K409" s="50" t="e">
        <f>'Raw Data'!#REF!/K$1</f>
        <v>#REF!</v>
      </c>
      <c r="L409" s="50" t="e">
        <f>'Raw Data'!#REF!/L$1</f>
        <v>#REF!</v>
      </c>
      <c r="M409" s="50" t="e">
        <f>'Raw Data'!#REF!/M$1</f>
        <v>#REF!</v>
      </c>
      <c r="N409" s="50" t="e">
        <f>'Raw Data'!#REF!/N$1</f>
        <v>#REF!</v>
      </c>
      <c r="O409" s="50" t="e">
        <f>'Raw Data'!#REF!/O$1</f>
        <v>#REF!</v>
      </c>
      <c r="P409" s="50" t="str">
        <f t="shared" si="42"/>
        <v/>
      </c>
      <c r="Q409" s="50" t="e">
        <f t="shared" si="43"/>
        <v>#REF!</v>
      </c>
    </row>
    <row r="410" spans="1:17">
      <c r="A410" s="2" t="s">
        <v>210</v>
      </c>
      <c r="B410" s="44">
        <v>4</v>
      </c>
      <c r="C410" s="44">
        <v>2023</v>
      </c>
      <c r="D410" s="44" t="s">
        <v>211</v>
      </c>
      <c r="E410" s="44" t="s">
        <v>211</v>
      </c>
      <c r="F410" s="31">
        <v>45047</v>
      </c>
      <c r="G410" s="101">
        <f t="shared" si="41"/>
        <v>31</v>
      </c>
      <c r="H410" s="103">
        <f t="shared" si="32"/>
        <v>45059</v>
      </c>
      <c r="I410" s="141">
        <f>_xlfn.XLOOKUP(Table12[[#This Row],[Month Year]],'Modelling New'!D:D,'Modelling New'!N:N)</f>
        <v>10.507</v>
      </c>
      <c r="J410" s="50" t="e">
        <f>'Raw Data'!#REF!/J$1</f>
        <v>#REF!</v>
      </c>
      <c r="K410" s="50" t="e">
        <f>'Raw Data'!#REF!/K$1</f>
        <v>#REF!</v>
      </c>
      <c r="L410" s="50" t="e">
        <f>'Raw Data'!#REF!/L$1</f>
        <v>#REF!</v>
      </c>
      <c r="M410" s="50" t="e">
        <f>'Raw Data'!#REF!/M$1</f>
        <v>#REF!</v>
      </c>
      <c r="N410" s="50" t="e">
        <f>'Raw Data'!#REF!/N$1</f>
        <v>#REF!</v>
      </c>
      <c r="O410" s="50" t="e">
        <f>'Raw Data'!#REF!/O$1</f>
        <v>#REF!</v>
      </c>
      <c r="P410" s="50" t="str">
        <f t="shared" si="42"/>
        <v/>
      </c>
      <c r="Q410" s="50" t="e">
        <f t="shared" si="43"/>
        <v>#REF!</v>
      </c>
    </row>
    <row r="411" spans="1:17">
      <c r="A411" s="2" t="s">
        <v>210</v>
      </c>
      <c r="B411" s="44">
        <v>4</v>
      </c>
      <c r="C411" s="44">
        <v>2023</v>
      </c>
      <c r="D411" s="44" t="s">
        <v>211</v>
      </c>
      <c r="E411" s="44" t="s">
        <v>211</v>
      </c>
      <c r="F411" s="31">
        <v>45047</v>
      </c>
      <c r="G411" s="101">
        <f t="shared" si="41"/>
        <v>31</v>
      </c>
      <c r="H411" s="103">
        <f t="shared" si="32"/>
        <v>45060</v>
      </c>
      <c r="I411" s="141">
        <f>_xlfn.XLOOKUP(Table12[[#This Row],[Month Year]],'Modelling New'!D:D,'Modelling New'!N:N)</f>
        <v>10.507</v>
      </c>
      <c r="J411" s="50" t="e">
        <f>'Raw Data'!#REF!/J$1</f>
        <v>#REF!</v>
      </c>
      <c r="K411" s="50" t="e">
        <f>'Raw Data'!#REF!/K$1</f>
        <v>#REF!</v>
      </c>
      <c r="L411" s="50" t="e">
        <f>'Raw Data'!#REF!/L$1</f>
        <v>#REF!</v>
      </c>
      <c r="M411" s="50" t="e">
        <f>'Raw Data'!#REF!/M$1</f>
        <v>#REF!</v>
      </c>
      <c r="N411" s="50" t="e">
        <f>'Raw Data'!#REF!/N$1</f>
        <v>#REF!</v>
      </c>
      <c r="O411" s="50" t="e">
        <f>'Raw Data'!#REF!/O$1</f>
        <v>#REF!</v>
      </c>
      <c r="P411" s="50" t="str">
        <f t="shared" si="42"/>
        <v/>
      </c>
      <c r="Q411" s="50" t="e">
        <f t="shared" si="43"/>
        <v>#REF!</v>
      </c>
    </row>
    <row r="412" spans="1:17">
      <c r="A412" s="2" t="s">
        <v>210</v>
      </c>
      <c r="B412" s="44">
        <v>4</v>
      </c>
      <c r="C412" s="44">
        <v>2023</v>
      </c>
      <c r="D412" s="44" t="s">
        <v>211</v>
      </c>
      <c r="E412" s="44" t="s">
        <v>211</v>
      </c>
      <c r="F412" s="31">
        <v>45047</v>
      </c>
      <c r="G412" s="101">
        <f t="shared" si="41"/>
        <v>31</v>
      </c>
      <c r="H412" s="103">
        <f t="shared" si="32"/>
        <v>45061</v>
      </c>
      <c r="I412" s="141">
        <f>_xlfn.XLOOKUP(Table12[[#This Row],[Month Year]],'Modelling New'!D:D,'Modelling New'!N:N)</f>
        <v>10.507</v>
      </c>
      <c r="J412" s="50" t="e">
        <f>'Raw Data'!#REF!/J$1</f>
        <v>#REF!</v>
      </c>
      <c r="K412" s="50" t="e">
        <f>'Raw Data'!#REF!/K$1</f>
        <v>#REF!</v>
      </c>
      <c r="L412" s="50" t="e">
        <f>'Raw Data'!#REF!/L$1</f>
        <v>#REF!</v>
      </c>
      <c r="M412" s="50" t="e">
        <f>'Raw Data'!#REF!/M$1</f>
        <v>#REF!</v>
      </c>
      <c r="N412" s="50" t="e">
        <f>'Raw Data'!#REF!/N$1</f>
        <v>#REF!</v>
      </c>
      <c r="O412" s="50" t="e">
        <f>'Raw Data'!#REF!/O$1</f>
        <v>#REF!</v>
      </c>
      <c r="P412" s="50" t="str">
        <f t="shared" si="42"/>
        <v/>
      </c>
      <c r="Q412" s="50" t="e">
        <f t="shared" si="43"/>
        <v>#REF!</v>
      </c>
    </row>
    <row r="413" spans="1:17">
      <c r="A413" s="2" t="s">
        <v>210</v>
      </c>
      <c r="B413" s="44">
        <v>4</v>
      </c>
      <c r="C413" s="44">
        <v>2023</v>
      </c>
      <c r="D413" s="44" t="s">
        <v>211</v>
      </c>
      <c r="E413" s="44" t="s">
        <v>211</v>
      </c>
      <c r="F413" s="31">
        <v>45047</v>
      </c>
      <c r="G413" s="101">
        <f t="shared" si="41"/>
        <v>31</v>
      </c>
      <c r="H413" s="103">
        <f t="shared" si="32"/>
        <v>45062</v>
      </c>
      <c r="I413" s="141">
        <f>_xlfn.XLOOKUP(Table12[[#This Row],[Month Year]],'Modelling New'!D:D,'Modelling New'!N:N)</f>
        <v>10.507</v>
      </c>
      <c r="J413" s="50" t="e">
        <f>'Raw Data'!#REF!/J$1</f>
        <v>#REF!</v>
      </c>
      <c r="K413" s="50" t="e">
        <f>'Raw Data'!#REF!/K$1</f>
        <v>#REF!</v>
      </c>
      <c r="L413" s="50" t="e">
        <f>'Raw Data'!#REF!/L$1</f>
        <v>#REF!</v>
      </c>
      <c r="M413" s="50" t="e">
        <f>'Raw Data'!#REF!/M$1</f>
        <v>#REF!</v>
      </c>
      <c r="N413" s="50" t="e">
        <f>'Raw Data'!#REF!/N$1</f>
        <v>#REF!</v>
      </c>
      <c r="O413" s="50" t="e">
        <f>'Raw Data'!#REF!/O$1</f>
        <v>#REF!</v>
      </c>
      <c r="P413" s="50" t="str">
        <f t="shared" si="42"/>
        <v/>
      </c>
      <c r="Q413" s="50" t="e">
        <f t="shared" si="43"/>
        <v>#REF!</v>
      </c>
    </row>
    <row r="414" spans="1:17">
      <c r="A414" s="2" t="s">
        <v>210</v>
      </c>
      <c r="B414" s="44">
        <v>4</v>
      </c>
      <c r="C414" s="44">
        <v>2023</v>
      </c>
      <c r="D414" s="44" t="s">
        <v>211</v>
      </c>
      <c r="E414" s="44" t="s">
        <v>211</v>
      </c>
      <c r="F414" s="31">
        <v>45047</v>
      </c>
      <c r="G414" s="101">
        <f t="shared" si="41"/>
        <v>31</v>
      </c>
      <c r="H414" s="103">
        <f t="shared" si="32"/>
        <v>45063</v>
      </c>
      <c r="I414" s="141">
        <f>_xlfn.XLOOKUP(Table12[[#This Row],[Month Year]],'Modelling New'!D:D,'Modelling New'!N:N)</f>
        <v>10.507</v>
      </c>
      <c r="J414" s="50" t="e">
        <f>'Raw Data'!#REF!/J$1</f>
        <v>#REF!</v>
      </c>
      <c r="K414" s="50" t="e">
        <f>'Raw Data'!#REF!/K$1</f>
        <v>#REF!</v>
      </c>
      <c r="L414" s="50" t="e">
        <f>'Raw Data'!#REF!/L$1</f>
        <v>#REF!</v>
      </c>
      <c r="M414" s="50" t="e">
        <f>'Raw Data'!#REF!/M$1</f>
        <v>#REF!</v>
      </c>
      <c r="N414" s="50" t="e">
        <f>'Raw Data'!#REF!/N$1</f>
        <v>#REF!</v>
      </c>
      <c r="O414" s="50" t="e">
        <f>'Raw Data'!#REF!/O$1</f>
        <v>#REF!</v>
      </c>
      <c r="P414" s="50" t="str">
        <f t="shared" si="42"/>
        <v/>
      </c>
      <c r="Q414" s="50" t="e">
        <f t="shared" si="43"/>
        <v>#REF!</v>
      </c>
    </row>
    <row r="415" spans="1:17">
      <c r="A415" s="2" t="s">
        <v>210</v>
      </c>
      <c r="B415" s="44">
        <v>4</v>
      </c>
      <c r="C415" s="44">
        <v>2023</v>
      </c>
      <c r="D415" s="44" t="s">
        <v>211</v>
      </c>
      <c r="E415" s="44" t="s">
        <v>211</v>
      </c>
      <c r="F415" s="31">
        <v>45047</v>
      </c>
      <c r="G415" s="101">
        <f t="shared" si="41"/>
        <v>31</v>
      </c>
      <c r="H415" s="103">
        <f t="shared" si="32"/>
        <v>45064</v>
      </c>
      <c r="I415" s="141">
        <f>_xlfn.XLOOKUP(Table12[[#This Row],[Month Year]],'Modelling New'!D:D,'Modelling New'!N:N)</f>
        <v>10.507</v>
      </c>
      <c r="J415" s="50" t="e">
        <f>'Raw Data'!#REF!/J$1</f>
        <v>#REF!</v>
      </c>
      <c r="K415" s="50" t="e">
        <f>'Raw Data'!#REF!/K$1</f>
        <v>#REF!</v>
      </c>
      <c r="L415" s="50" t="e">
        <f>'Raw Data'!#REF!/L$1</f>
        <v>#REF!</v>
      </c>
      <c r="M415" s="50" t="e">
        <f>'Raw Data'!#REF!/M$1</f>
        <v>#REF!</v>
      </c>
      <c r="N415" s="50" t="e">
        <f>'Raw Data'!#REF!/N$1</f>
        <v>#REF!</v>
      </c>
      <c r="O415" s="50" t="e">
        <f>'Raw Data'!#REF!/O$1</f>
        <v>#REF!</v>
      </c>
      <c r="P415" s="50" t="str">
        <f t="shared" si="42"/>
        <v/>
      </c>
      <c r="Q415" s="50" t="e">
        <f t="shared" si="43"/>
        <v>#REF!</v>
      </c>
    </row>
    <row r="416" spans="1:17">
      <c r="A416" s="2" t="s">
        <v>210</v>
      </c>
      <c r="B416" s="44">
        <v>4</v>
      </c>
      <c r="C416" s="44">
        <v>2023</v>
      </c>
      <c r="D416" s="44" t="s">
        <v>211</v>
      </c>
      <c r="E416" s="44" t="s">
        <v>211</v>
      </c>
      <c r="F416" s="31">
        <v>45047</v>
      </c>
      <c r="G416" s="101">
        <f t="shared" si="41"/>
        <v>31</v>
      </c>
      <c r="H416" s="103">
        <f t="shared" si="32"/>
        <v>45065</v>
      </c>
      <c r="I416" s="141">
        <f>_xlfn.XLOOKUP(Table12[[#This Row],[Month Year]],'Modelling New'!D:D,'Modelling New'!N:N)</f>
        <v>10.507</v>
      </c>
      <c r="J416" s="50" t="e">
        <f>'Raw Data'!#REF!/J$1</f>
        <v>#REF!</v>
      </c>
      <c r="K416" s="50" t="e">
        <f>'Raw Data'!#REF!/K$1</f>
        <v>#REF!</v>
      </c>
      <c r="L416" s="50" t="e">
        <f>'Raw Data'!#REF!/L$1</f>
        <v>#REF!</v>
      </c>
      <c r="M416" s="50" t="e">
        <f>'Raw Data'!#REF!/M$1</f>
        <v>#REF!</v>
      </c>
      <c r="N416" s="50" t="e">
        <f>'Raw Data'!#REF!/N$1</f>
        <v>#REF!</v>
      </c>
      <c r="O416" s="50" t="e">
        <f>'Raw Data'!#REF!/O$1</f>
        <v>#REF!</v>
      </c>
      <c r="P416" s="50" t="str">
        <f t="shared" si="42"/>
        <v/>
      </c>
      <c r="Q416" s="50" t="e">
        <f t="shared" si="43"/>
        <v>#REF!</v>
      </c>
    </row>
    <row r="417" spans="1:17">
      <c r="A417" s="2" t="s">
        <v>210</v>
      </c>
      <c r="B417" s="44">
        <v>4</v>
      </c>
      <c r="C417" s="44">
        <v>2023</v>
      </c>
      <c r="D417" s="44" t="s">
        <v>211</v>
      </c>
      <c r="E417" s="44" t="s">
        <v>211</v>
      </c>
      <c r="F417" s="31">
        <v>45047</v>
      </c>
      <c r="G417" s="101">
        <f t="shared" si="41"/>
        <v>31</v>
      </c>
      <c r="H417" s="103">
        <f t="shared" si="32"/>
        <v>45066</v>
      </c>
      <c r="I417" s="141">
        <f>_xlfn.XLOOKUP(Table12[[#This Row],[Month Year]],'Modelling New'!D:D,'Modelling New'!N:N)</f>
        <v>10.507</v>
      </c>
      <c r="J417" s="50" t="e">
        <f>'Raw Data'!#REF!/J$1</f>
        <v>#REF!</v>
      </c>
      <c r="K417" s="50" t="e">
        <f>'Raw Data'!#REF!/K$1</f>
        <v>#REF!</v>
      </c>
      <c r="L417" s="50" t="e">
        <f>'Raw Data'!#REF!/L$1</f>
        <v>#REF!</v>
      </c>
      <c r="M417" s="50" t="e">
        <f>'Raw Data'!#REF!/M$1</f>
        <v>#REF!</v>
      </c>
      <c r="N417" s="50" t="e">
        <f>'Raw Data'!#REF!/N$1</f>
        <v>#REF!</v>
      </c>
      <c r="O417" s="50" t="e">
        <f>'Raw Data'!#REF!/O$1</f>
        <v>#REF!</v>
      </c>
      <c r="P417" s="50" t="str">
        <f t="shared" si="42"/>
        <v/>
      </c>
      <c r="Q417" s="50" t="e">
        <f t="shared" si="43"/>
        <v>#REF!</v>
      </c>
    </row>
    <row r="418" spans="1:17">
      <c r="A418" s="2" t="s">
        <v>210</v>
      </c>
      <c r="B418" s="44">
        <v>4</v>
      </c>
      <c r="C418" s="44">
        <v>2023</v>
      </c>
      <c r="D418" s="44" t="s">
        <v>211</v>
      </c>
      <c r="E418" s="44" t="s">
        <v>211</v>
      </c>
      <c r="F418" s="31">
        <v>45047</v>
      </c>
      <c r="G418" s="101">
        <f t="shared" si="41"/>
        <v>31</v>
      </c>
      <c r="H418" s="103">
        <f t="shared" si="32"/>
        <v>45067</v>
      </c>
      <c r="I418" s="141">
        <f>_xlfn.XLOOKUP(Table12[[#This Row],[Month Year]],'Modelling New'!D:D,'Modelling New'!N:N)</f>
        <v>10.507</v>
      </c>
      <c r="J418" s="50" t="e">
        <f>'Raw Data'!#REF!/J$1</f>
        <v>#REF!</v>
      </c>
      <c r="K418" s="50" t="e">
        <f>'Raw Data'!#REF!/K$1</f>
        <v>#REF!</v>
      </c>
      <c r="L418" s="50" t="e">
        <f>'Raw Data'!#REF!/L$1</f>
        <v>#REF!</v>
      </c>
      <c r="M418" s="50" t="e">
        <f>'Raw Data'!#REF!/M$1</f>
        <v>#REF!</v>
      </c>
      <c r="N418" s="50" t="e">
        <f>'Raw Data'!#REF!/N$1</f>
        <v>#REF!</v>
      </c>
      <c r="O418" s="50" t="e">
        <f>'Raw Data'!#REF!/O$1</f>
        <v>#REF!</v>
      </c>
      <c r="P418" s="50" t="str">
        <f t="shared" si="42"/>
        <v/>
      </c>
      <c r="Q418" s="50" t="e">
        <f t="shared" si="43"/>
        <v>#REF!</v>
      </c>
    </row>
    <row r="419" spans="1:17">
      <c r="A419" s="2" t="s">
        <v>210</v>
      </c>
      <c r="B419" s="44">
        <v>4</v>
      </c>
      <c r="C419" s="44">
        <v>2023</v>
      </c>
      <c r="D419" s="44" t="s">
        <v>211</v>
      </c>
      <c r="E419" s="44" t="s">
        <v>211</v>
      </c>
      <c r="F419" s="31">
        <v>45047</v>
      </c>
      <c r="G419" s="101">
        <f t="shared" si="41"/>
        <v>31</v>
      </c>
      <c r="H419" s="103">
        <f t="shared" si="32"/>
        <v>45068</v>
      </c>
      <c r="I419" s="141">
        <f>_xlfn.XLOOKUP(Table12[[#This Row],[Month Year]],'Modelling New'!D:D,'Modelling New'!N:N)</f>
        <v>10.507</v>
      </c>
      <c r="J419" s="50" t="e">
        <f>'Raw Data'!#REF!/J$1</f>
        <v>#REF!</v>
      </c>
      <c r="K419" s="50" t="e">
        <f>'Raw Data'!#REF!/K$1</f>
        <v>#REF!</v>
      </c>
      <c r="L419" s="50" t="e">
        <f>'Raw Data'!#REF!/L$1</f>
        <v>#REF!</v>
      </c>
      <c r="M419" s="50" t="e">
        <f>'Raw Data'!#REF!/M$1</f>
        <v>#REF!</v>
      </c>
      <c r="N419" s="50" t="e">
        <f>'Raw Data'!#REF!/N$1</f>
        <v>#REF!</v>
      </c>
      <c r="O419" s="50" t="e">
        <f>'Raw Data'!#REF!/O$1</f>
        <v>#REF!</v>
      </c>
      <c r="P419" s="50" t="str">
        <f t="shared" si="42"/>
        <v/>
      </c>
      <c r="Q419" s="50" t="e">
        <f t="shared" si="43"/>
        <v>#REF!</v>
      </c>
    </row>
    <row r="420" spans="1:17">
      <c r="A420" s="2" t="s">
        <v>210</v>
      </c>
      <c r="B420" s="44">
        <v>4</v>
      </c>
      <c r="C420" s="44">
        <v>2023</v>
      </c>
      <c r="D420" s="44" t="s">
        <v>211</v>
      </c>
      <c r="E420" s="44" t="s">
        <v>211</v>
      </c>
      <c r="F420" s="31">
        <v>45047</v>
      </c>
      <c r="G420" s="101">
        <f t="shared" si="41"/>
        <v>31</v>
      </c>
      <c r="H420" s="103">
        <f t="shared" si="32"/>
        <v>45069</v>
      </c>
      <c r="I420" s="141">
        <f>_xlfn.XLOOKUP(Table12[[#This Row],[Month Year]],'Modelling New'!D:D,'Modelling New'!N:N)</f>
        <v>10.507</v>
      </c>
      <c r="J420" s="50" t="e">
        <f>'Raw Data'!#REF!/J$1</f>
        <v>#REF!</v>
      </c>
      <c r="K420" s="50" t="e">
        <f>'Raw Data'!#REF!/K$1</f>
        <v>#REF!</v>
      </c>
      <c r="L420" s="50" t="e">
        <f>'Raw Data'!#REF!/L$1</f>
        <v>#REF!</v>
      </c>
      <c r="M420" s="50" t="e">
        <f>'Raw Data'!#REF!/M$1</f>
        <v>#REF!</v>
      </c>
      <c r="N420" s="50" t="e">
        <f>'Raw Data'!#REF!/N$1</f>
        <v>#REF!</v>
      </c>
      <c r="O420" s="50" t="e">
        <f>'Raw Data'!#REF!/O$1</f>
        <v>#REF!</v>
      </c>
      <c r="P420" s="50" t="str">
        <f t="shared" si="42"/>
        <v/>
      </c>
      <c r="Q420" s="50" t="e">
        <f t="shared" si="43"/>
        <v>#REF!</v>
      </c>
    </row>
    <row r="421" spans="1:17">
      <c r="A421" s="2" t="s">
        <v>210</v>
      </c>
      <c r="B421" s="44">
        <v>4</v>
      </c>
      <c r="C421" s="44">
        <v>2023</v>
      </c>
      <c r="D421" s="44" t="s">
        <v>211</v>
      </c>
      <c r="E421" s="44" t="s">
        <v>211</v>
      </c>
      <c r="F421" s="31">
        <v>45047</v>
      </c>
      <c r="G421" s="101">
        <f t="shared" si="41"/>
        <v>31</v>
      </c>
      <c r="H421" s="103">
        <f t="shared" si="32"/>
        <v>45070</v>
      </c>
      <c r="I421" s="141">
        <f>_xlfn.XLOOKUP(Table12[[#This Row],[Month Year]],'Modelling New'!D:D,'Modelling New'!N:N)</f>
        <v>10.507</v>
      </c>
      <c r="J421" s="50" t="e">
        <f>'Raw Data'!#REF!/J$1</f>
        <v>#REF!</v>
      </c>
      <c r="K421" s="50" t="e">
        <f>'Raw Data'!#REF!/K$1</f>
        <v>#REF!</v>
      </c>
      <c r="L421" s="50" t="e">
        <f>'Raw Data'!#REF!/L$1</f>
        <v>#REF!</v>
      </c>
      <c r="M421" s="50" t="e">
        <f>'Raw Data'!#REF!/M$1</f>
        <v>#REF!</v>
      </c>
      <c r="N421" s="50" t="e">
        <f>'Raw Data'!#REF!/N$1</f>
        <v>#REF!</v>
      </c>
      <c r="O421" s="50" t="e">
        <f>'Raw Data'!#REF!/O$1</f>
        <v>#REF!</v>
      </c>
      <c r="P421" s="50" t="str">
        <f t="shared" si="42"/>
        <v/>
      </c>
      <c r="Q421" s="50" t="e">
        <f t="shared" si="43"/>
        <v>#REF!</v>
      </c>
    </row>
    <row r="422" spans="1:17">
      <c r="A422" s="2" t="s">
        <v>210</v>
      </c>
      <c r="B422" s="44">
        <v>4</v>
      </c>
      <c r="C422" s="44">
        <v>2023</v>
      </c>
      <c r="D422" s="44" t="s">
        <v>211</v>
      </c>
      <c r="E422" s="44" t="s">
        <v>211</v>
      </c>
      <c r="F422" s="31">
        <v>45047</v>
      </c>
      <c r="G422" s="101">
        <f t="shared" si="41"/>
        <v>31</v>
      </c>
      <c r="H422" s="103">
        <f t="shared" si="32"/>
        <v>45071</v>
      </c>
      <c r="I422" s="141">
        <f>_xlfn.XLOOKUP(Table12[[#This Row],[Month Year]],'Modelling New'!D:D,'Modelling New'!N:N)</f>
        <v>10.507</v>
      </c>
      <c r="J422" s="50" t="e">
        <f>'Raw Data'!#REF!/J$1</f>
        <v>#REF!</v>
      </c>
      <c r="K422" s="50" t="e">
        <f>'Raw Data'!#REF!/K$1</f>
        <v>#REF!</v>
      </c>
      <c r="L422" s="50" t="e">
        <f>'Raw Data'!#REF!/L$1</f>
        <v>#REF!</v>
      </c>
      <c r="M422" s="50" t="e">
        <f>'Raw Data'!#REF!/M$1</f>
        <v>#REF!</v>
      </c>
      <c r="N422" s="50" t="e">
        <f>'Raw Data'!#REF!/N$1</f>
        <v>#REF!</v>
      </c>
      <c r="O422" s="50" t="e">
        <f>'Raw Data'!#REF!/O$1</f>
        <v>#REF!</v>
      </c>
      <c r="P422" s="50" t="str">
        <f t="shared" si="42"/>
        <v/>
      </c>
      <c r="Q422" s="50" t="e">
        <f t="shared" si="43"/>
        <v>#REF!</v>
      </c>
    </row>
    <row r="423" spans="1:17">
      <c r="A423" s="2" t="s">
        <v>210</v>
      </c>
      <c r="B423" s="44">
        <v>4</v>
      </c>
      <c r="C423" s="44">
        <v>2023</v>
      </c>
      <c r="D423" s="44" t="s">
        <v>211</v>
      </c>
      <c r="E423" s="44" t="s">
        <v>211</v>
      </c>
      <c r="F423" s="31">
        <v>45047</v>
      </c>
      <c r="G423" s="101">
        <f t="shared" si="41"/>
        <v>31</v>
      </c>
      <c r="H423" s="103">
        <f t="shared" si="32"/>
        <v>45072</v>
      </c>
      <c r="I423" s="141">
        <f>_xlfn.XLOOKUP(Table12[[#This Row],[Month Year]],'Modelling New'!D:D,'Modelling New'!N:N)</f>
        <v>10.507</v>
      </c>
      <c r="J423" s="50" t="e">
        <f>'Raw Data'!#REF!/J$1</f>
        <v>#REF!</v>
      </c>
      <c r="K423" s="50" t="e">
        <f>'Raw Data'!#REF!/K$1</f>
        <v>#REF!</v>
      </c>
      <c r="L423" s="50" t="e">
        <f>'Raw Data'!#REF!/L$1</f>
        <v>#REF!</v>
      </c>
      <c r="M423" s="50" t="e">
        <f>'Raw Data'!#REF!/M$1</f>
        <v>#REF!</v>
      </c>
      <c r="N423" s="50" t="e">
        <f>'Raw Data'!#REF!/N$1</f>
        <v>#REF!</v>
      </c>
      <c r="O423" s="50" t="e">
        <f>'Raw Data'!#REF!/O$1</f>
        <v>#REF!</v>
      </c>
      <c r="P423" s="50" t="str">
        <f t="shared" si="42"/>
        <v/>
      </c>
      <c r="Q423" s="50" t="e">
        <f t="shared" si="43"/>
        <v>#REF!</v>
      </c>
    </row>
    <row r="424" spans="1:17">
      <c r="A424" s="2" t="s">
        <v>210</v>
      </c>
      <c r="B424" s="44">
        <v>4</v>
      </c>
      <c r="C424" s="44">
        <v>2023</v>
      </c>
      <c r="D424" s="44" t="s">
        <v>211</v>
      </c>
      <c r="E424" s="44" t="s">
        <v>211</v>
      </c>
      <c r="F424" s="31">
        <v>45047</v>
      </c>
      <c r="G424" s="101">
        <f t="shared" si="41"/>
        <v>31</v>
      </c>
      <c r="H424" s="103">
        <f t="shared" si="32"/>
        <v>45073</v>
      </c>
      <c r="I424" s="141">
        <f>_xlfn.XLOOKUP(Table12[[#This Row],[Month Year]],'Modelling New'!D:D,'Modelling New'!N:N)</f>
        <v>10.507</v>
      </c>
      <c r="J424" s="50" t="e">
        <f>'Raw Data'!#REF!/J$1</f>
        <v>#REF!</v>
      </c>
      <c r="K424" s="50" t="e">
        <f>'Raw Data'!#REF!/K$1</f>
        <v>#REF!</v>
      </c>
      <c r="L424" s="50" t="e">
        <f>'Raw Data'!#REF!/L$1</f>
        <v>#REF!</v>
      </c>
      <c r="M424" s="50" t="e">
        <f>'Raw Data'!#REF!/M$1</f>
        <v>#REF!</v>
      </c>
      <c r="N424" s="50" t="e">
        <f>'Raw Data'!#REF!/N$1</f>
        <v>#REF!</v>
      </c>
      <c r="O424" s="50" t="e">
        <f>'Raw Data'!#REF!/O$1</f>
        <v>#REF!</v>
      </c>
      <c r="P424" s="50" t="str">
        <f t="shared" si="42"/>
        <v/>
      </c>
      <c r="Q424" s="50" t="e">
        <f t="shared" si="43"/>
        <v>#REF!</v>
      </c>
    </row>
    <row r="425" spans="1:17">
      <c r="A425" s="2" t="s">
        <v>210</v>
      </c>
      <c r="B425" s="44">
        <v>4</v>
      </c>
      <c r="C425" s="44">
        <v>2023</v>
      </c>
      <c r="D425" s="44" t="s">
        <v>211</v>
      </c>
      <c r="E425" s="44" t="s">
        <v>211</v>
      </c>
      <c r="F425" s="31">
        <v>45047</v>
      </c>
      <c r="G425" s="101">
        <f t="shared" si="41"/>
        <v>31</v>
      </c>
      <c r="H425" s="103">
        <f t="shared" si="32"/>
        <v>45074</v>
      </c>
      <c r="I425" s="141">
        <f>_xlfn.XLOOKUP(Table12[[#This Row],[Month Year]],'Modelling New'!D:D,'Modelling New'!N:N)</f>
        <v>10.507</v>
      </c>
      <c r="J425" s="50" t="e">
        <f>'Raw Data'!#REF!/J$1</f>
        <v>#REF!</v>
      </c>
      <c r="K425" s="50" t="e">
        <f>'Raw Data'!#REF!/K$1</f>
        <v>#REF!</v>
      </c>
      <c r="L425" s="50" t="e">
        <f>'Raw Data'!#REF!/L$1</f>
        <v>#REF!</v>
      </c>
      <c r="M425" s="50" t="e">
        <f>'Raw Data'!#REF!/M$1</f>
        <v>#REF!</v>
      </c>
      <c r="N425" s="50" t="e">
        <f>'Raw Data'!#REF!/N$1</f>
        <v>#REF!</v>
      </c>
      <c r="O425" s="50" t="e">
        <f>'Raw Data'!#REF!/O$1</f>
        <v>#REF!</v>
      </c>
      <c r="P425" s="50" t="str">
        <f t="shared" si="42"/>
        <v/>
      </c>
      <c r="Q425" s="50" t="e">
        <f t="shared" si="43"/>
        <v>#REF!</v>
      </c>
    </row>
    <row r="426" spans="1:17">
      <c r="A426" s="2" t="s">
        <v>210</v>
      </c>
      <c r="B426" s="44">
        <v>4</v>
      </c>
      <c r="C426" s="44">
        <v>2023</v>
      </c>
      <c r="D426" s="44" t="s">
        <v>211</v>
      </c>
      <c r="E426" s="44" t="s">
        <v>211</v>
      </c>
      <c r="F426" s="31">
        <v>45047</v>
      </c>
      <c r="G426" s="101">
        <f t="shared" si="41"/>
        <v>31</v>
      </c>
      <c r="H426" s="103">
        <f t="shared" si="32"/>
        <v>45075</v>
      </c>
      <c r="I426" s="141">
        <f>_xlfn.XLOOKUP(Table12[[#This Row],[Month Year]],'Modelling New'!D:D,'Modelling New'!N:N)</f>
        <v>10.507</v>
      </c>
      <c r="J426" s="50" t="e">
        <f>'Raw Data'!#REF!/J$1</f>
        <v>#REF!</v>
      </c>
      <c r="K426" s="50" t="e">
        <f>'Raw Data'!#REF!/K$1</f>
        <v>#REF!</v>
      </c>
      <c r="L426" s="50" t="e">
        <f>'Raw Data'!#REF!/L$1</f>
        <v>#REF!</v>
      </c>
      <c r="M426" s="50" t="e">
        <f>'Raw Data'!#REF!/M$1</f>
        <v>#REF!</v>
      </c>
      <c r="N426" s="50" t="e">
        <f>'Raw Data'!#REF!/N$1</f>
        <v>#REF!</v>
      </c>
      <c r="O426" s="50" t="e">
        <f>'Raw Data'!#REF!/O$1</f>
        <v>#REF!</v>
      </c>
      <c r="P426" s="50" t="str">
        <f t="shared" si="42"/>
        <v/>
      </c>
      <c r="Q426" s="50" t="e">
        <f t="shared" si="43"/>
        <v>#REF!</v>
      </c>
    </row>
    <row r="427" spans="1:17">
      <c r="A427" s="2" t="s">
        <v>210</v>
      </c>
      <c r="B427" s="44">
        <v>4</v>
      </c>
      <c r="C427" s="44">
        <v>2023</v>
      </c>
      <c r="D427" s="44" t="s">
        <v>211</v>
      </c>
      <c r="E427" s="44" t="s">
        <v>211</v>
      </c>
      <c r="F427" s="31">
        <v>45047</v>
      </c>
      <c r="G427" s="101">
        <f t="shared" si="41"/>
        <v>31</v>
      </c>
      <c r="H427" s="103">
        <f t="shared" si="32"/>
        <v>45076</v>
      </c>
      <c r="I427" s="141">
        <f>_xlfn.XLOOKUP(Table12[[#This Row],[Month Year]],'Modelling New'!D:D,'Modelling New'!N:N)</f>
        <v>10.507</v>
      </c>
      <c r="J427" s="50" t="e">
        <f>'Raw Data'!#REF!/J$1</f>
        <v>#REF!</v>
      </c>
      <c r="K427" s="50" t="e">
        <f>'Raw Data'!#REF!/K$1</f>
        <v>#REF!</v>
      </c>
      <c r="L427" s="50" t="e">
        <f>'Raw Data'!#REF!/L$1</f>
        <v>#REF!</v>
      </c>
      <c r="M427" s="50" t="e">
        <f>'Raw Data'!#REF!/M$1</f>
        <v>#REF!</v>
      </c>
      <c r="N427" s="50" t="e">
        <f>'Raw Data'!#REF!/N$1</f>
        <v>#REF!</v>
      </c>
      <c r="O427" s="50" t="e">
        <f>'Raw Data'!#REF!/O$1</f>
        <v>#REF!</v>
      </c>
      <c r="P427" s="50" t="str">
        <f t="shared" si="42"/>
        <v/>
      </c>
      <c r="Q427" s="50" t="e">
        <f t="shared" si="43"/>
        <v>#REF!</v>
      </c>
    </row>
    <row r="428" spans="1:17">
      <c r="A428" s="2" t="s">
        <v>210</v>
      </c>
      <c r="B428" s="44">
        <v>4</v>
      </c>
      <c r="C428" s="44">
        <v>2023</v>
      </c>
      <c r="D428" s="44" t="s">
        <v>211</v>
      </c>
      <c r="E428" s="44" t="s">
        <v>211</v>
      </c>
      <c r="F428" s="31">
        <v>45047</v>
      </c>
      <c r="G428" s="101">
        <f t="shared" si="41"/>
        <v>31</v>
      </c>
      <c r="H428" s="103">
        <f t="shared" si="32"/>
        <v>45077</v>
      </c>
      <c r="I428" s="141">
        <f>_xlfn.XLOOKUP(Table12[[#This Row],[Month Year]],'Modelling New'!D:D,'Modelling New'!N:N)</f>
        <v>10.507</v>
      </c>
      <c r="J428" s="50" t="e">
        <f>'Raw Data'!#REF!/J$1</f>
        <v>#REF!</v>
      </c>
      <c r="K428" s="50" t="e">
        <f>'Raw Data'!#REF!/K$1</f>
        <v>#REF!</v>
      </c>
      <c r="L428" s="50" t="e">
        <f>'Raw Data'!#REF!/L$1</f>
        <v>#REF!</v>
      </c>
      <c r="M428" s="50" t="e">
        <f>'Raw Data'!#REF!/M$1</f>
        <v>#REF!</v>
      </c>
      <c r="N428" s="50" t="e">
        <f>'Raw Data'!#REF!/N$1</f>
        <v>#REF!</v>
      </c>
      <c r="O428" s="50" t="e">
        <f>'Raw Data'!#REF!/O$1</f>
        <v>#REF!</v>
      </c>
      <c r="P428" s="50" t="str">
        <f t="shared" si="42"/>
        <v/>
      </c>
      <c r="Q428" s="50" t="e">
        <f t="shared" si="43"/>
        <v>#REF!</v>
      </c>
    </row>
    <row r="429" spans="1:17">
      <c r="A429" s="2" t="s">
        <v>210</v>
      </c>
      <c r="B429" s="44">
        <v>4</v>
      </c>
      <c r="C429" s="44">
        <v>2023</v>
      </c>
      <c r="D429" s="44" t="s">
        <v>211</v>
      </c>
      <c r="E429" s="44" t="s">
        <v>211</v>
      </c>
      <c r="F429" s="31">
        <v>45078</v>
      </c>
      <c r="G429" s="101">
        <f t="shared" si="41"/>
        <v>30</v>
      </c>
      <c r="H429" s="103">
        <f t="shared" si="32"/>
        <v>45078</v>
      </c>
      <c r="I429" s="141">
        <f>_xlfn.XLOOKUP(Table12[[#This Row],[Month Year]],'Modelling New'!D:D,'Modelling New'!N:N)</f>
        <v>10.507</v>
      </c>
      <c r="J429" s="50" t="e">
        <f>'Raw Data'!#REF!/J$1</f>
        <v>#REF!</v>
      </c>
      <c r="K429" s="50" t="e">
        <f>'Raw Data'!#REF!/K$1</f>
        <v>#REF!</v>
      </c>
      <c r="L429" s="50" t="e">
        <f>'Raw Data'!#REF!/L$1</f>
        <v>#REF!</v>
      </c>
      <c r="M429" s="50" t="e">
        <f>'Raw Data'!#REF!/M$1</f>
        <v>#REF!</v>
      </c>
      <c r="N429" s="50" t="e">
        <f>'Raw Data'!#REF!/N$1</f>
        <v>#REF!</v>
      </c>
      <c r="O429" s="50" t="e">
        <f>'Raw Data'!#REF!/O$1</f>
        <v>#REF!</v>
      </c>
      <c r="P429" s="50" t="str">
        <f t="shared" si="42"/>
        <v/>
      </c>
      <c r="Q429" s="50" t="e">
        <f t="shared" si="43"/>
        <v>#REF!</v>
      </c>
    </row>
    <row r="430" spans="1:17">
      <c r="A430" s="2" t="s">
        <v>210</v>
      </c>
      <c r="B430" s="44">
        <v>4</v>
      </c>
      <c r="C430" s="44">
        <v>2023</v>
      </c>
      <c r="D430" s="44" t="s">
        <v>211</v>
      </c>
      <c r="E430" s="44" t="s">
        <v>211</v>
      </c>
      <c r="F430" s="31">
        <v>45078</v>
      </c>
      <c r="G430" s="101">
        <f t="shared" si="41"/>
        <v>30</v>
      </c>
      <c r="H430" s="103">
        <f t="shared" si="32"/>
        <v>45079</v>
      </c>
      <c r="I430" s="141">
        <f>_xlfn.XLOOKUP(Table12[[#This Row],[Month Year]],'Modelling New'!D:D,'Modelling New'!N:N)</f>
        <v>10.507</v>
      </c>
      <c r="J430" s="50" t="e">
        <f>'Raw Data'!#REF!/J$1</f>
        <v>#REF!</v>
      </c>
      <c r="K430" s="50" t="e">
        <f>'Raw Data'!#REF!/K$1</f>
        <v>#REF!</v>
      </c>
      <c r="L430" s="50" t="e">
        <f>'Raw Data'!#REF!/L$1</f>
        <v>#REF!</v>
      </c>
      <c r="M430" s="50" t="e">
        <f>'Raw Data'!#REF!/M$1</f>
        <v>#REF!</v>
      </c>
      <c r="N430" s="50" t="e">
        <f>'Raw Data'!#REF!/N$1</f>
        <v>#REF!</v>
      </c>
      <c r="O430" s="50" t="e">
        <f>'Raw Data'!#REF!/O$1</f>
        <v>#REF!</v>
      </c>
      <c r="P430" s="50" t="str">
        <f t="shared" si="42"/>
        <v/>
      </c>
      <c r="Q430" s="50" t="e">
        <f t="shared" si="43"/>
        <v>#REF!</v>
      </c>
    </row>
    <row r="431" spans="1:17">
      <c r="A431" s="2" t="s">
        <v>210</v>
      </c>
      <c r="B431" s="44">
        <v>4</v>
      </c>
      <c r="C431" s="44">
        <v>2023</v>
      </c>
      <c r="D431" s="44" t="s">
        <v>211</v>
      </c>
      <c r="E431" s="44" t="s">
        <v>211</v>
      </c>
      <c r="F431" s="31">
        <v>45078</v>
      </c>
      <c r="G431" s="101">
        <f t="shared" si="41"/>
        <v>30</v>
      </c>
      <c r="H431" s="103">
        <f t="shared" si="32"/>
        <v>45080</v>
      </c>
      <c r="I431" s="141">
        <f>_xlfn.XLOOKUP(Table12[[#This Row],[Month Year]],'Modelling New'!D:D,'Modelling New'!N:N)</f>
        <v>10.507</v>
      </c>
      <c r="J431" s="50" t="e">
        <f>'Raw Data'!#REF!/J$1</f>
        <v>#REF!</v>
      </c>
      <c r="K431" s="50" t="e">
        <f>'Raw Data'!#REF!/K$1</f>
        <v>#REF!</v>
      </c>
      <c r="L431" s="50" t="e">
        <f>'Raw Data'!#REF!/L$1</f>
        <v>#REF!</v>
      </c>
      <c r="M431" s="50" t="e">
        <f>'Raw Data'!#REF!/M$1</f>
        <v>#REF!</v>
      </c>
      <c r="N431" s="50" t="e">
        <f>'Raw Data'!#REF!/N$1</f>
        <v>#REF!</v>
      </c>
      <c r="O431" s="50" t="e">
        <f>'Raw Data'!#REF!/O$1</f>
        <v>#REF!</v>
      </c>
      <c r="P431" s="50" t="str">
        <f t="shared" si="42"/>
        <v/>
      </c>
      <c r="Q431" s="50" t="e">
        <f t="shared" si="43"/>
        <v>#REF!</v>
      </c>
    </row>
    <row r="432" spans="1:17">
      <c r="A432" s="2" t="s">
        <v>210</v>
      </c>
      <c r="B432" s="44">
        <v>4</v>
      </c>
      <c r="C432" s="44">
        <v>2023</v>
      </c>
      <c r="D432" s="44" t="s">
        <v>211</v>
      </c>
      <c r="E432" s="44" t="s">
        <v>211</v>
      </c>
      <c r="F432" s="31">
        <v>45078</v>
      </c>
      <c r="G432" s="101">
        <f t="shared" si="41"/>
        <v>30</v>
      </c>
      <c r="H432" s="103">
        <f t="shared" si="32"/>
        <v>45081</v>
      </c>
      <c r="I432" s="141">
        <f>_xlfn.XLOOKUP(Table12[[#This Row],[Month Year]],'Modelling New'!D:D,'Modelling New'!N:N)</f>
        <v>10.507</v>
      </c>
      <c r="J432" s="50" t="e">
        <f>'Raw Data'!#REF!/J$1</f>
        <v>#REF!</v>
      </c>
      <c r="K432" s="50" t="e">
        <f>'Raw Data'!#REF!/K$1</f>
        <v>#REF!</v>
      </c>
      <c r="L432" s="50" t="e">
        <f>'Raw Data'!#REF!/L$1</f>
        <v>#REF!</v>
      </c>
      <c r="M432" s="50" t="e">
        <f>'Raw Data'!#REF!/M$1</f>
        <v>#REF!</v>
      </c>
      <c r="N432" s="50" t="e">
        <f>'Raw Data'!#REF!/N$1</f>
        <v>#REF!</v>
      </c>
      <c r="O432" s="50" t="e">
        <f>'Raw Data'!#REF!/O$1</f>
        <v>#REF!</v>
      </c>
      <c r="P432" s="50" t="str">
        <f t="shared" si="42"/>
        <v/>
      </c>
      <c r="Q432" s="50" t="e">
        <f t="shared" si="43"/>
        <v>#REF!</v>
      </c>
    </row>
    <row r="433" spans="1:17">
      <c r="A433" s="2" t="s">
        <v>210</v>
      </c>
      <c r="B433" s="44">
        <v>4</v>
      </c>
      <c r="C433" s="44">
        <v>2023</v>
      </c>
      <c r="D433" s="44" t="s">
        <v>211</v>
      </c>
      <c r="E433" s="44" t="s">
        <v>211</v>
      </c>
      <c r="F433" s="31">
        <v>45078</v>
      </c>
      <c r="G433" s="101">
        <f t="shared" si="41"/>
        <v>30</v>
      </c>
      <c r="H433" s="103">
        <f t="shared" si="32"/>
        <v>45082</v>
      </c>
      <c r="I433" s="141">
        <f>_xlfn.XLOOKUP(Table12[[#This Row],[Month Year]],'Modelling New'!D:D,'Modelling New'!N:N)</f>
        <v>10.507</v>
      </c>
      <c r="J433" s="50" t="e">
        <f>'Raw Data'!#REF!/J$1</f>
        <v>#REF!</v>
      </c>
      <c r="K433" s="50" t="e">
        <f>'Raw Data'!#REF!/K$1</f>
        <v>#REF!</v>
      </c>
      <c r="L433" s="50" t="e">
        <f>'Raw Data'!#REF!/L$1</f>
        <v>#REF!</v>
      </c>
      <c r="M433" s="50" t="e">
        <f>'Raw Data'!#REF!/M$1</f>
        <v>#REF!</v>
      </c>
      <c r="N433" s="50" t="e">
        <f>'Raw Data'!#REF!/N$1</f>
        <v>#REF!</v>
      </c>
      <c r="O433" s="50" t="e">
        <f>'Raw Data'!#REF!/O$1</f>
        <v>#REF!</v>
      </c>
      <c r="P433" s="50" t="str">
        <f t="shared" si="42"/>
        <v/>
      </c>
      <c r="Q433" s="50" t="e">
        <f t="shared" si="43"/>
        <v>#REF!</v>
      </c>
    </row>
    <row r="434" spans="1:17">
      <c r="A434" s="2" t="s">
        <v>210</v>
      </c>
      <c r="B434" s="44">
        <v>4</v>
      </c>
      <c r="C434" s="44">
        <v>2023</v>
      </c>
      <c r="D434" s="44" t="s">
        <v>211</v>
      </c>
      <c r="E434" s="44" t="s">
        <v>211</v>
      </c>
      <c r="F434" s="31">
        <v>45078</v>
      </c>
      <c r="G434" s="101">
        <f t="shared" si="41"/>
        <v>30</v>
      </c>
      <c r="H434" s="103">
        <f t="shared" si="32"/>
        <v>45083</v>
      </c>
      <c r="I434" s="141">
        <f>_xlfn.XLOOKUP(Table12[[#This Row],[Month Year]],'Modelling New'!D:D,'Modelling New'!N:N)</f>
        <v>10.507</v>
      </c>
      <c r="J434" s="50" t="e">
        <f>'Raw Data'!#REF!/J$1</f>
        <v>#REF!</v>
      </c>
      <c r="K434" s="50" t="e">
        <f>'Raw Data'!#REF!/K$1</f>
        <v>#REF!</v>
      </c>
      <c r="L434" s="50" t="e">
        <f>'Raw Data'!#REF!/L$1</f>
        <v>#REF!</v>
      </c>
      <c r="M434" s="50" t="e">
        <f>'Raw Data'!#REF!/M$1</f>
        <v>#REF!</v>
      </c>
      <c r="N434" s="50" t="e">
        <f>'Raw Data'!#REF!/N$1</f>
        <v>#REF!</v>
      </c>
      <c r="O434" s="50" t="e">
        <f>'Raw Data'!#REF!/O$1</f>
        <v>#REF!</v>
      </c>
      <c r="P434" s="50" t="str">
        <f t="shared" si="42"/>
        <v/>
      </c>
      <c r="Q434" s="50" t="e">
        <f t="shared" si="43"/>
        <v>#REF!</v>
      </c>
    </row>
    <row r="435" spans="1:17">
      <c r="A435" s="2" t="s">
        <v>210</v>
      </c>
      <c r="B435" s="44">
        <v>4</v>
      </c>
      <c r="C435" s="44">
        <v>2023</v>
      </c>
      <c r="D435" s="44" t="s">
        <v>211</v>
      </c>
      <c r="E435" s="44" t="s">
        <v>211</v>
      </c>
      <c r="F435" s="31">
        <v>45078</v>
      </c>
      <c r="G435" s="101">
        <f t="shared" si="41"/>
        <v>30</v>
      </c>
      <c r="H435" s="103">
        <f t="shared" si="32"/>
        <v>45084</v>
      </c>
      <c r="I435" s="141">
        <f>_xlfn.XLOOKUP(Table12[[#This Row],[Month Year]],'Modelling New'!D:D,'Modelling New'!N:N)</f>
        <v>10.507</v>
      </c>
      <c r="J435" s="50" t="e">
        <f>'Raw Data'!#REF!/J$1</f>
        <v>#REF!</v>
      </c>
      <c r="K435" s="50" t="e">
        <f>'Raw Data'!#REF!/K$1</f>
        <v>#REF!</v>
      </c>
      <c r="L435" s="50" t="e">
        <f>'Raw Data'!#REF!/L$1</f>
        <v>#REF!</v>
      </c>
      <c r="M435" s="50" t="e">
        <f>'Raw Data'!#REF!/M$1</f>
        <v>#REF!</v>
      </c>
      <c r="N435" s="50" t="e">
        <f>'Raw Data'!#REF!/N$1</f>
        <v>#REF!</v>
      </c>
      <c r="O435" s="50" t="e">
        <f>'Raw Data'!#REF!/O$1</f>
        <v>#REF!</v>
      </c>
      <c r="P435" s="50" t="str">
        <f t="shared" si="42"/>
        <v/>
      </c>
      <c r="Q435" s="50" t="e">
        <f t="shared" si="43"/>
        <v>#REF!</v>
      </c>
    </row>
    <row r="436" spans="1:17">
      <c r="A436" s="2" t="s">
        <v>210</v>
      </c>
      <c r="B436" s="44">
        <v>4</v>
      </c>
      <c r="C436" s="44">
        <v>2023</v>
      </c>
      <c r="D436" s="44" t="s">
        <v>211</v>
      </c>
      <c r="E436" s="44" t="s">
        <v>211</v>
      </c>
      <c r="F436" s="31">
        <v>45078</v>
      </c>
      <c r="G436" s="101">
        <f t="shared" si="41"/>
        <v>30</v>
      </c>
      <c r="H436" s="103">
        <f t="shared" si="32"/>
        <v>45085</v>
      </c>
      <c r="I436" s="141">
        <f>_xlfn.XLOOKUP(Table12[[#This Row],[Month Year]],'Modelling New'!D:D,'Modelling New'!N:N)</f>
        <v>10.507</v>
      </c>
      <c r="J436" s="50" t="e">
        <f>'Raw Data'!#REF!/J$1</f>
        <v>#REF!</v>
      </c>
      <c r="K436" s="50" t="e">
        <f>'Raw Data'!#REF!/K$1</f>
        <v>#REF!</v>
      </c>
      <c r="L436" s="50" t="e">
        <f>'Raw Data'!#REF!/L$1</f>
        <v>#REF!</v>
      </c>
      <c r="M436" s="50" t="e">
        <f>'Raw Data'!#REF!/M$1</f>
        <v>#REF!</v>
      </c>
      <c r="N436" s="50" t="e">
        <f>'Raw Data'!#REF!/N$1</f>
        <v>#REF!</v>
      </c>
      <c r="O436" s="50" t="e">
        <f>'Raw Data'!#REF!/O$1</f>
        <v>#REF!</v>
      </c>
      <c r="P436" s="50" t="str">
        <f t="shared" si="42"/>
        <v/>
      </c>
      <c r="Q436" s="50" t="e">
        <f t="shared" si="43"/>
        <v>#REF!</v>
      </c>
    </row>
    <row r="437" spans="1:17">
      <c r="A437" s="2" t="s">
        <v>210</v>
      </c>
      <c r="B437" s="44">
        <v>4</v>
      </c>
      <c r="C437" s="44">
        <v>2023</v>
      </c>
      <c r="D437" s="44" t="s">
        <v>211</v>
      </c>
      <c r="E437" s="44" t="s">
        <v>211</v>
      </c>
      <c r="F437" s="31">
        <v>45078</v>
      </c>
      <c r="G437" s="101">
        <f t="shared" si="41"/>
        <v>30</v>
      </c>
      <c r="H437" s="103">
        <f t="shared" si="32"/>
        <v>45086</v>
      </c>
      <c r="I437" s="141">
        <f>_xlfn.XLOOKUP(Table12[[#This Row],[Month Year]],'Modelling New'!D:D,'Modelling New'!N:N)</f>
        <v>10.507</v>
      </c>
      <c r="J437" s="50" t="e">
        <f>'Raw Data'!#REF!/J$1</f>
        <v>#REF!</v>
      </c>
      <c r="K437" s="50" t="e">
        <f>'Raw Data'!#REF!/K$1</f>
        <v>#REF!</v>
      </c>
      <c r="L437" s="50" t="e">
        <f>'Raw Data'!#REF!/L$1</f>
        <v>#REF!</v>
      </c>
      <c r="M437" s="50" t="e">
        <f>'Raw Data'!#REF!/M$1</f>
        <v>#REF!</v>
      </c>
      <c r="N437" s="50" t="e">
        <f>'Raw Data'!#REF!/N$1</f>
        <v>#REF!</v>
      </c>
      <c r="O437" s="50" t="e">
        <f>'Raw Data'!#REF!/O$1</f>
        <v>#REF!</v>
      </c>
      <c r="P437" s="50" t="str">
        <f t="shared" si="42"/>
        <v/>
      </c>
      <c r="Q437" s="50" t="e">
        <f t="shared" si="43"/>
        <v>#REF!</v>
      </c>
    </row>
    <row r="438" spans="1:17">
      <c r="A438" s="2" t="s">
        <v>210</v>
      </c>
      <c r="B438" s="44">
        <v>4</v>
      </c>
      <c r="C438" s="44">
        <v>2023</v>
      </c>
      <c r="D438" s="44" t="s">
        <v>211</v>
      </c>
      <c r="E438" s="44" t="s">
        <v>211</v>
      </c>
      <c r="F438" s="31">
        <v>45078</v>
      </c>
      <c r="G438" s="101">
        <f t="shared" si="41"/>
        <v>30</v>
      </c>
      <c r="H438" s="103">
        <f t="shared" si="32"/>
        <v>45087</v>
      </c>
      <c r="I438" s="141">
        <f>_xlfn.XLOOKUP(Table12[[#This Row],[Month Year]],'Modelling New'!D:D,'Modelling New'!N:N)</f>
        <v>10.507</v>
      </c>
      <c r="J438" s="50" t="e">
        <f>'Raw Data'!#REF!/J$1</f>
        <v>#REF!</v>
      </c>
      <c r="K438" s="50" t="e">
        <f>'Raw Data'!#REF!/K$1</f>
        <v>#REF!</v>
      </c>
      <c r="L438" s="50" t="e">
        <f>'Raw Data'!#REF!/L$1</f>
        <v>#REF!</v>
      </c>
      <c r="M438" s="50" t="e">
        <f>'Raw Data'!#REF!/M$1</f>
        <v>#REF!</v>
      </c>
      <c r="N438" s="50" t="e">
        <f>'Raw Data'!#REF!/N$1</f>
        <v>#REF!</v>
      </c>
      <c r="O438" s="50" t="e">
        <f>'Raw Data'!#REF!/O$1</f>
        <v>#REF!</v>
      </c>
      <c r="P438" s="50" t="str">
        <f t="shared" si="42"/>
        <v/>
      </c>
      <c r="Q438" s="50" t="e">
        <f t="shared" si="43"/>
        <v>#REF!</v>
      </c>
    </row>
    <row r="439" spans="1:17">
      <c r="A439" s="2" t="s">
        <v>210</v>
      </c>
      <c r="B439" s="44">
        <v>4</v>
      </c>
      <c r="C439" s="44">
        <v>2023</v>
      </c>
      <c r="D439" s="44" t="s">
        <v>211</v>
      </c>
      <c r="E439" s="44" t="s">
        <v>211</v>
      </c>
      <c r="F439" s="31">
        <v>45078</v>
      </c>
      <c r="G439" s="101">
        <f t="shared" si="41"/>
        <v>30</v>
      </c>
      <c r="H439" s="103">
        <f t="shared" si="32"/>
        <v>45088</v>
      </c>
      <c r="I439" s="141">
        <f>_xlfn.XLOOKUP(Table12[[#This Row],[Month Year]],'Modelling New'!D:D,'Modelling New'!N:N)</f>
        <v>10.507</v>
      </c>
      <c r="J439" s="50" t="e">
        <f>'Raw Data'!#REF!/J$1</f>
        <v>#REF!</v>
      </c>
      <c r="K439" s="50" t="e">
        <f>'Raw Data'!#REF!/K$1</f>
        <v>#REF!</v>
      </c>
      <c r="L439" s="50" t="e">
        <f>'Raw Data'!#REF!/L$1</f>
        <v>#REF!</v>
      </c>
      <c r="M439" s="50" t="e">
        <f>'Raw Data'!#REF!/M$1</f>
        <v>#REF!</v>
      </c>
      <c r="N439" s="50" t="e">
        <f>'Raw Data'!#REF!/N$1</f>
        <v>#REF!</v>
      </c>
      <c r="O439" s="50" t="e">
        <f>'Raw Data'!#REF!/O$1</f>
        <v>#REF!</v>
      </c>
      <c r="P439" s="50" t="str">
        <f t="shared" si="42"/>
        <v/>
      </c>
      <c r="Q439" s="50" t="e">
        <f t="shared" si="43"/>
        <v>#REF!</v>
      </c>
    </row>
    <row r="440" spans="1:17">
      <c r="A440" s="2" t="s">
        <v>210</v>
      </c>
      <c r="B440" s="44">
        <v>4</v>
      </c>
      <c r="C440" s="44">
        <v>2023</v>
      </c>
      <c r="D440" s="44" t="s">
        <v>211</v>
      </c>
      <c r="E440" s="44" t="s">
        <v>211</v>
      </c>
      <c r="F440" s="31">
        <v>45078</v>
      </c>
      <c r="G440" s="101">
        <f t="shared" si="41"/>
        <v>30</v>
      </c>
      <c r="H440" s="103">
        <f t="shared" si="32"/>
        <v>45089</v>
      </c>
      <c r="I440" s="141">
        <f>_xlfn.XLOOKUP(Table12[[#This Row],[Month Year]],'Modelling New'!D:D,'Modelling New'!N:N)</f>
        <v>10.507</v>
      </c>
      <c r="J440" s="50" t="e">
        <f>'Raw Data'!#REF!/J$1</f>
        <v>#REF!</v>
      </c>
      <c r="K440" s="50" t="e">
        <f>'Raw Data'!#REF!/K$1</f>
        <v>#REF!</v>
      </c>
      <c r="L440" s="50" t="e">
        <f>'Raw Data'!#REF!/L$1</f>
        <v>#REF!</v>
      </c>
      <c r="M440" s="50" t="e">
        <f>'Raw Data'!#REF!/M$1</f>
        <v>#REF!</v>
      </c>
      <c r="N440" s="50" t="e">
        <f>'Raw Data'!#REF!/N$1</f>
        <v>#REF!</v>
      </c>
      <c r="O440" s="50" t="e">
        <f>'Raw Data'!#REF!/O$1</f>
        <v>#REF!</v>
      </c>
      <c r="P440" s="50" t="str">
        <f t="shared" si="42"/>
        <v/>
      </c>
      <c r="Q440" s="50" t="e">
        <f t="shared" si="43"/>
        <v>#REF!</v>
      </c>
    </row>
    <row r="441" spans="1:17">
      <c r="A441" s="2" t="s">
        <v>210</v>
      </c>
      <c r="B441" s="44">
        <v>4</v>
      </c>
      <c r="C441" s="44">
        <v>2023</v>
      </c>
      <c r="D441" s="44" t="s">
        <v>211</v>
      </c>
      <c r="E441" s="44" t="s">
        <v>211</v>
      </c>
      <c r="F441" s="31">
        <v>45078</v>
      </c>
      <c r="G441" s="101">
        <f t="shared" ref="G441:G447" si="44">DAY(EOMONTH(F441,0))</f>
        <v>30</v>
      </c>
      <c r="H441" s="103">
        <f t="shared" ref="H441:H504" si="45">H440+1</f>
        <v>45090</v>
      </c>
      <c r="I441" s="141">
        <f>_xlfn.XLOOKUP(Table12[[#This Row],[Month Year]],'Modelling New'!D:D,'Modelling New'!N:N)</f>
        <v>10.507</v>
      </c>
      <c r="J441" s="50" t="e">
        <f>'Raw Data'!#REF!/J$1</f>
        <v>#REF!</v>
      </c>
      <c r="K441" s="50" t="e">
        <f>'Raw Data'!#REF!/K$1</f>
        <v>#REF!</v>
      </c>
      <c r="L441" s="50" t="e">
        <f>'Raw Data'!#REF!/L$1</f>
        <v>#REF!</v>
      </c>
      <c r="M441" s="50" t="e">
        <f>'Raw Data'!#REF!/M$1</f>
        <v>#REF!</v>
      </c>
      <c r="N441" s="50" t="e">
        <f>'Raw Data'!#REF!/N$1</f>
        <v>#REF!</v>
      </c>
      <c r="O441" s="50" t="e">
        <f>'Raw Data'!#REF!/O$1</f>
        <v>#REF!</v>
      </c>
      <c r="P441" s="50" t="str">
        <f t="shared" ref="P441:P447" si="46">IFERROR(AVERAGEIF(J441:O441,"&gt;"&amp;0,J441:O441),"")</f>
        <v/>
      </c>
      <c r="Q441" s="50" t="e">
        <f t="shared" ref="Q441:Q447" si="47">MAXA(J441:O441)</f>
        <v>#REF!</v>
      </c>
    </row>
    <row r="442" spans="1:17">
      <c r="A442" s="2" t="s">
        <v>210</v>
      </c>
      <c r="B442" s="44">
        <v>4</v>
      </c>
      <c r="C442" s="44">
        <v>2023</v>
      </c>
      <c r="D442" s="44" t="s">
        <v>211</v>
      </c>
      <c r="E442" s="44" t="s">
        <v>211</v>
      </c>
      <c r="F442" s="31">
        <v>45078</v>
      </c>
      <c r="G442" s="101">
        <f t="shared" si="44"/>
        <v>30</v>
      </c>
      <c r="H442" s="103">
        <f t="shared" si="45"/>
        <v>45091</v>
      </c>
      <c r="I442" s="141">
        <f>_xlfn.XLOOKUP(Table12[[#This Row],[Month Year]],'Modelling New'!D:D,'Modelling New'!N:N)</f>
        <v>10.507</v>
      </c>
      <c r="J442" s="50" t="e">
        <f>'Raw Data'!#REF!/J$1</f>
        <v>#REF!</v>
      </c>
      <c r="K442" s="50" t="e">
        <f>'Raw Data'!#REF!/K$1</f>
        <v>#REF!</v>
      </c>
      <c r="L442" s="50" t="e">
        <f>'Raw Data'!#REF!/L$1</f>
        <v>#REF!</v>
      </c>
      <c r="M442" s="50" t="e">
        <f>'Raw Data'!#REF!/M$1</f>
        <v>#REF!</v>
      </c>
      <c r="N442" s="50" t="e">
        <f>'Raw Data'!#REF!/N$1</f>
        <v>#REF!</v>
      </c>
      <c r="O442" s="50" t="e">
        <f>'Raw Data'!#REF!/O$1</f>
        <v>#REF!</v>
      </c>
      <c r="P442" s="50" t="str">
        <f t="shared" si="46"/>
        <v/>
      </c>
      <c r="Q442" s="50" t="e">
        <f t="shared" si="47"/>
        <v>#REF!</v>
      </c>
    </row>
    <row r="443" spans="1:17">
      <c r="A443" s="2" t="s">
        <v>210</v>
      </c>
      <c r="B443" s="44">
        <v>4</v>
      </c>
      <c r="C443" s="44">
        <v>2023</v>
      </c>
      <c r="D443" s="44" t="s">
        <v>211</v>
      </c>
      <c r="E443" s="44" t="s">
        <v>211</v>
      </c>
      <c r="F443" s="31">
        <v>45078</v>
      </c>
      <c r="G443" s="101">
        <f t="shared" si="44"/>
        <v>30</v>
      </c>
      <c r="H443" s="103">
        <f t="shared" si="45"/>
        <v>45092</v>
      </c>
      <c r="I443" s="141">
        <f>_xlfn.XLOOKUP(Table12[[#This Row],[Month Year]],'Modelling New'!D:D,'Modelling New'!N:N)</f>
        <v>10.507</v>
      </c>
      <c r="J443" s="50" t="e">
        <f>'Raw Data'!#REF!/J$1</f>
        <v>#REF!</v>
      </c>
      <c r="K443" s="50" t="e">
        <f>'Raw Data'!#REF!/K$1</f>
        <v>#REF!</v>
      </c>
      <c r="L443" s="50" t="e">
        <f>'Raw Data'!#REF!/L$1</f>
        <v>#REF!</v>
      </c>
      <c r="M443" s="50" t="e">
        <f>'Raw Data'!#REF!/M$1</f>
        <v>#REF!</v>
      </c>
      <c r="N443" s="50" t="e">
        <f>'Raw Data'!#REF!/N$1</f>
        <v>#REF!</v>
      </c>
      <c r="O443" s="50" t="e">
        <f>'Raw Data'!#REF!/O$1</f>
        <v>#REF!</v>
      </c>
      <c r="P443" s="50" t="str">
        <f t="shared" si="46"/>
        <v/>
      </c>
      <c r="Q443" s="50" t="e">
        <f t="shared" si="47"/>
        <v>#REF!</v>
      </c>
    </row>
    <row r="444" spans="1:17">
      <c r="A444" s="2" t="s">
        <v>210</v>
      </c>
      <c r="B444" s="44">
        <v>4</v>
      </c>
      <c r="C444" s="44">
        <v>2023</v>
      </c>
      <c r="D444" s="44" t="s">
        <v>211</v>
      </c>
      <c r="E444" s="44" t="s">
        <v>211</v>
      </c>
      <c r="F444" s="31">
        <v>45078</v>
      </c>
      <c r="G444" s="101">
        <f t="shared" si="44"/>
        <v>30</v>
      </c>
      <c r="H444" s="103">
        <f t="shared" si="45"/>
        <v>45093</v>
      </c>
      <c r="I444" s="141">
        <f>_xlfn.XLOOKUP(Table12[[#This Row],[Month Year]],'Modelling New'!D:D,'Modelling New'!N:N)</f>
        <v>10.507</v>
      </c>
      <c r="J444" s="50" t="e">
        <f>'Raw Data'!#REF!/J$1</f>
        <v>#REF!</v>
      </c>
      <c r="K444" s="50" t="e">
        <f>'Raw Data'!#REF!/K$1</f>
        <v>#REF!</v>
      </c>
      <c r="L444" s="50" t="e">
        <f>'Raw Data'!#REF!/L$1</f>
        <v>#REF!</v>
      </c>
      <c r="M444" s="50" t="e">
        <f>'Raw Data'!#REF!/M$1</f>
        <v>#REF!</v>
      </c>
      <c r="N444" s="50" t="e">
        <f>'Raw Data'!#REF!/N$1</f>
        <v>#REF!</v>
      </c>
      <c r="O444" s="50" t="e">
        <f>'Raw Data'!#REF!/O$1</f>
        <v>#REF!</v>
      </c>
      <c r="P444" s="50" t="str">
        <f t="shared" si="46"/>
        <v/>
      </c>
      <c r="Q444" s="50" t="e">
        <f t="shared" si="47"/>
        <v>#REF!</v>
      </c>
    </row>
    <row r="445" spans="1:17">
      <c r="A445" s="2" t="s">
        <v>210</v>
      </c>
      <c r="B445" s="44">
        <v>4</v>
      </c>
      <c r="C445" s="44">
        <v>2023</v>
      </c>
      <c r="D445" s="44" t="s">
        <v>211</v>
      </c>
      <c r="E445" s="44" t="s">
        <v>211</v>
      </c>
      <c r="F445" s="31">
        <v>45078</v>
      </c>
      <c r="G445" s="101">
        <f t="shared" si="44"/>
        <v>30</v>
      </c>
      <c r="H445" s="103">
        <f t="shared" si="45"/>
        <v>45094</v>
      </c>
      <c r="I445" s="141">
        <f>_xlfn.XLOOKUP(Table12[[#This Row],[Month Year]],'Modelling New'!D:D,'Modelling New'!N:N)</f>
        <v>10.507</v>
      </c>
      <c r="J445" s="50" t="e">
        <f>'Raw Data'!#REF!/J$1</f>
        <v>#REF!</v>
      </c>
      <c r="K445" s="50" t="e">
        <f>'Raw Data'!#REF!/K$1</f>
        <v>#REF!</v>
      </c>
      <c r="L445" s="50" t="e">
        <f>'Raw Data'!#REF!/L$1</f>
        <v>#REF!</v>
      </c>
      <c r="M445" s="50" t="e">
        <f>'Raw Data'!#REF!/M$1</f>
        <v>#REF!</v>
      </c>
      <c r="N445" s="50" t="e">
        <f>'Raw Data'!#REF!/N$1</f>
        <v>#REF!</v>
      </c>
      <c r="O445" s="50" t="e">
        <f>'Raw Data'!#REF!/O$1</f>
        <v>#REF!</v>
      </c>
      <c r="P445" s="50" t="str">
        <f t="shared" si="46"/>
        <v/>
      </c>
      <c r="Q445" s="50" t="e">
        <f t="shared" si="47"/>
        <v>#REF!</v>
      </c>
    </row>
    <row r="446" spans="1:17">
      <c r="A446" s="2" t="s">
        <v>210</v>
      </c>
      <c r="B446" s="44">
        <v>4</v>
      </c>
      <c r="C446" s="44">
        <v>2023</v>
      </c>
      <c r="D446" s="44" t="s">
        <v>211</v>
      </c>
      <c r="E446" s="44" t="s">
        <v>211</v>
      </c>
      <c r="F446" s="31">
        <v>45078</v>
      </c>
      <c r="G446" s="101">
        <f t="shared" si="44"/>
        <v>30</v>
      </c>
      <c r="H446" s="103">
        <f t="shared" si="45"/>
        <v>45095</v>
      </c>
      <c r="I446" s="141">
        <f>_xlfn.XLOOKUP(Table12[[#This Row],[Month Year]],'Modelling New'!D:D,'Modelling New'!N:N)</f>
        <v>10.507</v>
      </c>
      <c r="J446" s="50" t="e">
        <f>'Raw Data'!#REF!/J$1</f>
        <v>#REF!</v>
      </c>
      <c r="K446" s="50" t="e">
        <f>'Raw Data'!#REF!/K$1</f>
        <v>#REF!</v>
      </c>
      <c r="L446" s="50" t="e">
        <f>'Raw Data'!#REF!/L$1</f>
        <v>#REF!</v>
      </c>
      <c r="M446" s="50" t="e">
        <f>'Raw Data'!#REF!/M$1</f>
        <v>#REF!</v>
      </c>
      <c r="N446" s="50" t="e">
        <f>'Raw Data'!#REF!/N$1</f>
        <v>#REF!</v>
      </c>
      <c r="O446" s="50" t="e">
        <f>'Raw Data'!#REF!/O$1</f>
        <v>#REF!</v>
      </c>
      <c r="P446" s="50" t="str">
        <f t="shared" si="46"/>
        <v/>
      </c>
      <c r="Q446" s="50" t="e">
        <f t="shared" si="47"/>
        <v>#REF!</v>
      </c>
    </row>
    <row r="447" spans="1:17">
      <c r="A447" s="2" t="s">
        <v>210</v>
      </c>
      <c r="B447" s="44">
        <v>4</v>
      </c>
      <c r="C447" s="44">
        <v>2023</v>
      </c>
      <c r="D447" s="44" t="s">
        <v>211</v>
      </c>
      <c r="E447" s="44" t="s">
        <v>211</v>
      </c>
      <c r="F447" s="31">
        <v>45078</v>
      </c>
      <c r="G447" s="101">
        <f t="shared" si="44"/>
        <v>30</v>
      </c>
      <c r="H447" s="103">
        <f t="shared" si="45"/>
        <v>45096</v>
      </c>
      <c r="I447" s="141">
        <f>_xlfn.XLOOKUP(Table12[[#This Row],[Month Year]],'Modelling New'!D:D,'Modelling New'!N:N)</f>
        <v>10.507</v>
      </c>
      <c r="J447" s="50" t="e">
        <f>'Raw Data'!#REF!/J$1</f>
        <v>#REF!</v>
      </c>
      <c r="K447" s="50" t="e">
        <f>'Raw Data'!#REF!/K$1</f>
        <v>#REF!</v>
      </c>
      <c r="L447" s="50" t="e">
        <f>'Raw Data'!#REF!/L$1</f>
        <v>#REF!</v>
      </c>
      <c r="M447" s="50" t="e">
        <f>'Raw Data'!#REF!/M$1</f>
        <v>#REF!</v>
      </c>
      <c r="N447" s="50" t="e">
        <f>'Raw Data'!#REF!/N$1</f>
        <v>#REF!</v>
      </c>
      <c r="O447" s="50" t="e">
        <f>'Raw Data'!#REF!/O$1</f>
        <v>#REF!</v>
      </c>
      <c r="P447" s="50" t="str">
        <f t="shared" si="46"/>
        <v/>
      </c>
      <c r="Q447" s="50" t="e">
        <f t="shared" si="47"/>
        <v>#REF!</v>
      </c>
    </row>
    <row r="448" spans="1:17">
      <c r="A448" s="2" t="s">
        <v>210</v>
      </c>
      <c r="B448" s="44">
        <v>4</v>
      </c>
      <c r="C448" s="44">
        <v>2023</v>
      </c>
      <c r="D448" s="44" t="s">
        <v>211</v>
      </c>
      <c r="E448" s="44" t="s">
        <v>211</v>
      </c>
      <c r="F448" s="31">
        <v>45078</v>
      </c>
      <c r="G448" s="101">
        <f t="shared" ref="G448:G466" si="48">DAY(EOMONTH(F448,0))</f>
        <v>30</v>
      </c>
      <c r="H448" s="103">
        <f t="shared" si="45"/>
        <v>45097</v>
      </c>
      <c r="I448" s="141">
        <f>_xlfn.XLOOKUP(Table12[[#This Row],[Month Year]],'Modelling New'!D:D,'Modelling New'!N:N)</f>
        <v>10.507</v>
      </c>
      <c r="J448" s="50" t="e">
        <f>'Raw Data'!#REF!/J$1</f>
        <v>#REF!</v>
      </c>
      <c r="K448" s="50" t="e">
        <f>'Raw Data'!#REF!/K$1</f>
        <v>#REF!</v>
      </c>
      <c r="L448" s="50" t="e">
        <f>'Raw Data'!#REF!/L$1</f>
        <v>#REF!</v>
      </c>
      <c r="M448" s="50" t="e">
        <f>'Raw Data'!#REF!/M$1</f>
        <v>#REF!</v>
      </c>
      <c r="N448" s="50" t="e">
        <f>'Raw Data'!#REF!/N$1</f>
        <v>#REF!</v>
      </c>
      <c r="O448" s="50" t="e">
        <f>'Raw Data'!#REF!/O$1</f>
        <v>#REF!</v>
      </c>
      <c r="P448" s="50" t="str">
        <f t="shared" ref="P448:P466" si="49">IFERROR(AVERAGEIF(J448:O448,"&gt;"&amp;0,J448:O448),"")</f>
        <v/>
      </c>
      <c r="Q448" s="50" t="e">
        <f t="shared" ref="Q448:Q466" si="50">MAXA(J448:O448)</f>
        <v>#REF!</v>
      </c>
    </row>
    <row r="449" spans="1:17">
      <c r="A449" s="2" t="s">
        <v>210</v>
      </c>
      <c r="B449" s="44">
        <v>4</v>
      </c>
      <c r="C449" s="44">
        <v>2023</v>
      </c>
      <c r="D449" s="44" t="s">
        <v>211</v>
      </c>
      <c r="E449" s="44" t="s">
        <v>211</v>
      </c>
      <c r="F449" s="31">
        <v>45078</v>
      </c>
      <c r="G449" s="101">
        <f t="shared" si="48"/>
        <v>30</v>
      </c>
      <c r="H449" s="103">
        <f t="shared" si="45"/>
        <v>45098</v>
      </c>
      <c r="I449" s="141">
        <f>_xlfn.XLOOKUP(Table12[[#This Row],[Month Year]],'Modelling New'!D:D,'Modelling New'!N:N)</f>
        <v>10.507</v>
      </c>
      <c r="J449" s="50" t="e">
        <f>'Raw Data'!#REF!/J$1</f>
        <v>#REF!</v>
      </c>
      <c r="K449" s="50" t="e">
        <f>'Raw Data'!#REF!/K$1</f>
        <v>#REF!</v>
      </c>
      <c r="L449" s="50" t="e">
        <f>'Raw Data'!#REF!/L$1</f>
        <v>#REF!</v>
      </c>
      <c r="M449" s="50" t="e">
        <f>'Raw Data'!#REF!/M$1</f>
        <v>#REF!</v>
      </c>
      <c r="N449" s="50" t="e">
        <f>'Raw Data'!#REF!/N$1</f>
        <v>#REF!</v>
      </c>
      <c r="O449" s="50" t="e">
        <f>'Raw Data'!#REF!/O$1</f>
        <v>#REF!</v>
      </c>
      <c r="P449" s="50" t="str">
        <f t="shared" si="49"/>
        <v/>
      </c>
      <c r="Q449" s="50" t="e">
        <f t="shared" si="50"/>
        <v>#REF!</v>
      </c>
    </row>
    <row r="450" spans="1:17">
      <c r="A450" s="2" t="s">
        <v>210</v>
      </c>
      <c r="B450" s="44">
        <v>4</v>
      </c>
      <c r="C450" s="44">
        <v>2023</v>
      </c>
      <c r="D450" s="44" t="s">
        <v>211</v>
      </c>
      <c r="E450" s="44" t="s">
        <v>211</v>
      </c>
      <c r="F450" s="31">
        <v>45078</v>
      </c>
      <c r="G450" s="101">
        <f t="shared" si="48"/>
        <v>30</v>
      </c>
      <c r="H450" s="103">
        <f t="shared" si="45"/>
        <v>45099</v>
      </c>
      <c r="I450" s="141">
        <f>_xlfn.XLOOKUP(Table12[[#This Row],[Month Year]],'Modelling New'!D:D,'Modelling New'!N:N)</f>
        <v>10.507</v>
      </c>
      <c r="J450" s="50" t="e">
        <f>'Raw Data'!#REF!/J$1</f>
        <v>#REF!</v>
      </c>
      <c r="K450" s="50" t="e">
        <f>'Raw Data'!#REF!/K$1</f>
        <v>#REF!</v>
      </c>
      <c r="L450" s="50" t="e">
        <f>'Raw Data'!#REF!/L$1</f>
        <v>#REF!</v>
      </c>
      <c r="M450" s="50" t="e">
        <f>'Raw Data'!#REF!/M$1</f>
        <v>#REF!</v>
      </c>
      <c r="N450" s="50" t="e">
        <f>'Raw Data'!#REF!/N$1</f>
        <v>#REF!</v>
      </c>
      <c r="O450" s="50" t="e">
        <f>'Raw Data'!#REF!/O$1</f>
        <v>#REF!</v>
      </c>
      <c r="P450" s="50" t="str">
        <f t="shared" si="49"/>
        <v/>
      </c>
      <c r="Q450" s="50" t="e">
        <f t="shared" si="50"/>
        <v>#REF!</v>
      </c>
    </row>
    <row r="451" spans="1:17">
      <c r="A451" s="2" t="s">
        <v>210</v>
      </c>
      <c r="B451" s="44">
        <v>4</v>
      </c>
      <c r="C451" s="44">
        <v>2023</v>
      </c>
      <c r="D451" s="44" t="s">
        <v>211</v>
      </c>
      <c r="E451" s="44" t="s">
        <v>211</v>
      </c>
      <c r="F451" s="31">
        <v>45078</v>
      </c>
      <c r="G451" s="101">
        <f t="shared" si="48"/>
        <v>30</v>
      </c>
      <c r="H451" s="103">
        <f t="shared" si="45"/>
        <v>45100</v>
      </c>
      <c r="I451" s="141">
        <f>_xlfn.XLOOKUP(Table12[[#This Row],[Month Year]],'Modelling New'!D:D,'Modelling New'!N:N)</f>
        <v>10.507</v>
      </c>
      <c r="J451" s="50" t="e">
        <f>'Raw Data'!#REF!/J$1</f>
        <v>#REF!</v>
      </c>
      <c r="K451" s="50" t="e">
        <f>'Raw Data'!#REF!/K$1</f>
        <v>#REF!</v>
      </c>
      <c r="L451" s="50" t="e">
        <f>'Raw Data'!#REF!/L$1</f>
        <v>#REF!</v>
      </c>
      <c r="M451" s="50" t="e">
        <f>'Raw Data'!#REF!/M$1</f>
        <v>#REF!</v>
      </c>
      <c r="N451" s="50" t="e">
        <f>'Raw Data'!#REF!/N$1</f>
        <v>#REF!</v>
      </c>
      <c r="O451" s="50" t="e">
        <f>'Raw Data'!#REF!/O$1</f>
        <v>#REF!</v>
      </c>
      <c r="P451" s="50" t="str">
        <f t="shared" si="49"/>
        <v/>
      </c>
      <c r="Q451" s="50" t="e">
        <f t="shared" si="50"/>
        <v>#REF!</v>
      </c>
    </row>
    <row r="452" spans="1:17">
      <c r="A452" s="2" t="s">
        <v>210</v>
      </c>
      <c r="B452" s="44">
        <v>4</v>
      </c>
      <c r="C452" s="44">
        <v>2023</v>
      </c>
      <c r="D452" s="44" t="s">
        <v>211</v>
      </c>
      <c r="E452" s="44" t="s">
        <v>211</v>
      </c>
      <c r="F452" s="31">
        <v>45078</v>
      </c>
      <c r="G452" s="101">
        <f t="shared" si="48"/>
        <v>30</v>
      </c>
      <c r="H452" s="103">
        <f t="shared" si="45"/>
        <v>45101</v>
      </c>
      <c r="I452" s="141">
        <f>_xlfn.XLOOKUP(Table12[[#This Row],[Month Year]],'Modelling New'!D:D,'Modelling New'!N:N)</f>
        <v>10.507</v>
      </c>
      <c r="J452" s="50" t="e">
        <f>'Raw Data'!#REF!/J$1</f>
        <v>#REF!</v>
      </c>
      <c r="K452" s="50" t="e">
        <f>'Raw Data'!#REF!/K$1</f>
        <v>#REF!</v>
      </c>
      <c r="L452" s="50" t="e">
        <f>'Raw Data'!#REF!/L$1</f>
        <v>#REF!</v>
      </c>
      <c r="M452" s="50" t="e">
        <f>'Raw Data'!#REF!/M$1</f>
        <v>#REF!</v>
      </c>
      <c r="N452" s="50" t="e">
        <f>'Raw Data'!#REF!/N$1</f>
        <v>#REF!</v>
      </c>
      <c r="O452" s="50" t="e">
        <f>'Raw Data'!#REF!/O$1</f>
        <v>#REF!</v>
      </c>
      <c r="P452" s="50" t="str">
        <f t="shared" si="49"/>
        <v/>
      </c>
      <c r="Q452" s="50" t="e">
        <f t="shared" si="50"/>
        <v>#REF!</v>
      </c>
    </row>
    <row r="453" spans="1:17">
      <c r="A453" s="2" t="s">
        <v>210</v>
      </c>
      <c r="B453" s="44">
        <v>4</v>
      </c>
      <c r="C453" s="44">
        <v>2023</v>
      </c>
      <c r="D453" s="44" t="s">
        <v>211</v>
      </c>
      <c r="E453" s="44" t="s">
        <v>211</v>
      </c>
      <c r="F453" s="31">
        <v>45078</v>
      </c>
      <c r="G453" s="101">
        <f t="shared" si="48"/>
        <v>30</v>
      </c>
      <c r="H453" s="103">
        <f t="shared" si="45"/>
        <v>45102</v>
      </c>
      <c r="I453" s="141">
        <f>_xlfn.XLOOKUP(Table12[[#This Row],[Month Year]],'Modelling New'!D:D,'Modelling New'!N:N)</f>
        <v>10.507</v>
      </c>
      <c r="J453" s="50" t="e">
        <f>'Raw Data'!#REF!/J$1</f>
        <v>#REF!</v>
      </c>
      <c r="K453" s="50" t="e">
        <f>'Raw Data'!#REF!/K$1</f>
        <v>#REF!</v>
      </c>
      <c r="L453" s="50" t="e">
        <f>'Raw Data'!#REF!/L$1</f>
        <v>#REF!</v>
      </c>
      <c r="M453" s="50" t="e">
        <f>'Raw Data'!#REF!/M$1</f>
        <v>#REF!</v>
      </c>
      <c r="N453" s="50" t="e">
        <f>'Raw Data'!#REF!/N$1</f>
        <v>#REF!</v>
      </c>
      <c r="O453" s="50" t="e">
        <f>'Raw Data'!#REF!/O$1</f>
        <v>#REF!</v>
      </c>
      <c r="P453" s="50" t="str">
        <f t="shared" si="49"/>
        <v/>
      </c>
      <c r="Q453" s="50" t="e">
        <f t="shared" si="50"/>
        <v>#REF!</v>
      </c>
    </row>
    <row r="454" spans="1:17">
      <c r="A454" s="2" t="s">
        <v>210</v>
      </c>
      <c r="B454" s="44">
        <v>4</v>
      </c>
      <c r="C454" s="44">
        <v>2023</v>
      </c>
      <c r="D454" s="44" t="s">
        <v>211</v>
      </c>
      <c r="E454" s="44" t="s">
        <v>211</v>
      </c>
      <c r="F454" s="31">
        <v>45078</v>
      </c>
      <c r="G454" s="101">
        <f t="shared" si="48"/>
        <v>30</v>
      </c>
      <c r="H454" s="103">
        <f t="shared" si="45"/>
        <v>45103</v>
      </c>
      <c r="I454" s="141">
        <f>_xlfn.XLOOKUP(Table12[[#This Row],[Month Year]],'Modelling New'!D:D,'Modelling New'!N:N)</f>
        <v>10.507</v>
      </c>
      <c r="J454" s="50" t="e">
        <f>'Raw Data'!#REF!/J$1</f>
        <v>#REF!</v>
      </c>
      <c r="K454" s="50" t="e">
        <f>'Raw Data'!#REF!/K$1</f>
        <v>#REF!</v>
      </c>
      <c r="L454" s="50" t="e">
        <f>'Raw Data'!#REF!/L$1</f>
        <v>#REF!</v>
      </c>
      <c r="M454" s="50" t="e">
        <f>'Raw Data'!#REF!/M$1</f>
        <v>#REF!</v>
      </c>
      <c r="N454" s="50" t="e">
        <f>'Raw Data'!#REF!/N$1</f>
        <v>#REF!</v>
      </c>
      <c r="O454" s="50" t="e">
        <f>'Raw Data'!#REF!/O$1</f>
        <v>#REF!</v>
      </c>
      <c r="P454" s="50" t="str">
        <f t="shared" si="49"/>
        <v/>
      </c>
      <c r="Q454" s="50" t="e">
        <f t="shared" si="50"/>
        <v>#REF!</v>
      </c>
    </row>
    <row r="455" spans="1:17">
      <c r="A455" s="2" t="s">
        <v>210</v>
      </c>
      <c r="B455" s="44">
        <v>4</v>
      </c>
      <c r="C455" s="44">
        <v>2023</v>
      </c>
      <c r="D455" s="44" t="s">
        <v>211</v>
      </c>
      <c r="E455" s="44" t="s">
        <v>211</v>
      </c>
      <c r="F455" s="31">
        <v>45078</v>
      </c>
      <c r="G455" s="101">
        <f t="shared" si="48"/>
        <v>30</v>
      </c>
      <c r="H455" s="103">
        <f t="shared" si="45"/>
        <v>45104</v>
      </c>
      <c r="I455" s="141">
        <f>_xlfn.XLOOKUP(Table12[[#This Row],[Month Year]],'Modelling New'!D:D,'Modelling New'!N:N)</f>
        <v>10.507</v>
      </c>
      <c r="J455" s="50" t="e">
        <f>'Raw Data'!#REF!/J$1</f>
        <v>#REF!</v>
      </c>
      <c r="K455" s="50" t="e">
        <f>'Raw Data'!#REF!/K$1</f>
        <v>#REF!</v>
      </c>
      <c r="L455" s="50" t="e">
        <f>'Raw Data'!#REF!/L$1</f>
        <v>#REF!</v>
      </c>
      <c r="M455" s="50" t="e">
        <f>'Raw Data'!#REF!/M$1</f>
        <v>#REF!</v>
      </c>
      <c r="N455" s="50" t="e">
        <f>'Raw Data'!#REF!/N$1</f>
        <v>#REF!</v>
      </c>
      <c r="O455" s="50" t="e">
        <f>'Raw Data'!#REF!/O$1</f>
        <v>#REF!</v>
      </c>
      <c r="P455" s="50" t="str">
        <f t="shared" si="49"/>
        <v/>
      </c>
      <c r="Q455" s="50" t="e">
        <f t="shared" si="50"/>
        <v>#REF!</v>
      </c>
    </row>
    <row r="456" spans="1:17">
      <c r="A456" s="2" t="s">
        <v>210</v>
      </c>
      <c r="B456" s="44">
        <v>4</v>
      </c>
      <c r="C456" s="44">
        <v>2023</v>
      </c>
      <c r="D456" s="44" t="s">
        <v>211</v>
      </c>
      <c r="E456" s="44" t="s">
        <v>211</v>
      </c>
      <c r="F456" s="31">
        <v>45078</v>
      </c>
      <c r="G456" s="101">
        <f t="shared" si="48"/>
        <v>30</v>
      </c>
      <c r="H456" s="103">
        <f t="shared" si="45"/>
        <v>45105</v>
      </c>
      <c r="I456" s="141">
        <f>_xlfn.XLOOKUP(Table12[[#This Row],[Month Year]],'Modelling New'!D:D,'Modelling New'!N:N)</f>
        <v>10.507</v>
      </c>
      <c r="J456" s="50" t="e">
        <f>'Raw Data'!#REF!/J$1</f>
        <v>#REF!</v>
      </c>
      <c r="K456" s="50" t="e">
        <f>'Raw Data'!#REF!/K$1</f>
        <v>#REF!</v>
      </c>
      <c r="L456" s="50" t="e">
        <f>'Raw Data'!#REF!/L$1</f>
        <v>#REF!</v>
      </c>
      <c r="M456" s="50" t="e">
        <f>'Raw Data'!#REF!/M$1</f>
        <v>#REF!</v>
      </c>
      <c r="N456" s="50" t="e">
        <f>'Raw Data'!#REF!/N$1</f>
        <v>#REF!</v>
      </c>
      <c r="O456" s="50" t="e">
        <f>'Raw Data'!#REF!/O$1</f>
        <v>#REF!</v>
      </c>
      <c r="P456" s="50" t="str">
        <f t="shared" si="49"/>
        <v/>
      </c>
      <c r="Q456" s="50" t="e">
        <f t="shared" si="50"/>
        <v>#REF!</v>
      </c>
    </row>
    <row r="457" spans="1:17">
      <c r="A457" s="2" t="s">
        <v>210</v>
      </c>
      <c r="B457" s="44">
        <v>4</v>
      </c>
      <c r="C457" s="44">
        <v>2023</v>
      </c>
      <c r="D457" s="44" t="s">
        <v>211</v>
      </c>
      <c r="E457" s="44" t="s">
        <v>211</v>
      </c>
      <c r="F457" s="31">
        <v>45078</v>
      </c>
      <c r="G457" s="101">
        <f t="shared" si="48"/>
        <v>30</v>
      </c>
      <c r="H457" s="103">
        <f t="shared" si="45"/>
        <v>45106</v>
      </c>
      <c r="I457" s="141">
        <f>_xlfn.XLOOKUP(Table12[[#This Row],[Month Year]],'Modelling New'!D:D,'Modelling New'!N:N)</f>
        <v>10.507</v>
      </c>
      <c r="J457" s="50" t="e">
        <f>'Raw Data'!#REF!/J$1</f>
        <v>#REF!</v>
      </c>
      <c r="K457" s="50" t="e">
        <f>'Raw Data'!#REF!/K$1</f>
        <v>#REF!</v>
      </c>
      <c r="L457" s="50" t="e">
        <f>'Raw Data'!#REF!/L$1</f>
        <v>#REF!</v>
      </c>
      <c r="M457" s="50" t="e">
        <f>'Raw Data'!#REF!/M$1</f>
        <v>#REF!</v>
      </c>
      <c r="N457" s="50" t="e">
        <f>'Raw Data'!#REF!/N$1</f>
        <v>#REF!</v>
      </c>
      <c r="O457" s="50" t="e">
        <f>'Raw Data'!#REF!/O$1</f>
        <v>#REF!</v>
      </c>
      <c r="P457" s="50" t="str">
        <f t="shared" si="49"/>
        <v/>
      </c>
      <c r="Q457" s="50" t="e">
        <f t="shared" si="50"/>
        <v>#REF!</v>
      </c>
    </row>
    <row r="458" spans="1:17">
      <c r="A458" s="2" t="s">
        <v>210</v>
      </c>
      <c r="B458" s="44">
        <v>4</v>
      </c>
      <c r="C458" s="44">
        <v>2023</v>
      </c>
      <c r="D458" s="44" t="s">
        <v>211</v>
      </c>
      <c r="E458" s="44" t="s">
        <v>211</v>
      </c>
      <c r="F458" s="31">
        <v>45078</v>
      </c>
      <c r="G458" s="101">
        <f t="shared" si="48"/>
        <v>30</v>
      </c>
      <c r="H458" s="103">
        <f t="shared" si="45"/>
        <v>45107</v>
      </c>
      <c r="I458" s="141">
        <f>_xlfn.XLOOKUP(Table12[[#This Row],[Month Year]],'Modelling New'!D:D,'Modelling New'!N:N)</f>
        <v>10.507</v>
      </c>
      <c r="J458" s="50" t="e">
        <f>'Raw Data'!#REF!/J$1</f>
        <v>#REF!</v>
      </c>
      <c r="K458" s="50" t="e">
        <f>'Raw Data'!#REF!/K$1</f>
        <v>#REF!</v>
      </c>
      <c r="L458" s="50" t="e">
        <f>'Raw Data'!#REF!/L$1</f>
        <v>#REF!</v>
      </c>
      <c r="M458" s="50" t="e">
        <f>'Raw Data'!#REF!/M$1</f>
        <v>#REF!</v>
      </c>
      <c r="N458" s="50" t="e">
        <f>'Raw Data'!#REF!/N$1</f>
        <v>#REF!</v>
      </c>
      <c r="O458" s="50" t="e">
        <f>'Raw Data'!#REF!/O$1</f>
        <v>#REF!</v>
      </c>
      <c r="P458" s="50" t="str">
        <f t="shared" si="49"/>
        <v/>
      </c>
      <c r="Q458" s="50" t="e">
        <f t="shared" si="50"/>
        <v>#REF!</v>
      </c>
    </row>
    <row r="459" spans="1:17">
      <c r="A459" s="2" t="s">
        <v>210</v>
      </c>
      <c r="B459" s="44">
        <v>4</v>
      </c>
      <c r="C459" s="44">
        <v>2023</v>
      </c>
      <c r="D459" s="44" t="s">
        <v>211</v>
      </c>
      <c r="E459" s="44" t="s">
        <v>211</v>
      </c>
      <c r="F459" s="31">
        <v>45108</v>
      </c>
      <c r="G459" s="101">
        <f t="shared" si="48"/>
        <v>31</v>
      </c>
      <c r="H459" s="103">
        <f t="shared" si="45"/>
        <v>45108</v>
      </c>
      <c r="I459" s="141">
        <f>_xlfn.XLOOKUP(Table12[[#This Row],[Month Year]],'Modelling New'!D:D,'Modelling New'!N:N)</f>
        <v>10.507</v>
      </c>
      <c r="J459" s="50" t="e">
        <f>'Raw Data'!#REF!/J$1</f>
        <v>#REF!</v>
      </c>
      <c r="K459" s="50" t="e">
        <f>'Raw Data'!#REF!/K$1</f>
        <v>#REF!</v>
      </c>
      <c r="L459" s="50" t="e">
        <f>'Raw Data'!#REF!/L$1</f>
        <v>#REF!</v>
      </c>
      <c r="M459" s="50" t="e">
        <f>'Raw Data'!#REF!/M$1</f>
        <v>#REF!</v>
      </c>
      <c r="N459" s="50" t="e">
        <f>'Raw Data'!#REF!/N$1</f>
        <v>#REF!</v>
      </c>
      <c r="O459" s="50" t="e">
        <f>'Raw Data'!#REF!/O$1</f>
        <v>#REF!</v>
      </c>
      <c r="P459" s="50" t="str">
        <f t="shared" si="49"/>
        <v/>
      </c>
      <c r="Q459" s="50" t="e">
        <f t="shared" si="50"/>
        <v>#REF!</v>
      </c>
    </row>
    <row r="460" spans="1:17">
      <c r="A460" s="2" t="s">
        <v>210</v>
      </c>
      <c r="B460" s="44">
        <v>4</v>
      </c>
      <c r="C460" s="44">
        <v>2023</v>
      </c>
      <c r="D460" s="44" t="s">
        <v>211</v>
      </c>
      <c r="E460" s="44" t="s">
        <v>211</v>
      </c>
      <c r="F460" s="31">
        <v>45108</v>
      </c>
      <c r="G460" s="101">
        <f t="shared" si="48"/>
        <v>31</v>
      </c>
      <c r="H460" s="103">
        <f t="shared" si="45"/>
        <v>45109</v>
      </c>
      <c r="I460" s="141">
        <f>_xlfn.XLOOKUP(Table12[[#This Row],[Month Year]],'Modelling New'!D:D,'Modelling New'!N:N)</f>
        <v>10.507</v>
      </c>
      <c r="J460" s="50" t="e">
        <f>'Raw Data'!#REF!/J$1</f>
        <v>#REF!</v>
      </c>
      <c r="K460" s="50" t="e">
        <f>'Raw Data'!#REF!/K$1</f>
        <v>#REF!</v>
      </c>
      <c r="L460" s="50" t="e">
        <f>'Raw Data'!#REF!/L$1</f>
        <v>#REF!</v>
      </c>
      <c r="M460" s="50" t="e">
        <f>'Raw Data'!#REF!/M$1</f>
        <v>#REF!</v>
      </c>
      <c r="N460" s="50" t="e">
        <f>'Raw Data'!#REF!/N$1</f>
        <v>#REF!</v>
      </c>
      <c r="O460" s="50" t="e">
        <f>'Raw Data'!#REF!/O$1</f>
        <v>#REF!</v>
      </c>
      <c r="P460" s="50" t="str">
        <f t="shared" si="49"/>
        <v/>
      </c>
      <c r="Q460" s="50" t="e">
        <f t="shared" si="50"/>
        <v>#REF!</v>
      </c>
    </row>
    <row r="461" spans="1:17">
      <c r="A461" s="2" t="s">
        <v>210</v>
      </c>
      <c r="B461" s="44">
        <v>4</v>
      </c>
      <c r="C461" s="44">
        <v>2023</v>
      </c>
      <c r="D461" s="44" t="s">
        <v>211</v>
      </c>
      <c r="E461" s="44" t="s">
        <v>211</v>
      </c>
      <c r="F461" s="31">
        <v>45108</v>
      </c>
      <c r="G461" s="101">
        <f t="shared" si="48"/>
        <v>31</v>
      </c>
      <c r="H461" s="103">
        <f t="shared" si="45"/>
        <v>45110</v>
      </c>
      <c r="I461" s="141">
        <f>_xlfn.XLOOKUP(Table12[[#This Row],[Month Year]],'Modelling New'!D:D,'Modelling New'!N:N)</f>
        <v>10.507</v>
      </c>
      <c r="J461" s="50" t="e">
        <f>'Raw Data'!#REF!/J$1</f>
        <v>#REF!</v>
      </c>
      <c r="K461" s="50" t="e">
        <f>'Raw Data'!#REF!/K$1</f>
        <v>#REF!</v>
      </c>
      <c r="L461" s="50" t="e">
        <f>'Raw Data'!#REF!/L$1</f>
        <v>#REF!</v>
      </c>
      <c r="M461" s="50" t="e">
        <f>'Raw Data'!#REF!/M$1</f>
        <v>#REF!</v>
      </c>
      <c r="N461" s="50" t="e">
        <f>'Raw Data'!#REF!/N$1</f>
        <v>#REF!</v>
      </c>
      <c r="O461" s="50" t="e">
        <f>'Raw Data'!#REF!/O$1</f>
        <v>#REF!</v>
      </c>
      <c r="P461" s="50" t="str">
        <f t="shared" si="49"/>
        <v/>
      </c>
      <c r="Q461" s="50" t="e">
        <f t="shared" si="50"/>
        <v>#REF!</v>
      </c>
    </row>
    <row r="462" spans="1:17">
      <c r="A462" s="2" t="s">
        <v>210</v>
      </c>
      <c r="B462" s="44">
        <v>4</v>
      </c>
      <c r="C462" s="44">
        <v>2023</v>
      </c>
      <c r="D462" s="44" t="s">
        <v>211</v>
      </c>
      <c r="E462" s="44" t="s">
        <v>211</v>
      </c>
      <c r="F462" s="31">
        <v>45108</v>
      </c>
      <c r="G462" s="101">
        <f t="shared" si="48"/>
        <v>31</v>
      </c>
      <c r="H462" s="103">
        <f t="shared" si="45"/>
        <v>45111</v>
      </c>
      <c r="I462" s="141">
        <f>_xlfn.XLOOKUP(Table12[[#This Row],[Month Year]],'Modelling New'!D:D,'Modelling New'!N:N)</f>
        <v>10.507</v>
      </c>
      <c r="J462" s="50" t="e">
        <f>'Raw Data'!#REF!/J$1</f>
        <v>#REF!</v>
      </c>
      <c r="K462" s="50" t="e">
        <f>'Raw Data'!#REF!/K$1</f>
        <v>#REF!</v>
      </c>
      <c r="L462" s="50" t="e">
        <f>'Raw Data'!#REF!/L$1</f>
        <v>#REF!</v>
      </c>
      <c r="M462" s="50" t="e">
        <f>'Raw Data'!#REF!/M$1</f>
        <v>#REF!</v>
      </c>
      <c r="N462" s="50" t="e">
        <f>'Raw Data'!#REF!/N$1</f>
        <v>#REF!</v>
      </c>
      <c r="O462" s="50" t="e">
        <f>'Raw Data'!#REF!/O$1</f>
        <v>#REF!</v>
      </c>
      <c r="P462" s="50" t="str">
        <f t="shared" si="49"/>
        <v/>
      </c>
      <c r="Q462" s="50" t="e">
        <f t="shared" si="50"/>
        <v>#REF!</v>
      </c>
    </row>
    <row r="463" spans="1:17">
      <c r="A463" s="2" t="s">
        <v>210</v>
      </c>
      <c r="B463" s="44">
        <v>4</v>
      </c>
      <c r="C463" s="44">
        <v>2023</v>
      </c>
      <c r="D463" s="44" t="s">
        <v>211</v>
      </c>
      <c r="E463" s="44" t="s">
        <v>211</v>
      </c>
      <c r="F463" s="31">
        <v>45108</v>
      </c>
      <c r="G463" s="101">
        <f t="shared" si="48"/>
        <v>31</v>
      </c>
      <c r="H463" s="103">
        <f t="shared" si="45"/>
        <v>45112</v>
      </c>
      <c r="I463" s="141">
        <f>_xlfn.XLOOKUP(Table12[[#This Row],[Month Year]],'Modelling New'!D:D,'Modelling New'!N:N)</f>
        <v>10.507</v>
      </c>
      <c r="J463" s="50" t="e">
        <f>'Raw Data'!#REF!/J$1</f>
        <v>#REF!</v>
      </c>
      <c r="K463" s="50" t="e">
        <f>'Raw Data'!#REF!/K$1</f>
        <v>#REF!</v>
      </c>
      <c r="L463" s="50" t="e">
        <f>'Raw Data'!#REF!/L$1</f>
        <v>#REF!</v>
      </c>
      <c r="M463" s="50" t="e">
        <f>'Raw Data'!#REF!/M$1</f>
        <v>#REF!</v>
      </c>
      <c r="N463" s="50" t="e">
        <f>'Raw Data'!#REF!/N$1</f>
        <v>#REF!</v>
      </c>
      <c r="O463" s="50" t="e">
        <f>'Raw Data'!#REF!/O$1</f>
        <v>#REF!</v>
      </c>
      <c r="P463" s="50" t="str">
        <f t="shared" si="49"/>
        <v/>
      </c>
      <c r="Q463" s="50" t="e">
        <f t="shared" si="50"/>
        <v>#REF!</v>
      </c>
    </row>
    <row r="464" spans="1:17">
      <c r="A464" s="2" t="s">
        <v>210</v>
      </c>
      <c r="B464" s="44">
        <v>4</v>
      </c>
      <c r="C464" s="44">
        <v>2023</v>
      </c>
      <c r="D464" s="44" t="s">
        <v>211</v>
      </c>
      <c r="E464" s="44" t="s">
        <v>211</v>
      </c>
      <c r="F464" s="31">
        <v>45108</v>
      </c>
      <c r="G464" s="101">
        <f t="shared" si="48"/>
        <v>31</v>
      </c>
      <c r="H464" s="103">
        <f t="shared" si="45"/>
        <v>45113</v>
      </c>
      <c r="I464" s="141">
        <f>_xlfn.XLOOKUP(Table12[[#This Row],[Month Year]],'Modelling New'!D:D,'Modelling New'!N:N)</f>
        <v>10.507</v>
      </c>
      <c r="J464" s="50" t="e">
        <f>'Raw Data'!#REF!/J$1</f>
        <v>#REF!</v>
      </c>
      <c r="K464" s="50" t="e">
        <f>'Raw Data'!#REF!/K$1</f>
        <v>#REF!</v>
      </c>
      <c r="L464" s="50" t="e">
        <f>'Raw Data'!#REF!/L$1</f>
        <v>#REF!</v>
      </c>
      <c r="M464" s="50" t="e">
        <f>'Raw Data'!#REF!/M$1</f>
        <v>#REF!</v>
      </c>
      <c r="N464" s="50" t="e">
        <f>'Raw Data'!#REF!/N$1</f>
        <v>#REF!</v>
      </c>
      <c r="O464" s="50" t="e">
        <f>'Raw Data'!#REF!/O$1</f>
        <v>#REF!</v>
      </c>
      <c r="P464" s="50" t="str">
        <f t="shared" si="49"/>
        <v/>
      </c>
      <c r="Q464" s="50" t="e">
        <f t="shared" si="50"/>
        <v>#REF!</v>
      </c>
    </row>
    <row r="465" spans="1:17">
      <c r="A465" s="2" t="s">
        <v>210</v>
      </c>
      <c r="B465" s="44">
        <v>4</v>
      </c>
      <c r="C465" s="44">
        <v>2023</v>
      </c>
      <c r="D465" s="44" t="s">
        <v>211</v>
      </c>
      <c r="E465" s="44" t="s">
        <v>211</v>
      </c>
      <c r="F465" s="31">
        <v>45108</v>
      </c>
      <c r="G465" s="101">
        <f t="shared" si="48"/>
        <v>31</v>
      </c>
      <c r="H465" s="103">
        <f t="shared" si="45"/>
        <v>45114</v>
      </c>
      <c r="I465" s="141">
        <f>_xlfn.XLOOKUP(Table12[[#This Row],[Month Year]],'Modelling New'!D:D,'Modelling New'!N:N)</f>
        <v>10.507</v>
      </c>
      <c r="J465" s="50" t="e">
        <f>'Raw Data'!#REF!/J$1</f>
        <v>#REF!</v>
      </c>
      <c r="K465" s="50" t="e">
        <f>'Raw Data'!#REF!/K$1</f>
        <v>#REF!</v>
      </c>
      <c r="L465" s="50" t="e">
        <f>'Raw Data'!#REF!/L$1</f>
        <v>#REF!</v>
      </c>
      <c r="M465" s="50" t="e">
        <f>'Raw Data'!#REF!/M$1</f>
        <v>#REF!</v>
      </c>
      <c r="N465" s="50" t="e">
        <f>'Raw Data'!#REF!/N$1</f>
        <v>#REF!</v>
      </c>
      <c r="O465" s="50" t="e">
        <f>'Raw Data'!#REF!/O$1</f>
        <v>#REF!</v>
      </c>
      <c r="P465" s="50" t="str">
        <f t="shared" si="49"/>
        <v/>
      </c>
      <c r="Q465" s="50" t="e">
        <f t="shared" si="50"/>
        <v>#REF!</v>
      </c>
    </row>
    <row r="466" spans="1:17">
      <c r="A466" s="2" t="s">
        <v>210</v>
      </c>
      <c r="B466" s="44">
        <v>4</v>
      </c>
      <c r="C466" s="44">
        <v>2023</v>
      </c>
      <c r="D466" s="44" t="s">
        <v>211</v>
      </c>
      <c r="E466" s="44" t="s">
        <v>211</v>
      </c>
      <c r="F466" s="31">
        <v>45108</v>
      </c>
      <c r="G466" s="101">
        <f t="shared" si="48"/>
        <v>31</v>
      </c>
      <c r="H466" s="103">
        <f t="shared" si="45"/>
        <v>45115</v>
      </c>
      <c r="I466" s="141">
        <f>_xlfn.XLOOKUP(Table12[[#This Row],[Month Year]],'Modelling New'!D:D,'Modelling New'!N:N)</f>
        <v>10.507</v>
      </c>
      <c r="J466" s="50" t="e">
        <f>'Raw Data'!#REF!/J$1</f>
        <v>#REF!</v>
      </c>
      <c r="K466" s="50" t="e">
        <f>'Raw Data'!#REF!/K$1</f>
        <v>#REF!</v>
      </c>
      <c r="L466" s="50" t="e">
        <f>'Raw Data'!#REF!/L$1</f>
        <v>#REF!</v>
      </c>
      <c r="M466" s="50" t="e">
        <f>'Raw Data'!#REF!/M$1</f>
        <v>#REF!</v>
      </c>
      <c r="N466" s="50" t="e">
        <f>'Raw Data'!#REF!/N$1</f>
        <v>#REF!</v>
      </c>
      <c r="O466" s="50" t="e">
        <f>'Raw Data'!#REF!/O$1</f>
        <v>#REF!</v>
      </c>
      <c r="P466" s="50" t="str">
        <f t="shared" si="49"/>
        <v/>
      </c>
      <c r="Q466" s="50" t="e">
        <f t="shared" si="50"/>
        <v>#REF!</v>
      </c>
    </row>
    <row r="467" spans="1:17">
      <c r="A467" s="2" t="s">
        <v>210</v>
      </c>
      <c r="B467" s="44">
        <v>4</v>
      </c>
      <c r="C467" s="44">
        <v>2023</v>
      </c>
      <c r="D467" s="44" t="s">
        <v>211</v>
      </c>
      <c r="E467" s="44" t="s">
        <v>211</v>
      </c>
      <c r="F467" s="31">
        <v>45108</v>
      </c>
      <c r="G467" s="101">
        <f t="shared" ref="G467:G499" si="51">DAY(EOMONTH(F467,0))</f>
        <v>31</v>
      </c>
      <c r="H467" s="103">
        <f t="shared" si="45"/>
        <v>45116</v>
      </c>
      <c r="I467" s="141">
        <f>_xlfn.XLOOKUP(Table12[[#This Row],[Month Year]],'Modelling New'!D:D,'Modelling New'!N:N)</f>
        <v>10.507</v>
      </c>
      <c r="J467" s="50" t="e">
        <f>'Raw Data'!#REF!/J$1</f>
        <v>#REF!</v>
      </c>
      <c r="K467" s="50" t="e">
        <f>'Raw Data'!#REF!/K$1</f>
        <v>#REF!</v>
      </c>
      <c r="L467" s="50" t="e">
        <f>'Raw Data'!#REF!/L$1</f>
        <v>#REF!</v>
      </c>
      <c r="M467" s="50" t="e">
        <f>'Raw Data'!#REF!/M$1</f>
        <v>#REF!</v>
      </c>
      <c r="N467" s="50" t="e">
        <f>'Raw Data'!#REF!/N$1</f>
        <v>#REF!</v>
      </c>
      <c r="O467" s="50" t="e">
        <f>'Raw Data'!#REF!/O$1</f>
        <v>#REF!</v>
      </c>
      <c r="P467" s="50" t="str">
        <f t="shared" ref="P467:P499" si="52">IFERROR(AVERAGEIF(J467:O467,"&gt;"&amp;0,J467:O467),"")</f>
        <v/>
      </c>
      <c r="Q467" s="50" t="e">
        <f t="shared" ref="Q467:Q499" si="53">MAXA(J467:O467)</f>
        <v>#REF!</v>
      </c>
    </row>
    <row r="468" spans="1:17">
      <c r="A468" s="2" t="s">
        <v>210</v>
      </c>
      <c r="B468" s="44">
        <v>4</v>
      </c>
      <c r="C468" s="44">
        <v>2023</v>
      </c>
      <c r="D468" s="44" t="s">
        <v>211</v>
      </c>
      <c r="E468" s="44" t="s">
        <v>211</v>
      </c>
      <c r="F468" s="31">
        <v>45108</v>
      </c>
      <c r="G468" s="101">
        <f t="shared" si="51"/>
        <v>31</v>
      </c>
      <c r="H468" s="103">
        <f t="shared" si="45"/>
        <v>45117</v>
      </c>
      <c r="I468" s="141">
        <f>_xlfn.XLOOKUP(Table12[[#This Row],[Month Year]],'Modelling New'!D:D,'Modelling New'!N:N)</f>
        <v>10.507</v>
      </c>
      <c r="J468" s="50" t="e">
        <f>'Raw Data'!#REF!/J$1</f>
        <v>#REF!</v>
      </c>
      <c r="K468" s="50" t="e">
        <f>'Raw Data'!#REF!/K$1</f>
        <v>#REF!</v>
      </c>
      <c r="L468" s="50" t="e">
        <f>'Raw Data'!#REF!/L$1</f>
        <v>#REF!</v>
      </c>
      <c r="M468" s="50" t="e">
        <f>'Raw Data'!#REF!/M$1</f>
        <v>#REF!</v>
      </c>
      <c r="N468" s="50" t="e">
        <f>'Raw Data'!#REF!/N$1</f>
        <v>#REF!</v>
      </c>
      <c r="O468" s="50" t="e">
        <f>'Raw Data'!#REF!/O$1</f>
        <v>#REF!</v>
      </c>
      <c r="P468" s="50" t="str">
        <f t="shared" si="52"/>
        <v/>
      </c>
      <c r="Q468" s="50" t="e">
        <f t="shared" si="53"/>
        <v>#REF!</v>
      </c>
    </row>
    <row r="469" spans="1:17">
      <c r="A469" s="2" t="s">
        <v>210</v>
      </c>
      <c r="B469" s="44">
        <v>4</v>
      </c>
      <c r="C469" s="44">
        <v>2023</v>
      </c>
      <c r="D469" s="44" t="s">
        <v>211</v>
      </c>
      <c r="E469" s="44" t="s">
        <v>211</v>
      </c>
      <c r="F469" s="31">
        <v>45108</v>
      </c>
      <c r="G469" s="101">
        <f t="shared" si="51"/>
        <v>31</v>
      </c>
      <c r="H469" s="103">
        <f t="shared" si="45"/>
        <v>45118</v>
      </c>
      <c r="I469" s="141">
        <f>_xlfn.XLOOKUP(Table12[[#This Row],[Month Year]],'Modelling New'!D:D,'Modelling New'!N:N)</f>
        <v>10.507</v>
      </c>
      <c r="J469" s="50" t="e">
        <f>'Raw Data'!#REF!/J$1</f>
        <v>#REF!</v>
      </c>
      <c r="K469" s="50" t="e">
        <f>'Raw Data'!#REF!/K$1</f>
        <v>#REF!</v>
      </c>
      <c r="L469" s="50" t="e">
        <f>'Raw Data'!#REF!/L$1</f>
        <v>#REF!</v>
      </c>
      <c r="M469" s="50" t="e">
        <f>'Raw Data'!#REF!/M$1</f>
        <v>#REF!</v>
      </c>
      <c r="N469" s="50" t="e">
        <f>'Raw Data'!#REF!/N$1</f>
        <v>#REF!</v>
      </c>
      <c r="O469" s="50" t="e">
        <f>'Raw Data'!#REF!/O$1</f>
        <v>#REF!</v>
      </c>
      <c r="P469" s="50" t="str">
        <f t="shared" si="52"/>
        <v/>
      </c>
      <c r="Q469" s="50" t="e">
        <f t="shared" si="53"/>
        <v>#REF!</v>
      </c>
    </row>
    <row r="470" spans="1:17">
      <c r="A470" s="2" t="s">
        <v>210</v>
      </c>
      <c r="B470" s="44">
        <v>4</v>
      </c>
      <c r="C470" s="44">
        <v>2023</v>
      </c>
      <c r="D470" s="44" t="s">
        <v>211</v>
      </c>
      <c r="E470" s="44" t="s">
        <v>211</v>
      </c>
      <c r="F470" s="31">
        <v>45108</v>
      </c>
      <c r="G470" s="101">
        <f t="shared" si="51"/>
        <v>31</v>
      </c>
      <c r="H470" s="103">
        <f t="shared" si="45"/>
        <v>45119</v>
      </c>
      <c r="I470" s="141">
        <f>_xlfn.XLOOKUP(Table12[[#This Row],[Month Year]],'Modelling New'!D:D,'Modelling New'!N:N)</f>
        <v>10.507</v>
      </c>
      <c r="J470" s="50" t="e">
        <f>'Raw Data'!#REF!/J$1</f>
        <v>#REF!</v>
      </c>
      <c r="K470" s="50" t="e">
        <f>'Raw Data'!#REF!/K$1</f>
        <v>#REF!</v>
      </c>
      <c r="L470" s="50" t="e">
        <f>'Raw Data'!#REF!/L$1</f>
        <v>#REF!</v>
      </c>
      <c r="M470" s="50" t="e">
        <f>'Raw Data'!#REF!/M$1</f>
        <v>#REF!</v>
      </c>
      <c r="N470" s="50" t="e">
        <f>'Raw Data'!#REF!/N$1</f>
        <v>#REF!</v>
      </c>
      <c r="O470" s="50" t="e">
        <f>'Raw Data'!#REF!/O$1</f>
        <v>#REF!</v>
      </c>
      <c r="P470" s="50" t="str">
        <f t="shared" si="52"/>
        <v/>
      </c>
      <c r="Q470" s="50" t="e">
        <f t="shared" si="53"/>
        <v>#REF!</v>
      </c>
    </row>
    <row r="471" spans="1:17">
      <c r="A471" s="2" t="s">
        <v>210</v>
      </c>
      <c r="B471" s="44">
        <v>4</v>
      </c>
      <c r="C471" s="44">
        <v>2023</v>
      </c>
      <c r="D471" s="44" t="s">
        <v>211</v>
      </c>
      <c r="E471" s="44" t="s">
        <v>211</v>
      </c>
      <c r="F471" s="31">
        <v>45108</v>
      </c>
      <c r="G471" s="101">
        <f t="shared" si="51"/>
        <v>31</v>
      </c>
      <c r="H471" s="103">
        <f t="shared" si="45"/>
        <v>45120</v>
      </c>
      <c r="I471" s="141">
        <f>_xlfn.XLOOKUP(Table12[[#This Row],[Month Year]],'Modelling New'!D:D,'Modelling New'!N:N)</f>
        <v>10.507</v>
      </c>
      <c r="J471" s="50" t="e">
        <f>'Raw Data'!#REF!/J$1</f>
        <v>#REF!</v>
      </c>
      <c r="K471" s="50" t="e">
        <f>'Raw Data'!#REF!/K$1</f>
        <v>#REF!</v>
      </c>
      <c r="L471" s="50" t="e">
        <f>'Raw Data'!#REF!/L$1</f>
        <v>#REF!</v>
      </c>
      <c r="M471" s="50" t="e">
        <f>'Raw Data'!#REF!/M$1</f>
        <v>#REF!</v>
      </c>
      <c r="N471" s="50" t="e">
        <f>'Raw Data'!#REF!/N$1</f>
        <v>#REF!</v>
      </c>
      <c r="O471" s="50" t="e">
        <f>'Raw Data'!#REF!/O$1</f>
        <v>#REF!</v>
      </c>
      <c r="P471" s="50" t="str">
        <f t="shared" si="52"/>
        <v/>
      </c>
      <c r="Q471" s="50" t="e">
        <f t="shared" si="53"/>
        <v>#REF!</v>
      </c>
    </row>
    <row r="472" spans="1:17">
      <c r="A472" s="2" t="s">
        <v>210</v>
      </c>
      <c r="B472" s="44">
        <v>4</v>
      </c>
      <c r="C472" s="44">
        <v>2023</v>
      </c>
      <c r="D472" s="44" t="s">
        <v>211</v>
      </c>
      <c r="E472" s="44" t="s">
        <v>211</v>
      </c>
      <c r="F472" s="31">
        <v>45108</v>
      </c>
      <c r="G472" s="101">
        <f t="shared" si="51"/>
        <v>31</v>
      </c>
      <c r="H472" s="103">
        <f t="shared" si="45"/>
        <v>45121</v>
      </c>
      <c r="I472" s="141">
        <f>_xlfn.XLOOKUP(Table12[[#This Row],[Month Year]],'Modelling New'!D:D,'Modelling New'!N:N)</f>
        <v>10.507</v>
      </c>
      <c r="J472" s="50" t="e">
        <f>'Raw Data'!#REF!/J$1</f>
        <v>#REF!</v>
      </c>
      <c r="K472" s="50" t="e">
        <f>'Raw Data'!#REF!/K$1</f>
        <v>#REF!</v>
      </c>
      <c r="L472" s="50" t="e">
        <f>'Raw Data'!#REF!/L$1</f>
        <v>#REF!</v>
      </c>
      <c r="M472" s="50" t="e">
        <f>'Raw Data'!#REF!/M$1</f>
        <v>#REF!</v>
      </c>
      <c r="N472" s="50" t="e">
        <f>'Raw Data'!#REF!/N$1</f>
        <v>#REF!</v>
      </c>
      <c r="O472" s="50" t="e">
        <f>'Raw Data'!#REF!/O$1</f>
        <v>#REF!</v>
      </c>
      <c r="P472" s="50" t="str">
        <f t="shared" si="52"/>
        <v/>
      </c>
      <c r="Q472" s="50" t="e">
        <f t="shared" si="53"/>
        <v>#REF!</v>
      </c>
    </row>
    <row r="473" spans="1:17">
      <c r="A473" s="2" t="s">
        <v>210</v>
      </c>
      <c r="B473" s="44">
        <v>4</v>
      </c>
      <c r="C473" s="44">
        <v>2023</v>
      </c>
      <c r="D473" s="44" t="s">
        <v>211</v>
      </c>
      <c r="E473" s="44" t="s">
        <v>211</v>
      </c>
      <c r="F473" s="31">
        <v>45108</v>
      </c>
      <c r="G473" s="101">
        <f t="shared" si="51"/>
        <v>31</v>
      </c>
      <c r="H473" s="103">
        <f t="shared" si="45"/>
        <v>45122</v>
      </c>
      <c r="I473" s="141">
        <f>_xlfn.XLOOKUP(Table12[[#This Row],[Month Year]],'Modelling New'!D:D,'Modelling New'!N:N)</f>
        <v>10.507</v>
      </c>
      <c r="J473" s="50" t="e">
        <f>'Raw Data'!#REF!/J$1</f>
        <v>#REF!</v>
      </c>
      <c r="K473" s="50" t="e">
        <f>'Raw Data'!#REF!/K$1</f>
        <v>#REF!</v>
      </c>
      <c r="L473" s="50" t="e">
        <f>'Raw Data'!#REF!/L$1</f>
        <v>#REF!</v>
      </c>
      <c r="M473" s="50" t="e">
        <f>'Raw Data'!#REF!/M$1</f>
        <v>#REF!</v>
      </c>
      <c r="N473" s="50" t="e">
        <f>'Raw Data'!#REF!/N$1</f>
        <v>#REF!</v>
      </c>
      <c r="O473" s="50" t="e">
        <f>'Raw Data'!#REF!/O$1</f>
        <v>#REF!</v>
      </c>
      <c r="P473" s="50" t="str">
        <f t="shared" si="52"/>
        <v/>
      </c>
      <c r="Q473" s="50" t="e">
        <f t="shared" si="53"/>
        <v>#REF!</v>
      </c>
    </row>
    <row r="474" spans="1:17">
      <c r="A474" s="2" t="s">
        <v>210</v>
      </c>
      <c r="B474" s="44">
        <v>4</v>
      </c>
      <c r="C474" s="44">
        <v>2023</v>
      </c>
      <c r="D474" s="44" t="s">
        <v>211</v>
      </c>
      <c r="E474" s="44" t="s">
        <v>211</v>
      </c>
      <c r="F474" s="31">
        <v>45108</v>
      </c>
      <c r="G474" s="101">
        <f t="shared" si="51"/>
        <v>31</v>
      </c>
      <c r="H474" s="103">
        <f t="shared" si="45"/>
        <v>45123</v>
      </c>
      <c r="I474" s="141">
        <f>_xlfn.XLOOKUP(Table12[[#This Row],[Month Year]],'Modelling New'!D:D,'Modelling New'!N:N)</f>
        <v>10.507</v>
      </c>
      <c r="J474" s="50" t="e">
        <f>'Raw Data'!#REF!/J$1</f>
        <v>#REF!</v>
      </c>
      <c r="K474" s="50" t="e">
        <f>'Raw Data'!#REF!/K$1</f>
        <v>#REF!</v>
      </c>
      <c r="L474" s="50" t="e">
        <f>'Raw Data'!#REF!/L$1</f>
        <v>#REF!</v>
      </c>
      <c r="M474" s="50" t="e">
        <f>'Raw Data'!#REF!/M$1</f>
        <v>#REF!</v>
      </c>
      <c r="N474" s="50" t="e">
        <f>'Raw Data'!#REF!/N$1</f>
        <v>#REF!</v>
      </c>
      <c r="O474" s="50" t="e">
        <f>'Raw Data'!#REF!/O$1</f>
        <v>#REF!</v>
      </c>
      <c r="P474" s="50" t="str">
        <f t="shared" si="52"/>
        <v/>
      </c>
      <c r="Q474" s="50" t="e">
        <f t="shared" si="53"/>
        <v>#REF!</v>
      </c>
    </row>
    <row r="475" spans="1:17">
      <c r="A475" s="2" t="s">
        <v>210</v>
      </c>
      <c r="B475" s="44">
        <v>4</v>
      </c>
      <c r="C475" s="44">
        <v>2023</v>
      </c>
      <c r="D475" s="44" t="s">
        <v>211</v>
      </c>
      <c r="E475" s="44" t="s">
        <v>211</v>
      </c>
      <c r="F475" s="31">
        <v>45108</v>
      </c>
      <c r="G475" s="101">
        <f t="shared" si="51"/>
        <v>31</v>
      </c>
      <c r="H475" s="103">
        <f t="shared" si="45"/>
        <v>45124</v>
      </c>
      <c r="I475" s="141">
        <f>_xlfn.XLOOKUP(Table12[[#This Row],[Month Year]],'Modelling New'!D:D,'Modelling New'!N:N)</f>
        <v>10.507</v>
      </c>
      <c r="J475" s="50" t="e">
        <f>'Raw Data'!#REF!/J$1</f>
        <v>#REF!</v>
      </c>
      <c r="K475" s="50" t="e">
        <f>'Raw Data'!#REF!/K$1</f>
        <v>#REF!</v>
      </c>
      <c r="L475" s="50" t="e">
        <f>'Raw Data'!#REF!/L$1</f>
        <v>#REF!</v>
      </c>
      <c r="M475" s="50" t="e">
        <f>'Raw Data'!#REF!/M$1</f>
        <v>#REF!</v>
      </c>
      <c r="N475" s="50" t="e">
        <f>'Raw Data'!#REF!/N$1</f>
        <v>#REF!</v>
      </c>
      <c r="O475" s="50" t="e">
        <f>'Raw Data'!#REF!/O$1</f>
        <v>#REF!</v>
      </c>
      <c r="P475" s="50" t="str">
        <f t="shared" si="52"/>
        <v/>
      </c>
      <c r="Q475" s="50" t="e">
        <f t="shared" si="53"/>
        <v>#REF!</v>
      </c>
    </row>
    <row r="476" spans="1:17">
      <c r="A476" s="2" t="s">
        <v>210</v>
      </c>
      <c r="B476" s="44">
        <v>4</v>
      </c>
      <c r="C476" s="44">
        <v>2023</v>
      </c>
      <c r="D476" s="44" t="s">
        <v>211</v>
      </c>
      <c r="E476" s="44" t="s">
        <v>211</v>
      </c>
      <c r="F476" s="31">
        <v>45108</v>
      </c>
      <c r="G476" s="101">
        <f t="shared" si="51"/>
        <v>31</v>
      </c>
      <c r="H476" s="103">
        <f t="shared" si="45"/>
        <v>45125</v>
      </c>
      <c r="I476" s="141">
        <f>_xlfn.XLOOKUP(Table12[[#This Row],[Month Year]],'Modelling New'!D:D,'Modelling New'!N:N)</f>
        <v>10.507</v>
      </c>
      <c r="J476" s="50" t="e">
        <f>'Raw Data'!#REF!/J$1</f>
        <v>#REF!</v>
      </c>
      <c r="K476" s="50" t="e">
        <f>'Raw Data'!#REF!/K$1</f>
        <v>#REF!</v>
      </c>
      <c r="L476" s="50" t="e">
        <f>'Raw Data'!#REF!/L$1</f>
        <v>#REF!</v>
      </c>
      <c r="M476" s="50" t="e">
        <f>'Raw Data'!#REF!/M$1</f>
        <v>#REF!</v>
      </c>
      <c r="N476" s="50" t="e">
        <f>'Raw Data'!#REF!/N$1</f>
        <v>#REF!</v>
      </c>
      <c r="O476" s="50" t="e">
        <f>'Raw Data'!#REF!/O$1</f>
        <v>#REF!</v>
      </c>
      <c r="P476" s="50" t="str">
        <f t="shared" si="52"/>
        <v/>
      </c>
      <c r="Q476" s="50" t="e">
        <f t="shared" si="53"/>
        <v>#REF!</v>
      </c>
    </row>
    <row r="477" spans="1:17">
      <c r="A477" s="2" t="s">
        <v>210</v>
      </c>
      <c r="B477" s="44">
        <v>4</v>
      </c>
      <c r="C477" s="44">
        <v>2023</v>
      </c>
      <c r="D477" s="44" t="s">
        <v>211</v>
      </c>
      <c r="E477" s="44" t="s">
        <v>211</v>
      </c>
      <c r="F477" s="31">
        <v>45108</v>
      </c>
      <c r="G477" s="101">
        <f t="shared" si="51"/>
        <v>31</v>
      </c>
      <c r="H477" s="103">
        <f t="shared" si="45"/>
        <v>45126</v>
      </c>
      <c r="I477" s="141">
        <f>_xlfn.XLOOKUP(Table12[[#This Row],[Month Year]],'Modelling New'!D:D,'Modelling New'!N:N)</f>
        <v>10.507</v>
      </c>
      <c r="J477" s="50" t="e">
        <f>'Raw Data'!#REF!/J$1</f>
        <v>#REF!</v>
      </c>
      <c r="K477" s="50" t="e">
        <f>'Raw Data'!#REF!/K$1</f>
        <v>#REF!</v>
      </c>
      <c r="L477" s="50" t="e">
        <f>'Raw Data'!#REF!/L$1</f>
        <v>#REF!</v>
      </c>
      <c r="M477" s="50" t="e">
        <f>'Raw Data'!#REF!/M$1</f>
        <v>#REF!</v>
      </c>
      <c r="N477" s="50" t="e">
        <f>'Raw Data'!#REF!/N$1</f>
        <v>#REF!</v>
      </c>
      <c r="O477" s="50" t="e">
        <f>'Raw Data'!#REF!/O$1</f>
        <v>#REF!</v>
      </c>
      <c r="P477" s="50" t="str">
        <f t="shared" si="52"/>
        <v/>
      </c>
      <c r="Q477" s="50" t="e">
        <f t="shared" si="53"/>
        <v>#REF!</v>
      </c>
    </row>
    <row r="478" spans="1:17">
      <c r="A478" s="2" t="s">
        <v>210</v>
      </c>
      <c r="B478" s="44">
        <v>4</v>
      </c>
      <c r="C478" s="44">
        <v>2023</v>
      </c>
      <c r="D478" s="44" t="s">
        <v>211</v>
      </c>
      <c r="E478" s="44" t="s">
        <v>211</v>
      </c>
      <c r="F478" s="31">
        <v>45108</v>
      </c>
      <c r="G478" s="101">
        <f t="shared" si="51"/>
        <v>31</v>
      </c>
      <c r="H478" s="103">
        <f t="shared" si="45"/>
        <v>45127</v>
      </c>
      <c r="I478" s="141">
        <f>_xlfn.XLOOKUP(Table12[[#This Row],[Month Year]],'Modelling New'!D:D,'Modelling New'!N:N)</f>
        <v>10.507</v>
      </c>
      <c r="J478" s="50" t="e">
        <f>'Raw Data'!#REF!/J$1</f>
        <v>#REF!</v>
      </c>
      <c r="K478" s="50" t="e">
        <f>'Raw Data'!#REF!/K$1</f>
        <v>#REF!</v>
      </c>
      <c r="L478" s="50" t="e">
        <f>'Raw Data'!#REF!/L$1</f>
        <v>#REF!</v>
      </c>
      <c r="M478" s="50" t="e">
        <f>'Raw Data'!#REF!/M$1</f>
        <v>#REF!</v>
      </c>
      <c r="N478" s="50" t="e">
        <f>'Raw Data'!#REF!/N$1</f>
        <v>#REF!</v>
      </c>
      <c r="O478" s="50" t="e">
        <f>'Raw Data'!#REF!/O$1</f>
        <v>#REF!</v>
      </c>
      <c r="P478" s="50" t="str">
        <f t="shared" si="52"/>
        <v/>
      </c>
      <c r="Q478" s="50" t="e">
        <f t="shared" si="53"/>
        <v>#REF!</v>
      </c>
    </row>
    <row r="479" spans="1:17">
      <c r="A479" s="2" t="s">
        <v>210</v>
      </c>
      <c r="B479" s="44">
        <v>4</v>
      </c>
      <c r="C479" s="44">
        <v>2023</v>
      </c>
      <c r="D479" s="44" t="s">
        <v>211</v>
      </c>
      <c r="E479" s="44" t="s">
        <v>211</v>
      </c>
      <c r="F479" s="31">
        <v>45108</v>
      </c>
      <c r="G479" s="101">
        <f t="shared" si="51"/>
        <v>31</v>
      </c>
      <c r="H479" s="103">
        <f t="shared" si="45"/>
        <v>45128</v>
      </c>
      <c r="I479" s="141">
        <f>_xlfn.XLOOKUP(Table12[[#This Row],[Month Year]],'Modelling New'!D:D,'Modelling New'!N:N)</f>
        <v>10.507</v>
      </c>
      <c r="J479" s="50" t="e">
        <f>'Raw Data'!#REF!/J$1</f>
        <v>#REF!</v>
      </c>
      <c r="K479" s="50" t="e">
        <f>'Raw Data'!#REF!/K$1</f>
        <v>#REF!</v>
      </c>
      <c r="L479" s="50" t="e">
        <f>'Raw Data'!#REF!/L$1</f>
        <v>#REF!</v>
      </c>
      <c r="M479" s="50" t="e">
        <f>'Raw Data'!#REF!/M$1</f>
        <v>#REF!</v>
      </c>
      <c r="N479" s="50" t="e">
        <f>'Raw Data'!#REF!/N$1</f>
        <v>#REF!</v>
      </c>
      <c r="O479" s="50" t="e">
        <f>'Raw Data'!#REF!/O$1</f>
        <v>#REF!</v>
      </c>
      <c r="P479" s="50" t="str">
        <f t="shared" si="52"/>
        <v/>
      </c>
      <c r="Q479" s="50" t="e">
        <f t="shared" si="53"/>
        <v>#REF!</v>
      </c>
    </row>
    <row r="480" spans="1:17">
      <c r="A480" s="2" t="s">
        <v>210</v>
      </c>
      <c r="B480" s="44">
        <v>4</v>
      </c>
      <c r="C480" s="44">
        <v>2023</v>
      </c>
      <c r="D480" s="44" t="s">
        <v>211</v>
      </c>
      <c r="E480" s="44" t="s">
        <v>211</v>
      </c>
      <c r="F480" s="31">
        <v>45108</v>
      </c>
      <c r="G480" s="101">
        <f t="shared" si="51"/>
        <v>31</v>
      </c>
      <c r="H480" s="103">
        <f t="shared" si="45"/>
        <v>45129</v>
      </c>
      <c r="I480" s="141">
        <f>_xlfn.XLOOKUP(Table12[[#This Row],[Month Year]],'Modelling New'!D:D,'Modelling New'!N:N)</f>
        <v>10.507</v>
      </c>
      <c r="J480" s="50" t="e">
        <f>'Raw Data'!#REF!/J$1</f>
        <v>#REF!</v>
      </c>
      <c r="K480" s="50" t="e">
        <f>'Raw Data'!#REF!/K$1</f>
        <v>#REF!</v>
      </c>
      <c r="L480" s="50" t="e">
        <f>'Raw Data'!#REF!/L$1</f>
        <v>#REF!</v>
      </c>
      <c r="M480" s="50" t="e">
        <f>'Raw Data'!#REF!/M$1</f>
        <v>#REF!</v>
      </c>
      <c r="N480" s="50" t="e">
        <f>'Raw Data'!#REF!/N$1</f>
        <v>#REF!</v>
      </c>
      <c r="O480" s="50" t="e">
        <f>'Raw Data'!#REF!/O$1</f>
        <v>#REF!</v>
      </c>
      <c r="P480" s="50" t="str">
        <f t="shared" si="52"/>
        <v/>
      </c>
      <c r="Q480" s="50" t="e">
        <f t="shared" si="53"/>
        <v>#REF!</v>
      </c>
    </row>
    <row r="481" spans="1:17">
      <c r="A481" s="2" t="s">
        <v>210</v>
      </c>
      <c r="B481" s="44">
        <v>4</v>
      </c>
      <c r="C481" s="44">
        <v>2023</v>
      </c>
      <c r="D481" s="44" t="s">
        <v>211</v>
      </c>
      <c r="E481" s="44" t="s">
        <v>211</v>
      </c>
      <c r="F481" s="31">
        <v>45108</v>
      </c>
      <c r="G481" s="101">
        <f t="shared" si="51"/>
        <v>31</v>
      </c>
      <c r="H481" s="103">
        <f t="shared" si="45"/>
        <v>45130</v>
      </c>
      <c r="I481" s="141">
        <f>_xlfn.XLOOKUP(Table12[[#This Row],[Month Year]],'Modelling New'!D:D,'Modelling New'!N:N)</f>
        <v>10.507</v>
      </c>
      <c r="J481" s="50" t="e">
        <f>'Raw Data'!#REF!/J$1</f>
        <v>#REF!</v>
      </c>
      <c r="K481" s="50" t="e">
        <f>'Raw Data'!#REF!/K$1</f>
        <v>#REF!</v>
      </c>
      <c r="L481" s="50" t="e">
        <f>'Raw Data'!#REF!/L$1</f>
        <v>#REF!</v>
      </c>
      <c r="M481" s="50" t="e">
        <f>'Raw Data'!#REF!/M$1</f>
        <v>#REF!</v>
      </c>
      <c r="N481" s="50" t="e">
        <f>'Raw Data'!#REF!/N$1</f>
        <v>#REF!</v>
      </c>
      <c r="O481" s="50" t="e">
        <f>'Raw Data'!#REF!/O$1</f>
        <v>#REF!</v>
      </c>
      <c r="P481" s="50" t="str">
        <f t="shared" si="52"/>
        <v/>
      </c>
      <c r="Q481" s="50" t="e">
        <f t="shared" si="53"/>
        <v>#REF!</v>
      </c>
    </row>
    <row r="482" spans="1:17">
      <c r="A482" s="2" t="s">
        <v>210</v>
      </c>
      <c r="B482" s="44">
        <v>4</v>
      </c>
      <c r="C482" s="44">
        <v>2023</v>
      </c>
      <c r="D482" s="44" t="s">
        <v>211</v>
      </c>
      <c r="E482" s="44" t="s">
        <v>211</v>
      </c>
      <c r="F482" s="31">
        <v>45108</v>
      </c>
      <c r="G482" s="101">
        <f t="shared" si="51"/>
        <v>31</v>
      </c>
      <c r="H482" s="103">
        <f t="shared" si="45"/>
        <v>45131</v>
      </c>
      <c r="I482" s="141">
        <f>_xlfn.XLOOKUP(Table12[[#This Row],[Month Year]],'Modelling New'!D:D,'Modelling New'!N:N)</f>
        <v>10.507</v>
      </c>
      <c r="J482" s="50" t="e">
        <f>'Raw Data'!#REF!/J$1</f>
        <v>#REF!</v>
      </c>
      <c r="K482" s="50" t="e">
        <f>'Raw Data'!#REF!/K$1</f>
        <v>#REF!</v>
      </c>
      <c r="L482" s="50" t="e">
        <f>'Raw Data'!#REF!/L$1</f>
        <v>#REF!</v>
      </c>
      <c r="M482" s="50" t="e">
        <f>'Raw Data'!#REF!/M$1</f>
        <v>#REF!</v>
      </c>
      <c r="N482" s="50" t="e">
        <f>'Raw Data'!#REF!/N$1</f>
        <v>#REF!</v>
      </c>
      <c r="O482" s="50" t="e">
        <f>'Raw Data'!#REF!/O$1</f>
        <v>#REF!</v>
      </c>
      <c r="P482" s="50" t="str">
        <f t="shared" si="52"/>
        <v/>
      </c>
      <c r="Q482" s="50" t="e">
        <f t="shared" si="53"/>
        <v>#REF!</v>
      </c>
    </row>
    <row r="483" spans="1:17">
      <c r="A483" s="2" t="s">
        <v>210</v>
      </c>
      <c r="B483" s="44">
        <v>4</v>
      </c>
      <c r="C483" s="44">
        <v>2023</v>
      </c>
      <c r="D483" s="44" t="s">
        <v>211</v>
      </c>
      <c r="E483" s="44" t="s">
        <v>211</v>
      </c>
      <c r="F483" s="31">
        <v>45108</v>
      </c>
      <c r="G483" s="101">
        <f t="shared" si="51"/>
        <v>31</v>
      </c>
      <c r="H483" s="103">
        <f t="shared" si="45"/>
        <v>45132</v>
      </c>
      <c r="I483" s="141">
        <f>_xlfn.XLOOKUP(Table12[[#This Row],[Month Year]],'Modelling New'!D:D,'Modelling New'!N:N)</f>
        <v>10.507</v>
      </c>
      <c r="J483" s="50" t="e">
        <f>'Raw Data'!#REF!/J$1</f>
        <v>#REF!</v>
      </c>
      <c r="K483" s="50" t="e">
        <f>'Raw Data'!#REF!/K$1</f>
        <v>#REF!</v>
      </c>
      <c r="L483" s="50" t="e">
        <f>'Raw Data'!#REF!/L$1</f>
        <v>#REF!</v>
      </c>
      <c r="M483" s="50" t="e">
        <f>'Raw Data'!#REF!/M$1</f>
        <v>#REF!</v>
      </c>
      <c r="N483" s="50" t="e">
        <f>'Raw Data'!#REF!/N$1</f>
        <v>#REF!</v>
      </c>
      <c r="O483" s="50" t="e">
        <f>'Raw Data'!#REF!/O$1</f>
        <v>#REF!</v>
      </c>
      <c r="P483" s="50" t="str">
        <f t="shared" si="52"/>
        <v/>
      </c>
      <c r="Q483" s="50" t="e">
        <f t="shared" si="53"/>
        <v>#REF!</v>
      </c>
    </row>
    <row r="484" spans="1:17">
      <c r="A484" s="2" t="s">
        <v>210</v>
      </c>
      <c r="B484" s="44">
        <v>4</v>
      </c>
      <c r="C484" s="44">
        <v>2023</v>
      </c>
      <c r="D484" s="44" t="s">
        <v>211</v>
      </c>
      <c r="E484" s="44" t="s">
        <v>211</v>
      </c>
      <c r="F484" s="31">
        <v>45108</v>
      </c>
      <c r="G484" s="101">
        <f t="shared" si="51"/>
        <v>31</v>
      </c>
      <c r="H484" s="103">
        <f t="shared" si="45"/>
        <v>45133</v>
      </c>
      <c r="I484" s="141">
        <f>_xlfn.XLOOKUP(Table12[[#This Row],[Month Year]],'Modelling New'!D:D,'Modelling New'!N:N)</f>
        <v>10.507</v>
      </c>
      <c r="J484" s="50" t="e">
        <f>'Raw Data'!#REF!/J$1</f>
        <v>#REF!</v>
      </c>
      <c r="K484" s="50" t="e">
        <f>'Raw Data'!#REF!/K$1</f>
        <v>#REF!</v>
      </c>
      <c r="L484" s="50" t="e">
        <f>'Raw Data'!#REF!/L$1</f>
        <v>#REF!</v>
      </c>
      <c r="M484" s="50" t="e">
        <f>'Raw Data'!#REF!/M$1</f>
        <v>#REF!</v>
      </c>
      <c r="N484" s="50" t="e">
        <f>'Raw Data'!#REF!/N$1</f>
        <v>#REF!</v>
      </c>
      <c r="O484" s="50" t="e">
        <f>'Raw Data'!#REF!/O$1</f>
        <v>#REF!</v>
      </c>
      <c r="P484" s="50" t="str">
        <f t="shared" si="52"/>
        <v/>
      </c>
      <c r="Q484" s="50" t="e">
        <f t="shared" si="53"/>
        <v>#REF!</v>
      </c>
    </row>
    <row r="485" spans="1:17">
      <c r="A485" s="2" t="s">
        <v>210</v>
      </c>
      <c r="B485" s="44">
        <v>4</v>
      </c>
      <c r="C485" s="44">
        <v>2023</v>
      </c>
      <c r="D485" s="44" t="s">
        <v>211</v>
      </c>
      <c r="E485" s="44" t="s">
        <v>211</v>
      </c>
      <c r="F485" s="31">
        <v>45108</v>
      </c>
      <c r="G485" s="101">
        <f t="shared" si="51"/>
        <v>31</v>
      </c>
      <c r="H485" s="103">
        <f t="shared" si="45"/>
        <v>45134</v>
      </c>
      <c r="I485" s="141">
        <f>_xlfn.XLOOKUP(Table12[[#This Row],[Month Year]],'Modelling New'!D:D,'Modelling New'!N:N)</f>
        <v>10.507</v>
      </c>
      <c r="J485" s="50" t="e">
        <f>'Raw Data'!#REF!/J$1</f>
        <v>#REF!</v>
      </c>
      <c r="K485" s="50" t="e">
        <f>'Raw Data'!#REF!/K$1</f>
        <v>#REF!</v>
      </c>
      <c r="L485" s="50" t="e">
        <f>'Raw Data'!#REF!/L$1</f>
        <v>#REF!</v>
      </c>
      <c r="M485" s="50" t="e">
        <f>'Raw Data'!#REF!/M$1</f>
        <v>#REF!</v>
      </c>
      <c r="N485" s="50" t="e">
        <f>'Raw Data'!#REF!/N$1</f>
        <v>#REF!</v>
      </c>
      <c r="O485" s="50" t="e">
        <f>'Raw Data'!#REF!/O$1</f>
        <v>#REF!</v>
      </c>
      <c r="P485" s="50" t="str">
        <f t="shared" si="52"/>
        <v/>
      </c>
      <c r="Q485" s="50" t="e">
        <f t="shared" si="53"/>
        <v>#REF!</v>
      </c>
    </row>
    <row r="486" spans="1:17">
      <c r="A486" s="2" t="s">
        <v>210</v>
      </c>
      <c r="B486" s="44">
        <v>4</v>
      </c>
      <c r="C486" s="44">
        <v>2023</v>
      </c>
      <c r="D486" s="44" t="s">
        <v>211</v>
      </c>
      <c r="E486" s="44" t="s">
        <v>211</v>
      </c>
      <c r="F486" s="31">
        <v>45108</v>
      </c>
      <c r="G486" s="101">
        <f t="shared" si="51"/>
        <v>31</v>
      </c>
      <c r="H486" s="103">
        <f t="shared" si="45"/>
        <v>45135</v>
      </c>
      <c r="I486" s="141">
        <f>_xlfn.XLOOKUP(Table12[[#This Row],[Month Year]],'Modelling New'!D:D,'Modelling New'!N:N)</f>
        <v>10.507</v>
      </c>
      <c r="J486" s="50" t="e">
        <f>'Raw Data'!#REF!/J$1</f>
        <v>#REF!</v>
      </c>
      <c r="K486" s="50" t="e">
        <f>'Raw Data'!#REF!/K$1</f>
        <v>#REF!</v>
      </c>
      <c r="L486" s="50" t="e">
        <f>'Raw Data'!#REF!/L$1</f>
        <v>#REF!</v>
      </c>
      <c r="M486" s="50" t="e">
        <f>'Raw Data'!#REF!/M$1</f>
        <v>#REF!</v>
      </c>
      <c r="N486" s="50" t="e">
        <f>'Raw Data'!#REF!/N$1</f>
        <v>#REF!</v>
      </c>
      <c r="O486" s="50" t="e">
        <f>'Raw Data'!#REF!/O$1</f>
        <v>#REF!</v>
      </c>
      <c r="P486" s="50" t="str">
        <f t="shared" si="52"/>
        <v/>
      </c>
      <c r="Q486" s="50" t="e">
        <f t="shared" si="53"/>
        <v>#REF!</v>
      </c>
    </row>
    <row r="487" spans="1:17">
      <c r="A487" s="2" t="s">
        <v>210</v>
      </c>
      <c r="B487" s="44">
        <v>4</v>
      </c>
      <c r="C487" s="44">
        <v>2023</v>
      </c>
      <c r="D487" s="44" t="s">
        <v>211</v>
      </c>
      <c r="E487" s="44" t="s">
        <v>211</v>
      </c>
      <c r="F487" s="31">
        <v>45108</v>
      </c>
      <c r="G487" s="101">
        <f t="shared" si="51"/>
        <v>31</v>
      </c>
      <c r="H487" s="103">
        <f t="shared" si="45"/>
        <v>45136</v>
      </c>
      <c r="I487" s="141">
        <f>_xlfn.XLOOKUP(Table12[[#This Row],[Month Year]],'Modelling New'!D:D,'Modelling New'!N:N)</f>
        <v>10.507</v>
      </c>
      <c r="J487" s="50" t="e">
        <f>'Raw Data'!#REF!/J$1</f>
        <v>#REF!</v>
      </c>
      <c r="K487" s="50" t="e">
        <f>'Raw Data'!#REF!/K$1</f>
        <v>#REF!</v>
      </c>
      <c r="L487" s="50" t="e">
        <f>'Raw Data'!#REF!/L$1</f>
        <v>#REF!</v>
      </c>
      <c r="M487" s="50" t="e">
        <f>'Raw Data'!#REF!/M$1</f>
        <v>#REF!</v>
      </c>
      <c r="N487" s="50" t="e">
        <f>'Raw Data'!#REF!/N$1</f>
        <v>#REF!</v>
      </c>
      <c r="O487" s="50" t="e">
        <f>'Raw Data'!#REF!/O$1</f>
        <v>#REF!</v>
      </c>
      <c r="P487" s="50" t="str">
        <f t="shared" si="52"/>
        <v/>
      </c>
      <c r="Q487" s="50" t="e">
        <f t="shared" si="53"/>
        <v>#REF!</v>
      </c>
    </row>
    <row r="488" spans="1:17">
      <c r="A488" s="2" t="s">
        <v>210</v>
      </c>
      <c r="B488" s="44">
        <v>4</v>
      </c>
      <c r="C488" s="44">
        <v>2023</v>
      </c>
      <c r="D488" s="44" t="s">
        <v>211</v>
      </c>
      <c r="E488" s="44" t="s">
        <v>211</v>
      </c>
      <c r="F488" s="31">
        <v>45108</v>
      </c>
      <c r="G488" s="101">
        <f t="shared" si="51"/>
        <v>31</v>
      </c>
      <c r="H488" s="103">
        <f t="shared" si="45"/>
        <v>45137</v>
      </c>
      <c r="I488" s="141">
        <f>_xlfn.XLOOKUP(Table12[[#This Row],[Month Year]],'Modelling New'!D:D,'Modelling New'!N:N)</f>
        <v>10.507</v>
      </c>
      <c r="J488" s="50" t="e">
        <f>'Raw Data'!#REF!/J$1</f>
        <v>#REF!</v>
      </c>
      <c r="K488" s="50" t="e">
        <f>'Raw Data'!#REF!/K$1</f>
        <v>#REF!</v>
      </c>
      <c r="L488" s="50" t="e">
        <f>'Raw Data'!#REF!/L$1</f>
        <v>#REF!</v>
      </c>
      <c r="M488" s="50" t="e">
        <f>'Raw Data'!#REF!/M$1</f>
        <v>#REF!</v>
      </c>
      <c r="N488" s="50" t="e">
        <f>'Raw Data'!#REF!/N$1</f>
        <v>#REF!</v>
      </c>
      <c r="O488" s="50" t="e">
        <f>'Raw Data'!#REF!/O$1</f>
        <v>#REF!</v>
      </c>
      <c r="P488" s="50" t="str">
        <f t="shared" si="52"/>
        <v/>
      </c>
      <c r="Q488" s="50" t="e">
        <f t="shared" si="53"/>
        <v>#REF!</v>
      </c>
    </row>
    <row r="489" spans="1:17">
      <c r="A489" s="2" t="s">
        <v>210</v>
      </c>
      <c r="B489" s="44">
        <v>4</v>
      </c>
      <c r="C489" s="44">
        <v>2023</v>
      </c>
      <c r="D489" s="44" t="s">
        <v>211</v>
      </c>
      <c r="E489" s="44" t="s">
        <v>211</v>
      </c>
      <c r="F489" s="31">
        <v>45108</v>
      </c>
      <c r="G489" s="101">
        <f t="shared" si="51"/>
        <v>31</v>
      </c>
      <c r="H489" s="103">
        <f t="shared" si="45"/>
        <v>45138</v>
      </c>
      <c r="I489" s="141">
        <f>_xlfn.XLOOKUP(Table12[[#This Row],[Month Year]],'Modelling New'!D:D,'Modelling New'!N:N)</f>
        <v>10.507</v>
      </c>
      <c r="J489" s="50" t="e">
        <f>'Raw Data'!#REF!/J$1</f>
        <v>#REF!</v>
      </c>
      <c r="K489" s="50" t="e">
        <f>'Raw Data'!#REF!/K$1</f>
        <v>#REF!</v>
      </c>
      <c r="L489" s="50" t="e">
        <f>'Raw Data'!#REF!/L$1</f>
        <v>#REF!</v>
      </c>
      <c r="M489" s="50" t="e">
        <f>'Raw Data'!#REF!/M$1</f>
        <v>#REF!</v>
      </c>
      <c r="N489" s="50" t="e">
        <f>'Raw Data'!#REF!/N$1</f>
        <v>#REF!</v>
      </c>
      <c r="O489" s="50" t="e">
        <f>'Raw Data'!#REF!/O$1</f>
        <v>#REF!</v>
      </c>
      <c r="P489" s="50" t="str">
        <f t="shared" si="52"/>
        <v/>
      </c>
      <c r="Q489" s="50" t="e">
        <f t="shared" si="53"/>
        <v>#REF!</v>
      </c>
    </row>
    <row r="490" spans="1:17">
      <c r="A490" s="2" t="s">
        <v>210</v>
      </c>
      <c r="B490" s="44">
        <v>4</v>
      </c>
      <c r="C490" s="44">
        <v>2023</v>
      </c>
      <c r="D490" s="44" t="s">
        <v>211</v>
      </c>
      <c r="E490" s="44" t="s">
        <v>211</v>
      </c>
      <c r="F490" s="31">
        <v>45139</v>
      </c>
      <c r="G490" s="101">
        <f t="shared" si="51"/>
        <v>31</v>
      </c>
      <c r="H490" s="103">
        <f t="shared" si="45"/>
        <v>45139</v>
      </c>
      <c r="I490" s="141">
        <f>_xlfn.XLOOKUP(Table12[[#This Row],[Month Year]],'Modelling New'!D:D,'Modelling New'!N:N)</f>
        <v>10.507</v>
      </c>
      <c r="J490" s="50" t="e">
        <f>'Raw Data'!#REF!/J$1</f>
        <v>#REF!</v>
      </c>
      <c r="K490" s="50" t="e">
        <f>'Raw Data'!#REF!/K$1</f>
        <v>#REF!</v>
      </c>
      <c r="L490" s="50" t="e">
        <f>'Raw Data'!#REF!/L$1</f>
        <v>#REF!</v>
      </c>
      <c r="M490" s="50" t="e">
        <f>'Raw Data'!#REF!/M$1</f>
        <v>#REF!</v>
      </c>
      <c r="N490" s="50" t="e">
        <f>'Raw Data'!#REF!/N$1</f>
        <v>#REF!</v>
      </c>
      <c r="O490" s="50" t="e">
        <f>'Raw Data'!#REF!/O$1</f>
        <v>#REF!</v>
      </c>
      <c r="P490" s="50" t="str">
        <f t="shared" si="52"/>
        <v/>
      </c>
      <c r="Q490" s="50" t="e">
        <f t="shared" si="53"/>
        <v>#REF!</v>
      </c>
    </row>
    <row r="491" spans="1:17">
      <c r="A491" s="2" t="s">
        <v>210</v>
      </c>
      <c r="B491" s="44">
        <v>4</v>
      </c>
      <c r="C491" s="44">
        <v>2023</v>
      </c>
      <c r="D491" s="44" t="s">
        <v>211</v>
      </c>
      <c r="E491" s="44" t="s">
        <v>211</v>
      </c>
      <c r="F491" s="31">
        <v>45139</v>
      </c>
      <c r="G491" s="101">
        <f t="shared" si="51"/>
        <v>31</v>
      </c>
      <c r="H491" s="103">
        <f t="shared" si="45"/>
        <v>45140</v>
      </c>
      <c r="I491" s="141">
        <f>_xlfn.XLOOKUP(Table12[[#This Row],[Month Year]],'Modelling New'!D:D,'Modelling New'!N:N)</f>
        <v>10.507</v>
      </c>
      <c r="J491" s="50" t="e">
        <f>'Raw Data'!#REF!/J$1</f>
        <v>#REF!</v>
      </c>
      <c r="K491" s="50" t="e">
        <f>'Raw Data'!#REF!/K$1</f>
        <v>#REF!</v>
      </c>
      <c r="L491" s="50" t="e">
        <f>'Raw Data'!#REF!/L$1</f>
        <v>#REF!</v>
      </c>
      <c r="M491" s="50" t="e">
        <f>'Raw Data'!#REF!/M$1</f>
        <v>#REF!</v>
      </c>
      <c r="N491" s="50" t="e">
        <f>'Raw Data'!#REF!/N$1</f>
        <v>#REF!</v>
      </c>
      <c r="O491" s="50" t="e">
        <f>'Raw Data'!#REF!/O$1</f>
        <v>#REF!</v>
      </c>
      <c r="P491" s="50" t="str">
        <f t="shared" si="52"/>
        <v/>
      </c>
      <c r="Q491" s="50" t="e">
        <f t="shared" si="53"/>
        <v>#REF!</v>
      </c>
    </row>
    <row r="492" spans="1:17">
      <c r="A492" s="2" t="s">
        <v>210</v>
      </c>
      <c r="B492" s="44">
        <v>4</v>
      </c>
      <c r="C492" s="44">
        <v>2023</v>
      </c>
      <c r="D492" s="44" t="s">
        <v>211</v>
      </c>
      <c r="E492" s="44" t="s">
        <v>211</v>
      </c>
      <c r="F492" s="31">
        <v>45139</v>
      </c>
      <c r="G492" s="101">
        <f t="shared" si="51"/>
        <v>31</v>
      </c>
      <c r="H492" s="103">
        <f t="shared" si="45"/>
        <v>45141</v>
      </c>
      <c r="I492" s="141">
        <f>_xlfn.XLOOKUP(Table12[[#This Row],[Month Year]],'Modelling New'!D:D,'Modelling New'!N:N)</f>
        <v>10.507</v>
      </c>
      <c r="J492" s="50" t="e">
        <f>'Raw Data'!#REF!/J$1</f>
        <v>#REF!</v>
      </c>
      <c r="K492" s="50" t="e">
        <f>'Raw Data'!#REF!/K$1</f>
        <v>#REF!</v>
      </c>
      <c r="L492" s="50" t="e">
        <f>'Raw Data'!#REF!/L$1</f>
        <v>#REF!</v>
      </c>
      <c r="M492" s="50" t="e">
        <f>'Raw Data'!#REF!/M$1</f>
        <v>#REF!</v>
      </c>
      <c r="N492" s="50" t="e">
        <f>'Raw Data'!#REF!/N$1</f>
        <v>#REF!</v>
      </c>
      <c r="O492" s="50" t="e">
        <f>'Raw Data'!#REF!/O$1</f>
        <v>#REF!</v>
      </c>
      <c r="P492" s="50" t="str">
        <f t="shared" si="52"/>
        <v/>
      </c>
      <c r="Q492" s="50" t="e">
        <f t="shared" si="53"/>
        <v>#REF!</v>
      </c>
    </row>
    <row r="493" spans="1:17">
      <c r="A493" s="2" t="s">
        <v>210</v>
      </c>
      <c r="B493" s="44">
        <v>4</v>
      </c>
      <c r="C493" s="44">
        <v>2023</v>
      </c>
      <c r="D493" s="44" t="s">
        <v>211</v>
      </c>
      <c r="E493" s="44" t="s">
        <v>211</v>
      </c>
      <c r="F493" s="31">
        <v>45139</v>
      </c>
      <c r="G493" s="101">
        <f t="shared" si="51"/>
        <v>31</v>
      </c>
      <c r="H493" s="103">
        <f t="shared" si="45"/>
        <v>45142</v>
      </c>
      <c r="I493" s="141">
        <f>_xlfn.XLOOKUP(Table12[[#This Row],[Month Year]],'Modelling New'!D:D,'Modelling New'!N:N)</f>
        <v>10.507</v>
      </c>
      <c r="J493" s="50" t="e">
        <f>'Raw Data'!#REF!/J$1</f>
        <v>#REF!</v>
      </c>
      <c r="K493" s="50" t="e">
        <f>'Raw Data'!#REF!/K$1</f>
        <v>#REF!</v>
      </c>
      <c r="L493" s="50" t="e">
        <f>'Raw Data'!#REF!/L$1</f>
        <v>#REF!</v>
      </c>
      <c r="M493" s="50" t="e">
        <f>'Raw Data'!#REF!/M$1</f>
        <v>#REF!</v>
      </c>
      <c r="N493" s="50" t="e">
        <f>'Raw Data'!#REF!/N$1</f>
        <v>#REF!</v>
      </c>
      <c r="O493" s="50" t="e">
        <f>'Raw Data'!#REF!/O$1</f>
        <v>#REF!</v>
      </c>
      <c r="P493" s="50" t="str">
        <f t="shared" si="52"/>
        <v/>
      </c>
      <c r="Q493" s="50" t="e">
        <f t="shared" si="53"/>
        <v>#REF!</v>
      </c>
    </row>
    <row r="494" spans="1:17">
      <c r="A494" s="2" t="s">
        <v>210</v>
      </c>
      <c r="B494" s="44">
        <v>4</v>
      </c>
      <c r="C494" s="44">
        <v>2023</v>
      </c>
      <c r="D494" s="44" t="s">
        <v>211</v>
      </c>
      <c r="E494" s="44" t="s">
        <v>211</v>
      </c>
      <c r="F494" s="31">
        <v>45139</v>
      </c>
      <c r="G494" s="101">
        <f t="shared" si="51"/>
        <v>31</v>
      </c>
      <c r="H494" s="103">
        <f t="shared" si="45"/>
        <v>45143</v>
      </c>
      <c r="I494" s="141">
        <f>_xlfn.XLOOKUP(Table12[[#This Row],[Month Year]],'Modelling New'!D:D,'Modelling New'!N:N)</f>
        <v>10.507</v>
      </c>
      <c r="J494" s="50" t="e">
        <f>'Raw Data'!#REF!/J$1</f>
        <v>#REF!</v>
      </c>
      <c r="K494" s="50" t="e">
        <f>'Raw Data'!#REF!/K$1</f>
        <v>#REF!</v>
      </c>
      <c r="L494" s="50" t="e">
        <f>'Raw Data'!#REF!/L$1</f>
        <v>#REF!</v>
      </c>
      <c r="M494" s="50" t="e">
        <f>'Raw Data'!#REF!/M$1</f>
        <v>#REF!</v>
      </c>
      <c r="N494" s="50" t="e">
        <f>'Raw Data'!#REF!/N$1</f>
        <v>#REF!</v>
      </c>
      <c r="O494" s="50" t="e">
        <f>'Raw Data'!#REF!/O$1</f>
        <v>#REF!</v>
      </c>
      <c r="P494" s="50" t="str">
        <f t="shared" si="52"/>
        <v/>
      </c>
      <c r="Q494" s="50" t="e">
        <f t="shared" si="53"/>
        <v>#REF!</v>
      </c>
    </row>
    <row r="495" spans="1:17">
      <c r="A495" s="2" t="s">
        <v>210</v>
      </c>
      <c r="B495" s="44">
        <v>4</v>
      </c>
      <c r="C495" s="44">
        <v>2023</v>
      </c>
      <c r="D495" s="44" t="s">
        <v>211</v>
      </c>
      <c r="E495" s="44" t="s">
        <v>211</v>
      </c>
      <c r="F495" s="31">
        <v>45139</v>
      </c>
      <c r="G495" s="101">
        <f t="shared" si="51"/>
        <v>31</v>
      </c>
      <c r="H495" s="103">
        <f t="shared" si="45"/>
        <v>45144</v>
      </c>
      <c r="I495" s="141">
        <f>_xlfn.XLOOKUP(Table12[[#This Row],[Month Year]],'Modelling New'!D:D,'Modelling New'!N:N)</f>
        <v>10.507</v>
      </c>
      <c r="J495" s="50" t="e">
        <f>'Raw Data'!#REF!/J$1</f>
        <v>#REF!</v>
      </c>
      <c r="K495" s="50" t="e">
        <f>'Raw Data'!#REF!/K$1</f>
        <v>#REF!</v>
      </c>
      <c r="L495" s="50" t="e">
        <f>'Raw Data'!#REF!/L$1</f>
        <v>#REF!</v>
      </c>
      <c r="M495" s="50" t="e">
        <f>'Raw Data'!#REF!/M$1</f>
        <v>#REF!</v>
      </c>
      <c r="N495" s="50" t="e">
        <f>'Raw Data'!#REF!/N$1</f>
        <v>#REF!</v>
      </c>
      <c r="O495" s="50" t="e">
        <f>'Raw Data'!#REF!/O$1</f>
        <v>#REF!</v>
      </c>
      <c r="P495" s="50" t="str">
        <f t="shared" si="52"/>
        <v/>
      </c>
      <c r="Q495" s="50" t="e">
        <f t="shared" si="53"/>
        <v>#REF!</v>
      </c>
    </row>
    <row r="496" spans="1:17">
      <c r="A496" s="2" t="s">
        <v>210</v>
      </c>
      <c r="B496" s="44">
        <v>4</v>
      </c>
      <c r="C496" s="44">
        <v>2023</v>
      </c>
      <c r="D496" s="44" t="s">
        <v>211</v>
      </c>
      <c r="E496" s="44" t="s">
        <v>211</v>
      </c>
      <c r="F496" s="31">
        <v>45139</v>
      </c>
      <c r="G496" s="101">
        <f t="shared" si="51"/>
        <v>31</v>
      </c>
      <c r="H496" s="103">
        <f t="shared" si="45"/>
        <v>45145</v>
      </c>
      <c r="I496" s="141">
        <f>_xlfn.XLOOKUP(Table12[[#This Row],[Month Year]],'Modelling New'!D:D,'Modelling New'!N:N)</f>
        <v>10.507</v>
      </c>
      <c r="J496" s="50" t="e">
        <f>'Raw Data'!#REF!/J$1</f>
        <v>#REF!</v>
      </c>
      <c r="K496" s="50" t="e">
        <f>'Raw Data'!#REF!/K$1</f>
        <v>#REF!</v>
      </c>
      <c r="L496" s="50" t="e">
        <f>'Raw Data'!#REF!/L$1</f>
        <v>#REF!</v>
      </c>
      <c r="M496" s="50" t="e">
        <f>'Raw Data'!#REF!/M$1</f>
        <v>#REF!</v>
      </c>
      <c r="N496" s="50" t="e">
        <f>'Raw Data'!#REF!/N$1</f>
        <v>#REF!</v>
      </c>
      <c r="O496" s="50" t="e">
        <f>'Raw Data'!#REF!/O$1</f>
        <v>#REF!</v>
      </c>
      <c r="P496" s="50" t="str">
        <f t="shared" si="52"/>
        <v/>
      </c>
      <c r="Q496" s="50" t="e">
        <f t="shared" si="53"/>
        <v>#REF!</v>
      </c>
    </row>
    <row r="497" spans="1:17">
      <c r="A497" s="2" t="s">
        <v>210</v>
      </c>
      <c r="B497" s="44">
        <v>4</v>
      </c>
      <c r="C497" s="44">
        <v>2023</v>
      </c>
      <c r="D497" s="44" t="s">
        <v>211</v>
      </c>
      <c r="E497" s="44" t="s">
        <v>211</v>
      </c>
      <c r="F497" s="31">
        <v>45139</v>
      </c>
      <c r="G497" s="101">
        <f t="shared" si="51"/>
        <v>31</v>
      </c>
      <c r="H497" s="103">
        <f t="shared" si="45"/>
        <v>45146</v>
      </c>
      <c r="I497" s="141">
        <f>_xlfn.XLOOKUP(Table12[[#This Row],[Month Year]],'Modelling New'!D:D,'Modelling New'!N:N)</f>
        <v>10.507</v>
      </c>
      <c r="J497" s="50" t="e">
        <f>'Raw Data'!#REF!/J$1</f>
        <v>#REF!</v>
      </c>
      <c r="K497" s="50" t="e">
        <f>'Raw Data'!#REF!/K$1</f>
        <v>#REF!</v>
      </c>
      <c r="L497" s="50" t="e">
        <f>'Raw Data'!#REF!/L$1</f>
        <v>#REF!</v>
      </c>
      <c r="M497" s="50" t="e">
        <f>'Raw Data'!#REF!/M$1</f>
        <v>#REF!</v>
      </c>
      <c r="N497" s="50" t="e">
        <f>'Raw Data'!#REF!/N$1</f>
        <v>#REF!</v>
      </c>
      <c r="O497" s="50" t="e">
        <f>'Raw Data'!#REF!/O$1</f>
        <v>#REF!</v>
      </c>
      <c r="P497" s="50" t="str">
        <f t="shared" si="52"/>
        <v/>
      </c>
      <c r="Q497" s="50" t="e">
        <f t="shared" si="53"/>
        <v>#REF!</v>
      </c>
    </row>
    <row r="498" spans="1:17">
      <c r="A498" s="2" t="s">
        <v>210</v>
      </c>
      <c r="B498" s="44">
        <v>4</v>
      </c>
      <c r="C498" s="44">
        <v>2023</v>
      </c>
      <c r="D498" s="44" t="s">
        <v>211</v>
      </c>
      <c r="E498" s="44" t="s">
        <v>211</v>
      </c>
      <c r="F498" s="31">
        <v>45139</v>
      </c>
      <c r="G498" s="101">
        <f t="shared" si="51"/>
        <v>31</v>
      </c>
      <c r="H498" s="103">
        <f t="shared" si="45"/>
        <v>45147</v>
      </c>
      <c r="I498" s="141">
        <f>_xlfn.XLOOKUP(Table12[[#This Row],[Month Year]],'Modelling New'!D:D,'Modelling New'!N:N)</f>
        <v>10.507</v>
      </c>
      <c r="J498" s="50" t="e">
        <f>'Raw Data'!#REF!/J$1</f>
        <v>#REF!</v>
      </c>
      <c r="K498" s="50" t="e">
        <f>'Raw Data'!#REF!/K$1</f>
        <v>#REF!</v>
      </c>
      <c r="L498" s="50" t="e">
        <f>'Raw Data'!#REF!/L$1</f>
        <v>#REF!</v>
      </c>
      <c r="M498" s="50" t="e">
        <f>'Raw Data'!#REF!/M$1</f>
        <v>#REF!</v>
      </c>
      <c r="N498" s="50" t="e">
        <f>'Raw Data'!#REF!/N$1</f>
        <v>#REF!</v>
      </c>
      <c r="O498" s="50" t="e">
        <f>'Raw Data'!#REF!/O$1</f>
        <v>#REF!</v>
      </c>
      <c r="P498" s="50" t="str">
        <f t="shared" si="52"/>
        <v/>
      </c>
      <c r="Q498" s="50" t="e">
        <f t="shared" si="53"/>
        <v>#REF!</v>
      </c>
    </row>
    <row r="499" spans="1:17">
      <c r="A499" s="2" t="s">
        <v>210</v>
      </c>
      <c r="B499" s="44">
        <v>4</v>
      </c>
      <c r="C499" s="44">
        <v>2023</v>
      </c>
      <c r="D499" s="44" t="s">
        <v>211</v>
      </c>
      <c r="E499" s="44" t="s">
        <v>211</v>
      </c>
      <c r="F499" s="31">
        <v>45139</v>
      </c>
      <c r="G499" s="101">
        <f t="shared" si="51"/>
        <v>31</v>
      </c>
      <c r="H499" s="103">
        <f t="shared" si="45"/>
        <v>45148</v>
      </c>
      <c r="I499" s="141">
        <f>_xlfn.XLOOKUP(Table12[[#This Row],[Month Year]],'Modelling New'!D:D,'Modelling New'!N:N)</f>
        <v>10.507</v>
      </c>
      <c r="J499" s="50" t="e">
        <f>'Raw Data'!#REF!/J$1</f>
        <v>#REF!</v>
      </c>
      <c r="K499" s="50" t="e">
        <f>'Raw Data'!#REF!/K$1</f>
        <v>#REF!</v>
      </c>
      <c r="L499" s="50" t="e">
        <f>'Raw Data'!#REF!/L$1</f>
        <v>#REF!</v>
      </c>
      <c r="M499" s="50" t="e">
        <f>'Raw Data'!#REF!/M$1</f>
        <v>#REF!</v>
      </c>
      <c r="N499" s="50" t="e">
        <f>'Raw Data'!#REF!/N$1</f>
        <v>#REF!</v>
      </c>
      <c r="O499" s="50" t="e">
        <f>'Raw Data'!#REF!/O$1</f>
        <v>#REF!</v>
      </c>
      <c r="P499" s="50" t="str">
        <f t="shared" si="52"/>
        <v/>
      </c>
      <c r="Q499" s="50" t="e">
        <f t="shared" si="53"/>
        <v>#REF!</v>
      </c>
    </row>
    <row r="500" spans="1:17">
      <c r="A500" s="2" t="s">
        <v>210</v>
      </c>
      <c r="B500" s="44">
        <v>4</v>
      </c>
      <c r="C500" s="44">
        <v>2023</v>
      </c>
      <c r="D500" s="44" t="s">
        <v>211</v>
      </c>
      <c r="E500" s="44" t="s">
        <v>211</v>
      </c>
      <c r="F500" s="31">
        <v>45139</v>
      </c>
      <c r="G500" s="101">
        <f t="shared" ref="G500:G514" si="54">DAY(EOMONTH(F500,0))</f>
        <v>31</v>
      </c>
      <c r="H500" s="103">
        <f t="shared" si="45"/>
        <v>45149</v>
      </c>
      <c r="I500" s="141">
        <f>_xlfn.XLOOKUP(Table12[[#This Row],[Month Year]],'Modelling New'!D:D,'Modelling New'!N:N)</f>
        <v>10.507</v>
      </c>
      <c r="J500" s="50" t="e">
        <f>'Raw Data'!#REF!/J$1</f>
        <v>#REF!</v>
      </c>
      <c r="K500" s="50" t="e">
        <f>'Raw Data'!#REF!/K$1</f>
        <v>#REF!</v>
      </c>
      <c r="L500" s="50" t="e">
        <f>'Raw Data'!#REF!/L$1</f>
        <v>#REF!</v>
      </c>
      <c r="M500" s="50" t="e">
        <f>'Raw Data'!#REF!/M$1</f>
        <v>#REF!</v>
      </c>
      <c r="N500" s="50" t="e">
        <f>'Raw Data'!#REF!/N$1</f>
        <v>#REF!</v>
      </c>
      <c r="O500" s="50" t="e">
        <f>'Raw Data'!#REF!/O$1</f>
        <v>#REF!</v>
      </c>
      <c r="P500" s="50" t="str">
        <f t="shared" ref="P500:P514" si="55">IFERROR(AVERAGEIF(J500:O500,"&gt;"&amp;0,J500:O500),"")</f>
        <v/>
      </c>
      <c r="Q500" s="50" t="e">
        <f t="shared" ref="Q500:Q514" si="56">MAXA(J500:O500)</f>
        <v>#REF!</v>
      </c>
    </row>
    <row r="501" spans="1:17">
      <c r="A501" s="2" t="s">
        <v>210</v>
      </c>
      <c r="B501" s="44">
        <v>4</v>
      </c>
      <c r="C501" s="44">
        <v>2023</v>
      </c>
      <c r="D501" s="44" t="s">
        <v>211</v>
      </c>
      <c r="E501" s="44" t="s">
        <v>211</v>
      </c>
      <c r="F501" s="31">
        <v>45139</v>
      </c>
      <c r="G501" s="101">
        <f t="shared" si="54"/>
        <v>31</v>
      </c>
      <c r="H501" s="103">
        <f t="shared" si="45"/>
        <v>45150</v>
      </c>
      <c r="I501" s="141">
        <f>_xlfn.XLOOKUP(Table12[[#This Row],[Month Year]],'Modelling New'!D:D,'Modelling New'!N:N)</f>
        <v>10.507</v>
      </c>
      <c r="J501" s="50" t="e">
        <f>'Raw Data'!#REF!/J$1</f>
        <v>#REF!</v>
      </c>
      <c r="K501" s="50" t="e">
        <f>'Raw Data'!#REF!/K$1</f>
        <v>#REF!</v>
      </c>
      <c r="L501" s="50" t="e">
        <f>'Raw Data'!#REF!/L$1</f>
        <v>#REF!</v>
      </c>
      <c r="M501" s="50" t="e">
        <f>'Raw Data'!#REF!/M$1</f>
        <v>#REF!</v>
      </c>
      <c r="N501" s="50" t="e">
        <f>'Raw Data'!#REF!/N$1</f>
        <v>#REF!</v>
      </c>
      <c r="O501" s="50" t="e">
        <f>'Raw Data'!#REF!/O$1</f>
        <v>#REF!</v>
      </c>
      <c r="P501" s="50" t="str">
        <f t="shared" si="55"/>
        <v/>
      </c>
      <c r="Q501" s="50" t="e">
        <f t="shared" si="56"/>
        <v>#REF!</v>
      </c>
    </row>
    <row r="502" spans="1:17">
      <c r="A502" s="2" t="s">
        <v>210</v>
      </c>
      <c r="B502" s="44">
        <v>4</v>
      </c>
      <c r="C502" s="44">
        <v>2023</v>
      </c>
      <c r="D502" s="44" t="s">
        <v>211</v>
      </c>
      <c r="E502" s="44" t="s">
        <v>211</v>
      </c>
      <c r="F502" s="31">
        <v>45139</v>
      </c>
      <c r="G502" s="101">
        <f t="shared" si="54"/>
        <v>31</v>
      </c>
      <c r="H502" s="103">
        <f t="shared" si="45"/>
        <v>45151</v>
      </c>
      <c r="I502" s="141">
        <f>_xlfn.XLOOKUP(Table12[[#This Row],[Month Year]],'Modelling New'!D:D,'Modelling New'!N:N)</f>
        <v>10.507</v>
      </c>
      <c r="J502" s="50" t="e">
        <f>'Raw Data'!#REF!/J$1</f>
        <v>#REF!</v>
      </c>
      <c r="K502" s="50" t="e">
        <f>'Raw Data'!#REF!/K$1</f>
        <v>#REF!</v>
      </c>
      <c r="L502" s="50" t="e">
        <f>'Raw Data'!#REF!/L$1</f>
        <v>#REF!</v>
      </c>
      <c r="M502" s="50" t="e">
        <f>'Raw Data'!#REF!/M$1</f>
        <v>#REF!</v>
      </c>
      <c r="N502" s="50" t="e">
        <f>'Raw Data'!#REF!/N$1</f>
        <v>#REF!</v>
      </c>
      <c r="O502" s="50" t="e">
        <f>'Raw Data'!#REF!/O$1</f>
        <v>#REF!</v>
      </c>
      <c r="P502" s="50" t="str">
        <f t="shared" si="55"/>
        <v/>
      </c>
      <c r="Q502" s="50" t="e">
        <f t="shared" si="56"/>
        <v>#REF!</v>
      </c>
    </row>
    <row r="503" spans="1:17">
      <c r="A503" s="2" t="s">
        <v>210</v>
      </c>
      <c r="B503" s="44">
        <v>4</v>
      </c>
      <c r="C503" s="44">
        <v>2023</v>
      </c>
      <c r="D503" s="44" t="s">
        <v>211</v>
      </c>
      <c r="E503" s="44" t="s">
        <v>211</v>
      </c>
      <c r="F503" s="31">
        <v>45139</v>
      </c>
      <c r="G503" s="101">
        <f t="shared" si="54"/>
        <v>31</v>
      </c>
      <c r="H503" s="103">
        <f t="shared" si="45"/>
        <v>45152</v>
      </c>
      <c r="I503" s="141">
        <f>_xlfn.XLOOKUP(Table12[[#This Row],[Month Year]],'Modelling New'!D:D,'Modelling New'!N:N)</f>
        <v>10.507</v>
      </c>
      <c r="J503" s="50" t="e">
        <f>'Raw Data'!#REF!/J$1</f>
        <v>#REF!</v>
      </c>
      <c r="K503" s="50" t="e">
        <f>'Raw Data'!#REF!/K$1</f>
        <v>#REF!</v>
      </c>
      <c r="L503" s="50" t="e">
        <f>'Raw Data'!#REF!/L$1</f>
        <v>#REF!</v>
      </c>
      <c r="M503" s="50" t="e">
        <f>'Raw Data'!#REF!/M$1</f>
        <v>#REF!</v>
      </c>
      <c r="N503" s="50" t="e">
        <f>'Raw Data'!#REF!/N$1</f>
        <v>#REF!</v>
      </c>
      <c r="O503" s="50" t="e">
        <f>'Raw Data'!#REF!/O$1</f>
        <v>#REF!</v>
      </c>
      <c r="P503" s="50" t="str">
        <f t="shared" si="55"/>
        <v/>
      </c>
      <c r="Q503" s="50" t="e">
        <f t="shared" si="56"/>
        <v>#REF!</v>
      </c>
    </row>
    <row r="504" spans="1:17">
      <c r="A504" s="2" t="s">
        <v>210</v>
      </c>
      <c r="B504" s="44">
        <v>4</v>
      </c>
      <c r="C504" s="44">
        <v>2023</v>
      </c>
      <c r="D504" s="44" t="s">
        <v>211</v>
      </c>
      <c r="E504" s="44" t="s">
        <v>211</v>
      </c>
      <c r="F504" s="31">
        <v>45139</v>
      </c>
      <c r="G504" s="101">
        <f t="shared" si="54"/>
        <v>31</v>
      </c>
      <c r="H504" s="103">
        <f t="shared" si="45"/>
        <v>45153</v>
      </c>
      <c r="I504" s="141">
        <f>_xlfn.XLOOKUP(Table12[[#This Row],[Month Year]],'Modelling New'!D:D,'Modelling New'!N:N)</f>
        <v>10.507</v>
      </c>
      <c r="J504" s="50" t="e">
        <f>'Raw Data'!#REF!/J$1</f>
        <v>#REF!</v>
      </c>
      <c r="K504" s="50" t="e">
        <f>'Raw Data'!#REF!/K$1</f>
        <v>#REF!</v>
      </c>
      <c r="L504" s="50" t="e">
        <f>'Raw Data'!#REF!/L$1</f>
        <v>#REF!</v>
      </c>
      <c r="M504" s="50" t="e">
        <f>'Raw Data'!#REF!/M$1</f>
        <v>#REF!</v>
      </c>
      <c r="N504" s="50" t="e">
        <f>'Raw Data'!#REF!/N$1</f>
        <v>#REF!</v>
      </c>
      <c r="O504" s="50" t="e">
        <f>'Raw Data'!#REF!/O$1</f>
        <v>#REF!</v>
      </c>
      <c r="P504" s="50" t="str">
        <f t="shared" si="55"/>
        <v/>
      </c>
      <c r="Q504" s="50" t="e">
        <f t="shared" si="56"/>
        <v>#REF!</v>
      </c>
    </row>
    <row r="505" spans="1:17">
      <c r="A505" s="2" t="s">
        <v>210</v>
      </c>
      <c r="B505" s="44">
        <v>4</v>
      </c>
      <c r="C505" s="44">
        <v>2023</v>
      </c>
      <c r="D505" s="44" t="s">
        <v>211</v>
      </c>
      <c r="E505" s="44" t="s">
        <v>211</v>
      </c>
      <c r="F505" s="31">
        <v>45139</v>
      </c>
      <c r="G505" s="101">
        <f t="shared" si="54"/>
        <v>31</v>
      </c>
      <c r="H505" s="103">
        <f t="shared" ref="H505:H568" si="57">H504+1</f>
        <v>45154</v>
      </c>
      <c r="I505" s="141">
        <f>_xlfn.XLOOKUP(Table12[[#This Row],[Month Year]],'Modelling New'!D:D,'Modelling New'!N:N)</f>
        <v>10.507</v>
      </c>
      <c r="J505" s="50" t="e">
        <f>'Raw Data'!#REF!/J$1</f>
        <v>#REF!</v>
      </c>
      <c r="K505" s="50" t="e">
        <f>'Raw Data'!#REF!/K$1</f>
        <v>#REF!</v>
      </c>
      <c r="L505" s="50" t="e">
        <f>'Raw Data'!#REF!/L$1</f>
        <v>#REF!</v>
      </c>
      <c r="M505" s="50" t="e">
        <f>'Raw Data'!#REF!/M$1</f>
        <v>#REF!</v>
      </c>
      <c r="N505" s="50" t="e">
        <f>'Raw Data'!#REF!/N$1</f>
        <v>#REF!</v>
      </c>
      <c r="O505" s="50" t="e">
        <f>'Raw Data'!#REF!/O$1</f>
        <v>#REF!</v>
      </c>
      <c r="P505" s="50" t="str">
        <f t="shared" si="55"/>
        <v/>
      </c>
      <c r="Q505" s="50" t="e">
        <f t="shared" si="56"/>
        <v>#REF!</v>
      </c>
    </row>
    <row r="506" spans="1:17">
      <c r="A506" s="2" t="s">
        <v>210</v>
      </c>
      <c r="B506" s="44">
        <v>4</v>
      </c>
      <c r="C506" s="44">
        <v>2023</v>
      </c>
      <c r="D506" s="44" t="s">
        <v>211</v>
      </c>
      <c r="E506" s="44" t="s">
        <v>211</v>
      </c>
      <c r="F506" s="31">
        <v>45139</v>
      </c>
      <c r="G506" s="101">
        <f t="shared" si="54"/>
        <v>31</v>
      </c>
      <c r="H506" s="103">
        <f t="shared" si="57"/>
        <v>45155</v>
      </c>
      <c r="I506" s="141">
        <f>_xlfn.XLOOKUP(Table12[[#This Row],[Month Year]],'Modelling New'!D:D,'Modelling New'!N:N)</f>
        <v>10.507</v>
      </c>
      <c r="J506" s="50" t="e">
        <f>'Raw Data'!#REF!/J$1</f>
        <v>#REF!</v>
      </c>
      <c r="K506" s="50" t="e">
        <f>'Raw Data'!#REF!/K$1</f>
        <v>#REF!</v>
      </c>
      <c r="L506" s="50" t="e">
        <f>'Raw Data'!#REF!/L$1</f>
        <v>#REF!</v>
      </c>
      <c r="M506" s="50" t="e">
        <f>'Raw Data'!#REF!/M$1</f>
        <v>#REF!</v>
      </c>
      <c r="N506" s="50" t="e">
        <f>'Raw Data'!#REF!/N$1</f>
        <v>#REF!</v>
      </c>
      <c r="O506" s="50" t="e">
        <f>'Raw Data'!#REF!/O$1</f>
        <v>#REF!</v>
      </c>
      <c r="P506" s="50" t="str">
        <f t="shared" si="55"/>
        <v/>
      </c>
      <c r="Q506" s="50" t="e">
        <f t="shared" si="56"/>
        <v>#REF!</v>
      </c>
    </row>
    <row r="507" spans="1:17">
      <c r="A507" s="2" t="s">
        <v>210</v>
      </c>
      <c r="B507" s="44">
        <v>4</v>
      </c>
      <c r="C507" s="44">
        <v>2023</v>
      </c>
      <c r="D507" s="44" t="s">
        <v>211</v>
      </c>
      <c r="E507" s="44" t="s">
        <v>211</v>
      </c>
      <c r="F507" s="31">
        <v>45139</v>
      </c>
      <c r="G507" s="101">
        <f t="shared" si="54"/>
        <v>31</v>
      </c>
      <c r="H507" s="103">
        <f t="shared" si="57"/>
        <v>45156</v>
      </c>
      <c r="I507" s="141">
        <f>_xlfn.XLOOKUP(Table12[[#This Row],[Month Year]],'Modelling New'!D:D,'Modelling New'!N:N)</f>
        <v>10.507</v>
      </c>
      <c r="J507" s="50" t="e">
        <f>'Raw Data'!#REF!/J$1</f>
        <v>#REF!</v>
      </c>
      <c r="K507" s="50" t="e">
        <f>'Raw Data'!#REF!/K$1</f>
        <v>#REF!</v>
      </c>
      <c r="L507" s="50" t="e">
        <f>'Raw Data'!#REF!/L$1</f>
        <v>#REF!</v>
      </c>
      <c r="M507" s="50" t="e">
        <f>'Raw Data'!#REF!/M$1</f>
        <v>#REF!</v>
      </c>
      <c r="N507" s="50" t="e">
        <f>'Raw Data'!#REF!/N$1</f>
        <v>#REF!</v>
      </c>
      <c r="O507" s="50" t="e">
        <f>'Raw Data'!#REF!/O$1</f>
        <v>#REF!</v>
      </c>
      <c r="P507" s="50" t="str">
        <f t="shared" si="55"/>
        <v/>
      </c>
      <c r="Q507" s="50" t="e">
        <f t="shared" si="56"/>
        <v>#REF!</v>
      </c>
    </row>
    <row r="508" spans="1:17">
      <c r="A508" s="2" t="s">
        <v>210</v>
      </c>
      <c r="B508" s="44">
        <v>4</v>
      </c>
      <c r="C508" s="44">
        <v>2023</v>
      </c>
      <c r="D508" s="44" t="s">
        <v>211</v>
      </c>
      <c r="E508" s="44" t="s">
        <v>211</v>
      </c>
      <c r="F508" s="31">
        <v>45139</v>
      </c>
      <c r="G508" s="101">
        <f t="shared" si="54"/>
        <v>31</v>
      </c>
      <c r="H508" s="103">
        <f t="shared" si="57"/>
        <v>45157</v>
      </c>
      <c r="I508" s="141">
        <f>_xlfn.XLOOKUP(Table12[[#This Row],[Month Year]],'Modelling New'!D:D,'Modelling New'!N:N)</f>
        <v>10.507</v>
      </c>
      <c r="J508" s="50" t="e">
        <f>'Raw Data'!#REF!/J$1</f>
        <v>#REF!</v>
      </c>
      <c r="K508" s="50" t="e">
        <f>'Raw Data'!#REF!/K$1</f>
        <v>#REF!</v>
      </c>
      <c r="L508" s="50" t="e">
        <f>'Raw Data'!#REF!/L$1</f>
        <v>#REF!</v>
      </c>
      <c r="M508" s="50" t="e">
        <f>'Raw Data'!#REF!/M$1</f>
        <v>#REF!</v>
      </c>
      <c r="N508" s="50" t="e">
        <f>'Raw Data'!#REF!/N$1</f>
        <v>#REF!</v>
      </c>
      <c r="O508" s="50" t="e">
        <f>'Raw Data'!#REF!/O$1</f>
        <v>#REF!</v>
      </c>
      <c r="P508" s="50" t="str">
        <f t="shared" si="55"/>
        <v/>
      </c>
      <c r="Q508" s="50" t="e">
        <f t="shared" si="56"/>
        <v>#REF!</v>
      </c>
    </row>
    <row r="509" spans="1:17">
      <c r="A509" s="2" t="s">
        <v>210</v>
      </c>
      <c r="B509" s="44">
        <v>4</v>
      </c>
      <c r="C509" s="44">
        <v>2023</v>
      </c>
      <c r="D509" s="44" t="s">
        <v>211</v>
      </c>
      <c r="E509" s="44" t="s">
        <v>211</v>
      </c>
      <c r="F509" s="31">
        <v>45139</v>
      </c>
      <c r="G509" s="101">
        <f t="shared" si="54"/>
        <v>31</v>
      </c>
      <c r="H509" s="103">
        <f t="shared" si="57"/>
        <v>45158</v>
      </c>
      <c r="I509" s="141">
        <f>_xlfn.XLOOKUP(Table12[[#This Row],[Month Year]],'Modelling New'!D:D,'Modelling New'!N:N)</f>
        <v>10.507</v>
      </c>
      <c r="J509" s="50" t="e">
        <f>'Raw Data'!#REF!/J$1</f>
        <v>#REF!</v>
      </c>
      <c r="K509" s="50" t="e">
        <f>'Raw Data'!#REF!/K$1</f>
        <v>#REF!</v>
      </c>
      <c r="L509" s="50" t="e">
        <f>'Raw Data'!#REF!/L$1</f>
        <v>#REF!</v>
      </c>
      <c r="M509" s="50" t="e">
        <f>'Raw Data'!#REF!/M$1</f>
        <v>#REF!</v>
      </c>
      <c r="N509" s="50" t="e">
        <f>'Raw Data'!#REF!/N$1</f>
        <v>#REF!</v>
      </c>
      <c r="O509" s="50" t="e">
        <f>'Raw Data'!#REF!/O$1</f>
        <v>#REF!</v>
      </c>
      <c r="P509" s="50" t="str">
        <f t="shared" si="55"/>
        <v/>
      </c>
      <c r="Q509" s="50" t="e">
        <f t="shared" si="56"/>
        <v>#REF!</v>
      </c>
    </row>
    <row r="510" spans="1:17">
      <c r="A510" s="2" t="s">
        <v>210</v>
      </c>
      <c r="B510" s="44">
        <v>4</v>
      </c>
      <c r="C510" s="44">
        <v>2023</v>
      </c>
      <c r="D510" s="44" t="s">
        <v>211</v>
      </c>
      <c r="E510" s="44" t="s">
        <v>211</v>
      </c>
      <c r="F510" s="31">
        <v>45139</v>
      </c>
      <c r="G510" s="101">
        <f t="shared" si="54"/>
        <v>31</v>
      </c>
      <c r="H510" s="103">
        <f t="shared" si="57"/>
        <v>45159</v>
      </c>
      <c r="I510" s="141">
        <f>_xlfn.XLOOKUP(Table12[[#This Row],[Month Year]],'Modelling New'!D:D,'Modelling New'!N:N)</f>
        <v>10.507</v>
      </c>
      <c r="J510" s="50" t="e">
        <f>'Raw Data'!#REF!/J$1</f>
        <v>#REF!</v>
      </c>
      <c r="K510" s="50" t="e">
        <f>'Raw Data'!#REF!/K$1</f>
        <v>#REF!</v>
      </c>
      <c r="L510" s="50" t="e">
        <f>'Raw Data'!#REF!/L$1</f>
        <v>#REF!</v>
      </c>
      <c r="M510" s="50" t="e">
        <f>'Raw Data'!#REF!/M$1</f>
        <v>#REF!</v>
      </c>
      <c r="N510" s="50" t="e">
        <f>'Raw Data'!#REF!/N$1</f>
        <v>#REF!</v>
      </c>
      <c r="O510" s="50" t="e">
        <f>'Raw Data'!#REF!/O$1</f>
        <v>#REF!</v>
      </c>
      <c r="P510" s="50" t="str">
        <f t="shared" si="55"/>
        <v/>
      </c>
      <c r="Q510" s="50" t="e">
        <f t="shared" si="56"/>
        <v>#REF!</v>
      </c>
    </row>
    <row r="511" spans="1:17">
      <c r="A511" s="2" t="s">
        <v>210</v>
      </c>
      <c r="B511" s="44">
        <v>4</v>
      </c>
      <c r="C511" s="44">
        <v>2023</v>
      </c>
      <c r="D511" s="44" t="s">
        <v>211</v>
      </c>
      <c r="E511" s="44" t="s">
        <v>211</v>
      </c>
      <c r="F511" s="31">
        <v>45139</v>
      </c>
      <c r="G511" s="101">
        <f t="shared" si="54"/>
        <v>31</v>
      </c>
      <c r="H511" s="103">
        <f t="shared" si="57"/>
        <v>45160</v>
      </c>
      <c r="I511" s="141">
        <f>_xlfn.XLOOKUP(Table12[[#This Row],[Month Year]],'Modelling New'!D:D,'Modelling New'!N:N)</f>
        <v>10.507</v>
      </c>
      <c r="J511" s="50" t="e">
        <f>'Raw Data'!#REF!/J$1</f>
        <v>#REF!</v>
      </c>
      <c r="K511" s="50" t="e">
        <f>'Raw Data'!#REF!/K$1</f>
        <v>#REF!</v>
      </c>
      <c r="L511" s="50" t="e">
        <f>'Raw Data'!#REF!/L$1</f>
        <v>#REF!</v>
      </c>
      <c r="M511" s="50" t="e">
        <f>'Raw Data'!#REF!/M$1</f>
        <v>#REF!</v>
      </c>
      <c r="N511" s="50" t="e">
        <f>'Raw Data'!#REF!/N$1</f>
        <v>#REF!</v>
      </c>
      <c r="O511" s="50" t="e">
        <f>'Raw Data'!#REF!/O$1</f>
        <v>#REF!</v>
      </c>
      <c r="P511" s="50" t="str">
        <f t="shared" si="55"/>
        <v/>
      </c>
      <c r="Q511" s="50" t="e">
        <f t="shared" si="56"/>
        <v>#REF!</v>
      </c>
    </row>
    <row r="512" spans="1:17">
      <c r="A512" s="2" t="s">
        <v>210</v>
      </c>
      <c r="B512" s="44">
        <v>4</v>
      </c>
      <c r="C512" s="44">
        <v>2023</v>
      </c>
      <c r="D512" s="44" t="s">
        <v>211</v>
      </c>
      <c r="E512" s="44" t="s">
        <v>211</v>
      </c>
      <c r="F512" s="31">
        <v>45139</v>
      </c>
      <c r="G512" s="101">
        <f t="shared" si="54"/>
        <v>31</v>
      </c>
      <c r="H512" s="103">
        <f t="shared" si="57"/>
        <v>45161</v>
      </c>
      <c r="I512" s="141">
        <f>_xlfn.XLOOKUP(Table12[[#This Row],[Month Year]],'Modelling New'!D:D,'Modelling New'!N:N)</f>
        <v>10.507</v>
      </c>
      <c r="J512" s="50" t="e">
        <f>'Raw Data'!#REF!/J$1</f>
        <v>#REF!</v>
      </c>
      <c r="K512" s="50" t="e">
        <f>'Raw Data'!#REF!/K$1</f>
        <v>#REF!</v>
      </c>
      <c r="L512" s="50" t="e">
        <f>'Raw Data'!#REF!/L$1</f>
        <v>#REF!</v>
      </c>
      <c r="M512" s="50" t="e">
        <f>'Raw Data'!#REF!/M$1</f>
        <v>#REF!</v>
      </c>
      <c r="N512" s="50" t="e">
        <f>'Raw Data'!#REF!/N$1</f>
        <v>#REF!</v>
      </c>
      <c r="O512" s="50" t="e">
        <f>'Raw Data'!#REF!/O$1</f>
        <v>#REF!</v>
      </c>
      <c r="P512" s="50" t="str">
        <f t="shared" si="55"/>
        <v/>
      </c>
      <c r="Q512" s="50" t="e">
        <f t="shared" si="56"/>
        <v>#REF!</v>
      </c>
    </row>
    <row r="513" spans="1:17">
      <c r="A513" s="2" t="s">
        <v>210</v>
      </c>
      <c r="B513" s="44">
        <v>4</v>
      </c>
      <c r="C513" s="44">
        <v>2023</v>
      </c>
      <c r="D513" s="44" t="s">
        <v>211</v>
      </c>
      <c r="E513" s="44" t="s">
        <v>211</v>
      </c>
      <c r="F513" s="31">
        <v>45139</v>
      </c>
      <c r="G513" s="101">
        <f t="shared" si="54"/>
        <v>31</v>
      </c>
      <c r="H513" s="103">
        <f t="shared" si="57"/>
        <v>45162</v>
      </c>
      <c r="I513" s="141">
        <f>_xlfn.XLOOKUP(Table12[[#This Row],[Month Year]],'Modelling New'!D:D,'Modelling New'!N:N)</f>
        <v>10.507</v>
      </c>
      <c r="J513" s="50" t="e">
        <f>'Raw Data'!#REF!/J$1</f>
        <v>#REF!</v>
      </c>
      <c r="K513" s="50" t="e">
        <f>'Raw Data'!#REF!/K$1</f>
        <v>#REF!</v>
      </c>
      <c r="L513" s="50" t="e">
        <f>'Raw Data'!#REF!/L$1</f>
        <v>#REF!</v>
      </c>
      <c r="M513" s="50" t="e">
        <f>'Raw Data'!#REF!/M$1</f>
        <v>#REF!</v>
      </c>
      <c r="N513" s="50" t="e">
        <f>'Raw Data'!#REF!/N$1</f>
        <v>#REF!</v>
      </c>
      <c r="O513" s="50" t="e">
        <f>'Raw Data'!#REF!/O$1</f>
        <v>#REF!</v>
      </c>
      <c r="P513" s="50" t="str">
        <f t="shared" si="55"/>
        <v/>
      </c>
      <c r="Q513" s="50" t="e">
        <f t="shared" si="56"/>
        <v>#REF!</v>
      </c>
    </row>
    <row r="514" spans="1:17">
      <c r="A514" s="2" t="s">
        <v>210</v>
      </c>
      <c r="B514" s="44">
        <v>4</v>
      </c>
      <c r="C514" s="44">
        <v>2023</v>
      </c>
      <c r="D514" s="44" t="s">
        <v>211</v>
      </c>
      <c r="E514" s="44" t="s">
        <v>211</v>
      </c>
      <c r="F514" s="31">
        <v>45139</v>
      </c>
      <c r="G514" s="101">
        <f t="shared" si="54"/>
        <v>31</v>
      </c>
      <c r="H514" s="103">
        <f t="shared" si="57"/>
        <v>45163</v>
      </c>
      <c r="I514" s="141">
        <f>_xlfn.XLOOKUP(Table12[[#This Row],[Month Year]],'Modelling New'!D:D,'Modelling New'!N:N)</f>
        <v>10.507</v>
      </c>
      <c r="J514" s="50" t="e">
        <f>'Raw Data'!#REF!/J$1</f>
        <v>#REF!</v>
      </c>
      <c r="K514" s="50" t="e">
        <f>'Raw Data'!#REF!/K$1</f>
        <v>#REF!</v>
      </c>
      <c r="L514" s="50" t="e">
        <f>'Raw Data'!#REF!/L$1</f>
        <v>#REF!</v>
      </c>
      <c r="M514" s="50" t="e">
        <f>'Raw Data'!#REF!/M$1</f>
        <v>#REF!</v>
      </c>
      <c r="N514" s="50" t="e">
        <f>'Raw Data'!#REF!/N$1</f>
        <v>#REF!</v>
      </c>
      <c r="O514" s="50" t="e">
        <f>'Raw Data'!#REF!/O$1</f>
        <v>#REF!</v>
      </c>
      <c r="P514" s="50" t="str">
        <f t="shared" si="55"/>
        <v/>
      </c>
      <c r="Q514" s="50" t="e">
        <f t="shared" si="56"/>
        <v>#REF!</v>
      </c>
    </row>
    <row r="515" spans="1:17">
      <c r="A515" s="2" t="s">
        <v>210</v>
      </c>
      <c r="B515" s="44">
        <v>4</v>
      </c>
      <c r="C515" s="44">
        <v>2023</v>
      </c>
      <c r="D515" s="44" t="s">
        <v>211</v>
      </c>
      <c r="E515" s="44" t="s">
        <v>211</v>
      </c>
      <c r="F515" s="31">
        <v>45139</v>
      </c>
      <c r="G515" s="101">
        <f t="shared" ref="G515:G528" si="58">DAY(EOMONTH(F515,0))</f>
        <v>31</v>
      </c>
      <c r="H515" s="103">
        <f t="shared" si="57"/>
        <v>45164</v>
      </c>
      <c r="I515" s="141">
        <f>_xlfn.XLOOKUP(Table12[[#This Row],[Month Year]],'Modelling New'!D:D,'Modelling New'!N:N)</f>
        <v>10.507</v>
      </c>
      <c r="J515" s="50" t="e">
        <f>'Raw Data'!#REF!/J$1</f>
        <v>#REF!</v>
      </c>
      <c r="K515" s="50" t="e">
        <f>'Raw Data'!#REF!/K$1</f>
        <v>#REF!</v>
      </c>
      <c r="L515" s="50" t="e">
        <f>'Raw Data'!#REF!/L$1</f>
        <v>#REF!</v>
      </c>
      <c r="M515" s="50" t="e">
        <f>'Raw Data'!#REF!/M$1</f>
        <v>#REF!</v>
      </c>
      <c r="N515" s="50" t="e">
        <f>'Raw Data'!#REF!/N$1</f>
        <v>#REF!</v>
      </c>
      <c r="O515" s="50" t="e">
        <f>'Raw Data'!#REF!/O$1</f>
        <v>#REF!</v>
      </c>
      <c r="P515" s="50" t="str">
        <f t="shared" ref="P515:P528" si="59">IFERROR(AVERAGEIF(J515:O515,"&gt;"&amp;0,J515:O515),"")</f>
        <v/>
      </c>
      <c r="Q515" s="50" t="e">
        <f t="shared" ref="Q515:Q528" si="60">MAXA(J515:O515)</f>
        <v>#REF!</v>
      </c>
    </row>
    <row r="516" spans="1:17">
      <c r="A516" s="2" t="s">
        <v>210</v>
      </c>
      <c r="B516" s="44">
        <v>4</v>
      </c>
      <c r="C516" s="44">
        <v>2023</v>
      </c>
      <c r="D516" s="44" t="s">
        <v>211</v>
      </c>
      <c r="E516" s="44" t="s">
        <v>211</v>
      </c>
      <c r="F516" s="31">
        <v>45139</v>
      </c>
      <c r="G516" s="101">
        <f t="shared" si="58"/>
        <v>31</v>
      </c>
      <c r="H516" s="103">
        <f t="shared" si="57"/>
        <v>45165</v>
      </c>
      <c r="I516" s="141">
        <f>_xlfn.XLOOKUP(Table12[[#This Row],[Month Year]],'Modelling New'!D:D,'Modelling New'!N:N)</f>
        <v>10.507</v>
      </c>
      <c r="J516" s="50" t="e">
        <f>'Raw Data'!#REF!/J$1</f>
        <v>#REF!</v>
      </c>
      <c r="K516" s="50" t="e">
        <f>'Raw Data'!#REF!/K$1</f>
        <v>#REF!</v>
      </c>
      <c r="L516" s="50" t="e">
        <f>'Raw Data'!#REF!/L$1</f>
        <v>#REF!</v>
      </c>
      <c r="M516" s="50" t="e">
        <f>'Raw Data'!#REF!/M$1</f>
        <v>#REF!</v>
      </c>
      <c r="N516" s="50" t="e">
        <f>'Raw Data'!#REF!/N$1</f>
        <v>#REF!</v>
      </c>
      <c r="O516" s="50" t="e">
        <f>'Raw Data'!#REF!/O$1</f>
        <v>#REF!</v>
      </c>
      <c r="P516" s="50" t="str">
        <f t="shared" si="59"/>
        <v/>
      </c>
      <c r="Q516" s="50" t="e">
        <f t="shared" si="60"/>
        <v>#REF!</v>
      </c>
    </row>
    <row r="517" spans="1:17">
      <c r="A517" s="2" t="s">
        <v>210</v>
      </c>
      <c r="B517" s="44">
        <v>4</v>
      </c>
      <c r="C517" s="44">
        <v>2023</v>
      </c>
      <c r="D517" s="44" t="s">
        <v>211</v>
      </c>
      <c r="E517" s="44" t="s">
        <v>211</v>
      </c>
      <c r="F517" s="31">
        <v>45139</v>
      </c>
      <c r="G517" s="101">
        <f t="shared" si="58"/>
        <v>31</v>
      </c>
      <c r="H517" s="103">
        <f t="shared" si="57"/>
        <v>45166</v>
      </c>
      <c r="I517" s="141">
        <f>_xlfn.XLOOKUP(Table12[[#This Row],[Month Year]],'Modelling New'!D:D,'Modelling New'!N:N)</f>
        <v>10.507</v>
      </c>
      <c r="J517" s="50" t="e">
        <f>'Raw Data'!#REF!/J$1</f>
        <v>#REF!</v>
      </c>
      <c r="K517" s="50" t="e">
        <f>'Raw Data'!#REF!/K$1</f>
        <v>#REF!</v>
      </c>
      <c r="L517" s="50" t="e">
        <f>'Raw Data'!#REF!/L$1</f>
        <v>#REF!</v>
      </c>
      <c r="M517" s="50" t="e">
        <f>'Raw Data'!#REF!/M$1</f>
        <v>#REF!</v>
      </c>
      <c r="N517" s="50" t="e">
        <f>'Raw Data'!#REF!/N$1</f>
        <v>#REF!</v>
      </c>
      <c r="O517" s="50" t="e">
        <f>'Raw Data'!#REF!/O$1</f>
        <v>#REF!</v>
      </c>
      <c r="P517" s="50" t="str">
        <f t="shared" si="59"/>
        <v/>
      </c>
      <c r="Q517" s="50" t="e">
        <f t="shared" si="60"/>
        <v>#REF!</v>
      </c>
    </row>
    <row r="518" spans="1:17">
      <c r="A518" s="2" t="s">
        <v>210</v>
      </c>
      <c r="B518" s="44">
        <v>4</v>
      </c>
      <c r="C518" s="44">
        <v>2023</v>
      </c>
      <c r="D518" s="44" t="s">
        <v>211</v>
      </c>
      <c r="E518" s="44" t="s">
        <v>211</v>
      </c>
      <c r="F518" s="31">
        <v>45139</v>
      </c>
      <c r="G518" s="101">
        <f t="shared" si="58"/>
        <v>31</v>
      </c>
      <c r="H518" s="103">
        <f t="shared" si="57"/>
        <v>45167</v>
      </c>
      <c r="I518" s="141">
        <f>_xlfn.XLOOKUP(Table12[[#This Row],[Month Year]],'Modelling New'!D:D,'Modelling New'!N:N)</f>
        <v>10.507</v>
      </c>
      <c r="J518" s="50" t="e">
        <f>'Raw Data'!#REF!/J$1</f>
        <v>#REF!</v>
      </c>
      <c r="K518" s="50" t="e">
        <f>'Raw Data'!#REF!/K$1</f>
        <v>#REF!</v>
      </c>
      <c r="L518" s="50" t="e">
        <f>'Raw Data'!#REF!/L$1</f>
        <v>#REF!</v>
      </c>
      <c r="M518" s="50" t="e">
        <f>'Raw Data'!#REF!/M$1</f>
        <v>#REF!</v>
      </c>
      <c r="N518" s="50" t="e">
        <f>'Raw Data'!#REF!/N$1</f>
        <v>#REF!</v>
      </c>
      <c r="O518" s="50" t="e">
        <f>'Raw Data'!#REF!/O$1</f>
        <v>#REF!</v>
      </c>
      <c r="P518" s="50" t="str">
        <f t="shared" si="59"/>
        <v/>
      </c>
      <c r="Q518" s="50" t="e">
        <f t="shared" si="60"/>
        <v>#REF!</v>
      </c>
    </row>
    <row r="519" spans="1:17">
      <c r="A519" s="2" t="s">
        <v>210</v>
      </c>
      <c r="B519" s="44">
        <v>4</v>
      </c>
      <c r="C519" s="44">
        <v>2023</v>
      </c>
      <c r="D519" s="44" t="s">
        <v>211</v>
      </c>
      <c r="E519" s="44" t="s">
        <v>211</v>
      </c>
      <c r="F519" s="31">
        <v>45139</v>
      </c>
      <c r="G519" s="101">
        <f t="shared" si="58"/>
        <v>31</v>
      </c>
      <c r="H519" s="103">
        <f t="shared" si="57"/>
        <v>45168</v>
      </c>
      <c r="I519" s="141">
        <f>_xlfn.XLOOKUP(Table12[[#This Row],[Month Year]],'Modelling New'!D:D,'Modelling New'!N:N)</f>
        <v>10.507</v>
      </c>
      <c r="J519" s="50" t="e">
        <f>'Raw Data'!#REF!/J$1</f>
        <v>#REF!</v>
      </c>
      <c r="K519" s="50" t="e">
        <f>'Raw Data'!#REF!/K$1</f>
        <v>#REF!</v>
      </c>
      <c r="L519" s="50" t="e">
        <f>'Raw Data'!#REF!/L$1</f>
        <v>#REF!</v>
      </c>
      <c r="M519" s="50" t="e">
        <f>'Raw Data'!#REF!/M$1</f>
        <v>#REF!</v>
      </c>
      <c r="N519" s="50" t="e">
        <f>'Raw Data'!#REF!/N$1</f>
        <v>#REF!</v>
      </c>
      <c r="O519" s="50" t="e">
        <f>'Raw Data'!#REF!/O$1</f>
        <v>#REF!</v>
      </c>
      <c r="P519" s="50" t="str">
        <f t="shared" si="59"/>
        <v/>
      </c>
      <c r="Q519" s="50" t="e">
        <f t="shared" si="60"/>
        <v>#REF!</v>
      </c>
    </row>
    <row r="520" spans="1:17">
      <c r="A520" s="2" t="s">
        <v>210</v>
      </c>
      <c r="B520" s="44">
        <v>4</v>
      </c>
      <c r="C520" s="44">
        <v>2023</v>
      </c>
      <c r="D520" s="44" t="s">
        <v>211</v>
      </c>
      <c r="E520" s="44" t="s">
        <v>211</v>
      </c>
      <c r="F520" s="31">
        <v>45170</v>
      </c>
      <c r="G520" s="101">
        <f t="shared" si="58"/>
        <v>30</v>
      </c>
      <c r="H520" s="103">
        <f t="shared" si="57"/>
        <v>45169</v>
      </c>
      <c r="I520" s="141">
        <f>_xlfn.XLOOKUP(Table12[[#This Row],[Month Year]],'Modelling New'!D:D,'Modelling New'!N:N)</f>
        <v>10.507</v>
      </c>
      <c r="J520" s="50" t="e">
        <f>'Raw Data'!#REF!/J$1</f>
        <v>#REF!</v>
      </c>
      <c r="K520" s="50" t="e">
        <f>'Raw Data'!#REF!/K$1</f>
        <v>#REF!</v>
      </c>
      <c r="L520" s="50" t="e">
        <f>'Raw Data'!#REF!/L$1</f>
        <v>#REF!</v>
      </c>
      <c r="M520" s="50" t="e">
        <f>'Raw Data'!#REF!/M$1</f>
        <v>#REF!</v>
      </c>
      <c r="N520" s="50" t="e">
        <f>'Raw Data'!#REF!/N$1</f>
        <v>#REF!</v>
      </c>
      <c r="O520" s="50" t="e">
        <f>'Raw Data'!#REF!/O$1</f>
        <v>#REF!</v>
      </c>
      <c r="P520" s="50" t="str">
        <f t="shared" si="59"/>
        <v/>
      </c>
      <c r="Q520" s="50" t="e">
        <f t="shared" si="60"/>
        <v>#REF!</v>
      </c>
    </row>
    <row r="521" spans="1:17">
      <c r="A521" s="2" t="s">
        <v>210</v>
      </c>
      <c r="B521" s="44">
        <v>4</v>
      </c>
      <c r="C521" s="44">
        <v>2023</v>
      </c>
      <c r="D521" s="44" t="s">
        <v>211</v>
      </c>
      <c r="E521" s="44" t="s">
        <v>211</v>
      </c>
      <c r="F521" s="31">
        <v>45170</v>
      </c>
      <c r="G521" s="101">
        <f t="shared" si="58"/>
        <v>30</v>
      </c>
      <c r="H521" s="103">
        <f t="shared" si="57"/>
        <v>45170</v>
      </c>
      <c r="I521" s="141">
        <f>_xlfn.XLOOKUP(Table12[[#This Row],[Month Year]],'Modelling New'!D:D,'Modelling New'!N:N)</f>
        <v>10.507</v>
      </c>
      <c r="J521" s="50" t="e">
        <f>'Raw Data'!#REF!/J$1</f>
        <v>#REF!</v>
      </c>
      <c r="K521" s="50" t="e">
        <f>'Raw Data'!#REF!/K$1</f>
        <v>#REF!</v>
      </c>
      <c r="L521" s="50" t="e">
        <f>'Raw Data'!#REF!/L$1</f>
        <v>#REF!</v>
      </c>
      <c r="M521" s="50" t="e">
        <f>'Raw Data'!#REF!/M$1</f>
        <v>#REF!</v>
      </c>
      <c r="N521" s="50" t="e">
        <f>'Raw Data'!#REF!/N$1</f>
        <v>#REF!</v>
      </c>
      <c r="O521" s="50" t="e">
        <f>'Raw Data'!#REF!/O$1</f>
        <v>#REF!</v>
      </c>
      <c r="P521" s="50" t="str">
        <f t="shared" si="59"/>
        <v/>
      </c>
      <c r="Q521" s="50" t="e">
        <f t="shared" si="60"/>
        <v>#REF!</v>
      </c>
    </row>
    <row r="522" spans="1:17">
      <c r="A522" s="2" t="s">
        <v>210</v>
      </c>
      <c r="B522" s="44">
        <v>4</v>
      </c>
      <c r="C522" s="44">
        <v>2023</v>
      </c>
      <c r="D522" s="44" t="s">
        <v>211</v>
      </c>
      <c r="E522" s="44" t="s">
        <v>211</v>
      </c>
      <c r="F522" s="31">
        <v>45170</v>
      </c>
      <c r="G522" s="101">
        <f t="shared" si="58"/>
        <v>30</v>
      </c>
      <c r="H522" s="103">
        <f t="shared" si="57"/>
        <v>45171</v>
      </c>
      <c r="I522" s="141">
        <f>_xlfn.XLOOKUP(Table12[[#This Row],[Month Year]],'Modelling New'!D:D,'Modelling New'!N:N)</f>
        <v>10.507</v>
      </c>
      <c r="J522" s="50" t="e">
        <f>'Raw Data'!#REF!/J$1</f>
        <v>#REF!</v>
      </c>
      <c r="K522" s="50" t="e">
        <f>'Raw Data'!#REF!/K$1</f>
        <v>#REF!</v>
      </c>
      <c r="L522" s="50" t="e">
        <f>'Raw Data'!#REF!/L$1</f>
        <v>#REF!</v>
      </c>
      <c r="M522" s="50" t="e">
        <f>'Raw Data'!#REF!/M$1</f>
        <v>#REF!</v>
      </c>
      <c r="N522" s="50" t="e">
        <f>'Raw Data'!#REF!/N$1</f>
        <v>#REF!</v>
      </c>
      <c r="O522" s="50" t="e">
        <f>'Raw Data'!#REF!/O$1</f>
        <v>#REF!</v>
      </c>
      <c r="P522" s="50" t="str">
        <f t="shared" si="59"/>
        <v/>
      </c>
      <c r="Q522" s="50" t="e">
        <f t="shared" si="60"/>
        <v>#REF!</v>
      </c>
    </row>
    <row r="523" spans="1:17">
      <c r="A523" s="2" t="s">
        <v>210</v>
      </c>
      <c r="B523" s="44">
        <v>4</v>
      </c>
      <c r="C523" s="44">
        <v>2023</v>
      </c>
      <c r="D523" s="44" t="s">
        <v>211</v>
      </c>
      <c r="E523" s="44" t="s">
        <v>211</v>
      </c>
      <c r="F523" s="31">
        <v>45170</v>
      </c>
      <c r="G523" s="101">
        <f t="shared" si="58"/>
        <v>30</v>
      </c>
      <c r="H523" s="103">
        <f t="shared" si="57"/>
        <v>45172</v>
      </c>
      <c r="I523" s="141">
        <f>_xlfn.XLOOKUP(Table12[[#This Row],[Month Year]],'Modelling New'!D:D,'Modelling New'!N:N)</f>
        <v>10.507</v>
      </c>
      <c r="J523" s="50" t="e">
        <f>'Raw Data'!#REF!/J$1</f>
        <v>#REF!</v>
      </c>
      <c r="K523" s="50" t="e">
        <f>'Raw Data'!#REF!/K$1</f>
        <v>#REF!</v>
      </c>
      <c r="L523" s="50" t="e">
        <f>'Raw Data'!#REF!/L$1</f>
        <v>#REF!</v>
      </c>
      <c r="M523" s="50" t="e">
        <f>'Raw Data'!#REF!/M$1</f>
        <v>#REF!</v>
      </c>
      <c r="N523" s="50" t="e">
        <f>'Raw Data'!#REF!/N$1</f>
        <v>#REF!</v>
      </c>
      <c r="O523" s="50" t="e">
        <f>'Raw Data'!#REF!/O$1</f>
        <v>#REF!</v>
      </c>
      <c r="P523" s="50" t="str">
        <f t="shared" si="59"/>
        <v/>
      </c>
      <c r="Q523" s="50" t="e">
        <f t="shared" si="60"/>
        <v>#REF!</v>
      </c>
    </row>
    <row r="524" spans="1:17">
      <c r="A524" s="2" t="s">
        <v>210</v>
      </c>
      <c r="B524" s="44">
        <v>4</v>
      </c>
      <c r="C524" s="44">
        <v>2023</v>
      </c>
      <c r="D524" s="44" t="s">
        <v>211</v>
      </c>
      <c r="E524" s="44" t="s">
        <v>211</v>
      </c>
      <c r="F524" s="31">
        <v>45170</v>
      </c>
      <c r="G524" s="101">
        <f t="shared" si="58"/>
        <v>30</v>
      </c>
      <c r="H524" s="103">
        <f t="shared" si="57"/>
        <v>45173</v>
      </c>
      <c r="I524" s="141">
        <f>_xlfn.XLOOKUP(Table12[[#This Row],[Month Year]],'Modelling New'!D:D,'Modelling New'!N:N)</f>
        <v>10.507</v>
      </c>
      <c r="J524" s="50" t="e">
        <f>'Raw Data'!#REF!/J$1</f>
        <v>#REF!</v>
      </c>
      <c r="K524" s="50" t="e">
        <f>'Raw Data'!#REF!/K$1</f>
        <v>#REF!</v>
      </c>
      <c r="L524" s="50" t="e">
        <f>'Raw Data'!#REF!/L$1</f>
        <v>#REF!</v>
      </c>
      <c r="M524" s="50" t="e">
        <f>'Raw Data'!#REF!/M$1</f>
        <v>#REF!</v>
      </c>
      <c r="N524" s="50" t="e">
        <f>'Raw Data'!#REF!/N$1</f>
        <v>#REF!</v>
      </c>
      <c r="O524" s="50" t="e">
        <f>'Raw Data'!#REF!/O$1</f>
        <v>#REF!</v>
      </c>
      <c r="P524" s="50" t="str">
        <f t="shared" si="59"/>
        <v/>
      </c>
      <c r="Q524" s="50" t="e">
        <f t="shared" si="60"/>
        <v>#REF!</v>
      </c>
    </row>
    <row r="525" spans="1:17">
      <c r="A525" s="2" t="s">
        <v>210</v>
      </c>
      <c r="B525" s="44">
        <v>4</v>
      </c>
      <c r="C525" s="44">
        <v>2023</v>
      </c>
      <c r="D525" s="44" t="s">
        <v>211</v>
      </c>
      <c r="E525" s="44" t="s">
        <v>211</v>
      </c>
      <c r="F525" s="31">
        <v>45170</v>
      </c>
      <c r="G525" s="101">
        <f t="shared" si="58"/>
        <v>30</v>
      </c>
      <c r="H525" s="103">
        <f t="shared" si="57"/>
        <v>45174</v>
      </c>
      <c r="I525" s="141">
        <f>_xlfn.XLOOKUP(Table12[[#This Row],[Month Year]],'Modelling New'!D:D,'Modelling New'!N:N)</f>
        <v>10.507</v>
      </c>
      <c r="J525" s="50" t="e">
        <f>'Raw Data'!#REF!/J$1</f>
        <v>#REF!</v>
      </c>
      <c r="K525" s="50" t="e">
        <f>'Raw Data'!#REF!/K$1</f>
        <v>#REF!</v>
      </c>
      <c r="L525" s="50" t="e">
        <f>'Raw Data'!#REF!/L$1</f>
        <v>#REF!</v>
      </c>
      <c r="M525" s="50" t="e">
        <f>'Raw Data'!#REF!/M$1</f>
        <v>#REF!</v>
      </c>
      <c r="N525" s="50" t="e">
        <f>'Raw Data'!#REF!/N$1</f>
        <v>#REF!</v>
      </c>
      <c r="O525" s="50" t="e">
        <f>'Raw Data'!#REF!/O$1</f>
        <v>#REF!</v>
      </c>
      <c r="P525" s="50" t="str">
        <f t="shared" si="59"/>
        <v/>
      </c>
      <c r="Q525" s="50" t="e">
        <f t="shared" si="60"/>
        <v>#REF!</v>
      </c>
    </row>
    <row r="526" spans="1:17">
      <c r="A526" s="2" t="s">
        <v>210</v>
      </c>
      <c r="B526" s="44">
        <v>4</v>
      </c>
      <c r="C526" s="44">
        <v>2023</v>
      </c>
      <c r="D526" s="44" t="s">
        <v>211</v>
      </c>
      <c r="E526" s="44" t="s">
        <v>211</v>
      </c>
      <c r="F526" s="31">
        <v>45170</v>
      </c>
      <c r="G526" s="101">
        <f t="shared" si="58"/>
        <v>30</v>
      </c>
      <c r="H526" s="103">
        <f t="shared" si="57"/>
        <v>45175</v>
      </c>
      <c r="I526" s="141">
        <f>_xlfn.XLOOKUP(Table12[[#This Row],[Month Year]],'Modelling New'!D:D,'Modelling New'!N:N)</f>
        <v>10.507</v>
      </c>
      <c r="J526" s="50" t="e">
        <f>'Raw Data'!#REF!/J$1</f>
        <v>#REF!</v>
      </c>
      <c r="K526" s="50" t="e">
        <f>'Raw Data'!#REF!/K$1</f>
        <v>#REF!</v>
      </c>
      <c r="L526" s="50" t="e">
        <f>'Raw Data'!#REF!/L$1</f>
        <v>#REF!</v>
      </c>
      <c r="M526" s="50" t="e">
        <f>'Raw Data'!#REF!/M$1</f>
        <v>#REF!</v>
      </c>
      <c r="N526" s="50" t="e">
        <f>'Raw Data'!#REF!/N$1</f>
        <v>#REF!</v>
      </c>
      <c r="O526" s="50" t="e">
        <f>'Raw Data'!#REF!/O$1</f>
        <v>#REF!</v>
      </c>
      <c r="P526" s="50" t="str">
        <f t="shared" si="59"/>
        <v/>
      </c>
      <c r="Q526" s="50" t="e">
        <f t="shared" si="60"/>
        <v>#REF!</v>
      </c>
    </row>
    <row r="527" spans="1:17">
      <c r="A527" s="2" t="s">
        <v>210</v>
      </c>
      <c r="B527" s="44">
        <v>4</v>
      </c>
      <c r="C527" s="44">
        <v>2023</v>
      </c>
      <c r="D527" s="44" t="s">
        <v>211</v>
      </c>
      <c r="E527" s="44" t="s">
        <v>211</v>
      </c>
      <c r="F527" s="31">
        <v>45170</v>
      </c>
      <c r="G527" s="101">
        <f t="shared" si="58"/>
        <v>30</v>
      </c>
      <c r="H527" s="103">
        <f t="shared" si="57"/>
        <v>45176</v>
      </c>
      <c r="I527" s="141">
        <f>_xlfn.XLOOKUP(Table12[[#This Row],[Month Year]],'Modelling New'!D:D,'Modelling New'!N:N)</f>
        <v>10.507</v>
      </c>
      <c r="J527" s="50" t="e">
        <f>'Raw Data'!#REF!/J$1</f>
        <v>#REF!</v>
      </c>
      <c r="K527" s="50" t="e">
        <f>'Raw Data'!#REF!/K$1</f>
        <v>#REF!</v>
      </c>
      <c r="L527" s="50" t="e">
        <f>'Raw Data'!#REF!/L$1</f>
        <v>#REF!</v>
      </c>
      <c r="M527" s="50" t="e">
        <f>'Raw Data'!#REF!/M$1</f>
        <v>#REF!</v>
      </c>
      <c r="N527" s="50" t="e">
        <f>'Raw Data'!#REF!/N$1</f>
        <v>#REF!</v>
      </c>
      <c r="O527" s="50" t="e">
        <f>'Raw Data'!#REF!/O$1</f>
        <v>#REF!</v>
      </c>
      <c r="P527" s="50" t="str">
        <f t="shared" si="59"/>
        <v/>
      </c>
      <c r="Q527" s="50" t="e">
        <f t="shared" si="60"/>
        <v>#REF!</v>
      </c>
    </row>
    <row r="528" spans="1:17">
      <c r="A528" s="2" t="s">
        <v>210</v>
      </c>
      <c r="B528" s="44">
        <v>4</v>
      </c>
      <c r="C528" s="44">
        <v>2023</v>
      </c>
      <c r="D528" s="44" t="s">
        <v>211</v>
      </c>
      <c r="E528" s="44" t="s">
        <v>211</v>
      </c>
      <c r="F528" s="31">
        <v>45170</v>
      </c>
      <c r="G528" s="101">
        <f t="shared" si="58"/>
        <v>30</v>
      </c>
      <c r="H528" s="103">
        <f t="shared" si="57"/>
        <v>45177</v>
      </c>
      <c r="I528" s="141">
        <f>_xlfn.XLOOKUP(Table12[[#This Row],[Month Year]],'Modelling New'!D:D,'Modelling New'!N:N)</f>
        <v>10.507</v>
      </c>
      <c r="J528" s="50" t="e">
        <f>'Raw Data'!#REF!/J$1</f>
        <v>#REF!</v>
      </c>
      <c r="K528" s="50" t="e">
        <f>'Raw Data'!#REF!/K$1</f>
        <v>#REF!</v>
      </c>
      <c r="L528" s="50" t="e">
        <f>'Raw Data'!#REF!/L$1</f>
        <v>#REF!</v>
      </c>
      <c r="M528" s="50" t="e">
        <f>'Raw Data'!#REF!/M$1</f>
        <v>#REF!</v>
      </c>
      <c r="N528" s="50" t="e">
        <f>'Raw Data'!#REF!/N$1</f>
        <v>#REF!</v>
      </c>
      <c r="O528" s="50" t="e">
        <f>'Raw Data'!#REF!/O$1</f>
        <v>#REF!</v>
      </c>
      <c r="P528" s="50" t="str">
        <f t="shared" si="59"/>
        <v/>
      </c>
      <c r="Q528" s="50" t="e">
        <f t="shared" si="60"/>
        <v>#REF!</v>
      </c>
    </row>
    <row r="529" spans="1:17">
      <c r="A529" s="2" t="s">
        <v>210</v>
      </c>
      <c r="B529" s="44">
        <v>4</v>
      </c>
      <c r="C529" s="44">
        <v>2023</v>
      </c>
      <c r="D529" s="44" t="s">
        <v>211</v>
      </c>
      <c r="E529" s="44" t="s">
        <v>211</v>
      </c>
      <c r="F529" s="31">
        <v>45170</v>
      </c>
      <c r="G529" s="101">
        <f t="shared" ref="G529:G539" si="61">DAY(EOMONTH(F529,0))</f>
        <v>30</v>
      </c>
      <c r="H529" s="103">
        <f t="shared" si="57"/>
        <v>45178</v>
      </c>
      <c r="I529" s="141">
        <f>_xlfn.XLOOKUP(Table12[[#This Row],[Month Year]],'Modelling New'!D:D,'Modelling New'!N:N)</f>
        <v>10.507</v>
      </c>
      <c r="J529" s="50" t="e">
        <f>'Raw Data'!#REF!/J$1</f>
        <v>#REF!</v>
      </c>
      <c r="K529" s="50" t="e">
        <f>'Raw Data'!#REF!/K$1</f>
        <v>#REF!</v>
      </c>
      <c r="L529" s="50" t="e">
        <f>'Raw Data'!#REF!/L$1</f>
        <v>#REF!</v>
      </c>
      <c r="M529" s="50" t="e">
        <f>'Raw Data'!#REF!/M$1</f>
        <v>#REF!</v>
      </c>
      <c r="N529" s="50" t="e">
        <f>'Raw Data'!#REF!/N$1</f>
        <v>#REF!</v>
      </c>
      <c r="O529" s="50" t="e">
        <f>'Raw Data'!#REF!/O$1</f>
        <v>#REF!</v>
      </c>
      <c r="P529" s="50" t="str">
        <f t="shared" ref="P529:P539" si="62">IFERROR(AVERAGEIF(J529:O529,"&gt;"&amp;0,J529:O529),"")</f>
        <v/>
      </c>
      <c r="Q529" s="50" t="e">
        <f t="shared" ref="Q529:Q539" si="63">MAXA(J529:O529)</f>
        <v>#REF!</v>
      </c>
    </row>
    <row r="530" spans="1:17">
      <c r="A530" s="2" t="s">
        <v>210</v>
      </c>
      <c r="B530" s="44">
        <v>4</v>
      </c>
      <c r="C530" s="44">
        <v>2023</v>
      </c>
      <c r="D530" s="44" t="s">
        <v>211</v>
      </c>
      <c r="E530" s="44" t="s">
        <v>211</v>
      </c>
      <c r="F530" s="31">
        <v>45170</v>
      </c>
      <c r="G530" s="101">
        <f t="shared" si="61"/>
        <v>30</v>
      </c>
      <c r="H530" s="103">
        <f t="shared" si="57"/>
        <v>45179</v>
      </c>
      <c r="I530" s="141">
        <f>_xlfn.XLOOKUP(Table12[[#This Row],[Month Year]],'Modelling New'!D:D,'Modelling New'!N:N)</f>
        <v>10.507</v>
      </c>
      <c r="J530" s="50" t="e">
        <f>'Raw Data'!#REF!/J$1</f>
        <v>#REF!</v>
      </c>
      <c r="K530" s="50" t="e">
        <f>'Raw Data'!#REF!/K$1</f>
        <v>#REF!</v>
      </c>
      <c r="L530" s="50" t="e">
        <f>'Raw Data'!#REF!/L$1</f>
        <v>#REF!</v>
      </c>
      <c r="M530" s="50" t="e">
        <f>'Raw Data'!#REF!/M$1</f>
        <v>#REF!</v>
      </c>
      <c r="N530" s="50" t="e">
        <f>'Raw Data'!#REF!/N$1</f>
        <v>#REF!</v>
      </c>
      <c r="O530" s="50" t="e">
        <f>'Raw Data'!#REF!/O$1</f>
        <v>#REF!</v>
      </c>
      <c r="P530" s="50" t="str">
        <f t="shared" si="62"/>
        <v/>
      </c>
      <c r="Q530" s="50" t="e">
        <f t="shared" si="63"/>
        <v>#REF!</v>
      </c>
    </row>
    <row r="531" spans="1:17">
      <c r="A531" s="2" t="s">
        <v>210</v>
      </c>
      <c r="B531" s="44">
        <v>4</v>
      </c>
      <c r="C531" s="44">
        <v>2023</v>
      </c>
      <c r="D531" s="44" t="s">
        <v>211</v>
      </c>
      <c r="E531" s="44" t="s">
        <v>211</v>
      </c>
      <c r="F531" s="31">
        <v>45170</v>
      </c>
      <c r="G531" s="101">
        <f t="shared" si="61"/>
        <v>30</v>
      </c>
      <c r="H531" s="103">
        <f t="shared" si="57"/>
        <v>45180</v>
      </c>
      <c r="I531" s="141">
        <f>_xlfn.XLOOKUP(Table12[[#This Row],[Month Year]],'Modelling New'!D:D,'Modelling New'!N:N)</f>
        <v>10.507</v>
      </c>
      <c r="J531" s="50" t="e">
        <f>'Raw Data'!#REF!/J$1</f>
        <v>#REF!</v>
      </c>
      <c r="K531" s="50" t="e">
        <f>'Raw Data'!#REF!/K$1</f>
        <v>#REF!</v>
      </c>
      <c r="L531" s="50" t="e">
        <f>'Raw Data'!#REF!/L$1</f>
        <v>#REF!</v>
      </c>
      <c r="M531" s="50" t="e">
        <f>'Raw Data'!#REF!/M$1</f>
        <v>#REF!</v>
      </c>
      <c r="N531" s="50" t="e">
        <f>'Raw Data'!#REF!/N$1</f>
        <v>#REF!</v>
      </c>
      <c r="O531" s="50" t="e">
        <f>'Raw Data'!#REF!/O$1</f>
        <v>#REF!</v>
      </c>
      <c r="P531" s="50" t="str">
        <f t="shared" si="62"/>
        <v/>
      </c>
      <c r="Q531" s="50" t="e">
        <f t="shared" si="63"/>
        <v>#REF!</v>
      </c>
    </row>
    <row r="532" spans="1:17">
      <c r="A532" s="2" t="s">
        <v>210</v>
      </c>
      <c r="B532" s="44">
        <v>4</v>
      </c>
      <c r="C532" s="44">
        <v>2023</v>
      </c>
      <c r="D532" s="44" t="s">
        <v>211</v>
      </c>
      <c r="E532" s="44" t="s">
        <v>211</v>
      </c>
      <c r="F532" s="31">
        <v>45170</v>
      </c>
      <c r="G532" s="101">
        <f t="shared" si="61"/>
        <v>30</v>
      </c>
      <c r="H532" s="103">
        <f t="shared" si="57"/>
        <v>45181</v>
      </c>
      <c r="I532" s="141">
        <f>_xlfn.XLOOKUP(Table12[[#This Row],[Month Year]],'Modelling New'!D:D,'Modelling New'!N:N)</f>
        <v>10.507</v>
      </c>
      <c r="J532" s="50" t="e">
        <f>'Raw Data'!#REF!/J$1</f>
        <v>#REF!</v>
      </c>
      <c r="K532" s="50" t="e">
        <f>'Raw Data'!#REF!/K$1</f>
        <v>#REF!</v>
      </c>
      <c r="L532" s="50" t="e">
        <f>'Raw Data'!#REF!/L$1</f>
        <v>#REF!</v>
      </c>
      <c r="M532" s="50" t="e">
        <f>'Raw Data'!#REF!/M$1</f>
        <v>#REF!</v>
      </c>
      <c r="N532" s="50" t="e">
        <f>'Raw Data'!#REF!/N$1</f>
        <v>#REF!</v>
      </c>
      <c r="O532" s="50" t="e">
        <f>'Raw Data'!#REF!/O$1</f>
        <v>#REF!</v>
      </c>
      <c r="P532" s="50" t="str">
        <f t="shared" si="62"/>
        <v/>
      </c>
      <c r="Q532" s="50" t="e">
        <f t="shared" si="63"/>
        <v>#REF!</v>
      </c>
    </row>
    <row r="533" spans="1:17">
      <c r="A533" s="2" t="s">
        <v>210</v>
      </c>
      <c r="B533" s="44">
        <v>4</v>
      </c>
      <c r="C533" s="44">
        <v>2023</v>
      </c>
      <c r="D533" s="44" t="s">
        <v>211</v>
      </c>
      <c r="E533" s="44" t="s">
        <v>211</v>
      </c>
      <c r="F533" s="31">
        <v>45170</v>
      </c>
      <c r="G533" s="101">
        <f t="shared" si="61"/>
        <v>30</v>
      </c>
      <c r="H533" s="103">
        <f t="shared" si="57"/>
        <v>45182</v>
      </c>
      <c r="I533" s="141">
        <f>_xlfn.XLOOKUP(Table12[[#This Row],[Month Year]],'Modelling New'!D:D,'Modelling New'!N:N)</f>
        <v>10.507</v>
      </c>
      <c r="J533" s="50" t="e">
        <f>'Raw Data'!#REF!/J$1</f>
        <v>#REF!</v>
      </c>
      <c r="K533" s="50" t="e">
        <f>'Raw Data'!#REF!/K$1</f>
        <v>#REF!</v>
      </c>
      <c r="L533" s="50" t="e">
        <f>'Raw Data'!#REF!/L$1</f>
        <v>#REF!</v>
      </c>
      <c r="M533" s="50" t="e">
        <f>'Raw Data'!#REF!/M$1</f>
        <v>#REF!</v>
      </c>
      <c r="N533" s="50" t="e">
        <f>'Raw Data'!#REF!/N$1</f>
        <v>#REF!</v>
      </c>
      <c r="O533" s="50" t="e">
        <f>'Raw Data'!#REF!/O$1</f>
        <v>#REF!</v>
      </c>
      <c r="P533" s="50" t="str">
        <f t="shared" si="62"/>
        <v/>
      </c>
      <c r="Q533" s="50" t="e">
        <f t="shared" si="63"/>
        <v>#REF!</v>
      </c>
    </row>
    <row r="534" spans="1:17">
      <c r="A534" s="2" t="s">
        <v>210</v>
      </c>
      <c r="B534" s="44">
        <v>4</v>
      </c>
      <c r="C534" s="44">
        <v>2023</v>
      </c>
      <c r="D534" s="44" t="s">
        <v>211</v>
      </c>
      <c r="E534" s="44" t="s">
        <v>211</v>
      </c>
      <c r="F534" s="31">
        <v>45170</v>
      </c>
      <c r="G534" s="101">
        <f t="shared" si="61"/>
        <v>30</v>
      </c>
      <c r="H534" s="103">
        <f t="shared" si="57"/>
        <v>45183</v>
      </c>
      <c r="I534" s="141">
        <f>_xlfn.XLOOKUP(Table12[[#This Row],[Month Year]],'Modelling New'!D:D,'Modelling New'!N:N)</f>
        <v>10.507</v>
      </c>
      <c r="J534" s="50" t="e">
        <f>'Raw Data'!#REF!/J$1</f>
        <v>#REF!</v>
      </c>
      <c r="K534" s="50" t="e">
        <f>'Raw Data'!#REF!/K$1</f>
        <v>#REF!</v>
      </c>
      <c r="L534" s="50" t="e">
        <f>'Raw Data'!#REF!/L$1</f>
        <v>#REF!</v>
      </c>
      <c r="M534" s="50" t="e">
        <f>'Raw Data'!#REF!/M$1</f>
        <v>#REF!</v>
      </c>
      <c r="N534" s="50" t="e">
        <f>'Raw Data'!#REF!/N$1</f>
        <v>#REF!</v>
      </c>
      <c r="O534" s="50" t="e">
        <f>'Raw Data'!#REF!/O$1</f>
        <v>#REF!</v>
      </c>
      <c r="P534" s="50" t="str">
        <f t="shared" si="62"/>
        <v/>
      </c>
      <c r="Q534" s="50" t="e">
        <f t="shared" si="63"/>
        <v>#REF!</v>
      </c>
    </row>
    <row r="535" spans="1:17">
      <c r="A535" s="2" t="s">
        <v>210</v>
      </c>
      <c r="B535" s="44">
        <v>4</v>
      </c>
      <c r="C535" s="44">
        <v>2023</v>
      </c>
      <c r="D535" s="44" t="s">
        <v>211</v>
      </c>
      <c r="E535" s="44" t="s">
        <v>211</v>
      </c>
      <c r="F535" s="31">
        <v>45170</v>
      </c>
      <c r="G535" s="101">
        <f t="shared" si="61"/>
        <v>30</v>
      </c>
      <c r="H535" s="103">
        <f t="shared" si="57"/>
        <v>45184</v>
      </c>
      <c r="I535" s="141">
        <f>_xlfn.XLOOKUP(Table12[[#This Row],[Month Year]],'Modelling New'!D:D,'Modelling New'!N:N)</f>
        <v>10.507</v>
      </c>
      <c r="J535" s="50" t="e">
        <f>'Raw Data'!#REF!/J$1</f>
        <v>#REF!</v>
      </c>
      <c r="K535" s="50" t="e">
        <f>'Raw Data'!#REF!/K$1</f>
        <v>#REF!</v>
      </c>
      <c r="L535" s="50" t="e">
        <f>'Raw Data'!#REF!/L$1</f>
        <v>#REF!</v>
      </c>
      <c r="M535" s="50" t="e">
        <f>'Raw Data'!#REF!/M$1</f>
        <v>#REF!</v>
      </c>
      <c r="N535" s="50" t="e">
        <f>'Raw Data'!#REF!/N$1</f>
        <v>#REF!</v>
      </c>
      <c r="O535" s="50" t="e">
        <f>'Raw Data'!#REF!/O$1</f>
        <v>#REF!</v>
      </c>
      <c r="P535" s="50" t="str">
        <f t="shared" si="62"/>
        <v/>
      </c>
      <c r="Q535" s="50" t="e">
        <f t="shared" si="63"/>
        <v>#REF!</v>
      </c>
    </row>
    <row r="536" spans="1:17">
      <c r="A536" s="2" t="s">
        <v>210</v>
      </c>
      <c r="B536" s="44">
        <v>4</v>
      </c>
      <c r="C536" s="44">
        <v>2023</v>
      </c>
      <c r="D536" s="44" t="s">
        <v>211</v>
      </c>
      <c r="E536" s="44" t="s">
        <v>211</v>
      </c>
      <c r="F536" s="31">
        <v>45170</v>
      </c>
      <c r="G536" s="101">
        <f t="shared" si="61"/>
        <v>30</v>
      </c>
      <c r="H536" s="103">
        <f t="shared" si="57"/>
        <v>45185</v>
      </c>
      <c r="I536" s="141">
        <f>_xlfn.XLOOKUP(Table12[[#This Row],[Month Year]],'Modelling New'!D:D,'Modelling New'!N:N)</f>
        <v>10.507</v>
      </c>
      <c r="J536" s="50" t="e">
        <f>'Raw Data'!#REF!/J$1</f>
        <v>#REF!</v>
      </c>
      <c r="K536" s="50" t="e">
        <f>'Raw Data'!#REF!/K$1</f>
        <v>#REF!</v>
      </c>
      <c r="L536" s="50" t="e">
        <f>'Raw Data'!#REF!/L$1</f>
        <v>#REF!</v>
      </c>
      <c r="M536" s="50" t="e">
        <f>'Raw Data'!#REF!/M$1</f>
        <v>#REF!</v>
      </c>
      <c r="N536" s="50" t="e">
        <f>'Raw Data'!#REF!/N$1</f>
        <v>#REF!</v>
      </c>
      <c r="O536" s="50" t="e">
        <f>'Raw Data'!#REF!/O$1</f>
        <v>#REF!</v>
      </c>
      <c r="P536" s="50" t="str">
        <f t="shared" si="62"/>
        <v/>
      </c>
      <c r="Q536" s="50" t="e">
        <f t="shared" si="63"/>
        <v>#REF!</v>
      </c>
    </row>
    <row r="537" spans="1:17">
      <c r="A537" s="2" t="s">
        <v>210</v>
      </c>
      <c r="B537" s="44">
        <v>4</v>
      </c>
      <c r="C537" s="44">
        <v>2023</v>
      </c>
      <c r="D537" s="44" t="s">
        <v>211</v>
      </c>
      <c r="E537" s="44" t="s">
        <v>211</v>
      </c>
      <c r="F537" s="31">
        <v>45170</v>
      </c>
      <c r="G537" s="101">
        <f t="shared" si="61"/>
        <v>30</v>
      </c>
      <c r="H537" s="103">
        <f t="shared" si="57"/>
        <v>45186</v>
      </c>
      <c r="I537" s="141">
        <f>_xlfn.XLOOKUP(Table12[[#This Row],[Month Year]],'Modelling New'!D:D,'Modelling New'!N:N)</f>
        <v>10.507</v>
      </c>
      <c r="J537" s="50" t="e">
        <f>'Raw Data'!#REF!/J$1</f>
        <v>#REF!</v>
      </c>
      <c r="K537" s="50" t="e">
        <f>'Raw Data'!#REF!/K$1</f>
        <v>#REF!</v>
      </c>
      <c r="L537" s="50" t="e">
        <f>'Raw Data'!#REF!/L$1</f>
        <v>#REF!</v>
      </c>
      <c r="M537" s="50" t="e">
        <f>'Raw Data'!#REF!/M$1</f>
        <v>#REF!</v>
      </c>
      <c r="N537" s="50" t="e">
        <f>'Raw Data'!#REF!/N$1</f>
        <v>#REF!</v>
      </c>
      <c r="O537" s="50" t="e">
        <f>'Raw Data'!#REF!/O$1</f>
        <v>#REF!</v>
      </c>
      <c r="P537" s="50" t="str">
        <f t="shared" si="62"/>
        <v/>
      </c>
      <c r="Q537" s="50" t="e">
        <f t="shared" si="63"/>
        <v>#REF!</v>
      </c>
    </row>
    <row r="538" spans="1:17">
      <c r="A538" s="2" t="s">
        <v>210</v>
      </c>
      <c r="B538" s="44">
        <v>4</v>
      </c>
      <c r="C538" s="44">
        <v>2023</v>
      </c>
      <c r="D538" s="44" t="s">
        <v>211</v>
      </c>
      <c r="E538" s="44" t="s">
        <v>211</v>
      </c>
      <c r="F538" s="31">
        <v>45170</v>
      </c>
      <c r="G538" s="101">
        <f t="shared" si="61"/>
        <v>30</v>
      </c>
      <c r="H538" s="103">
        <f t="shared" si="57"/>
        <v>45187</v>
      </c>
      <c r="I538" s="141">
        <f>_xlfn.XLOOKUP(Table12[[#This Row],[Month Year]],'Modelling New'!D:D,'Modelling New'!N:N)</f>
        <v>10.507</v>
      </c>
      <c r="J538" s="50" t="e">
        <f>'Raw Data'!#REF!/J$1</f>
        <v>#REF!</v>
      </c>
      <c r="K538" s="50" t="e">
        <f>'Raw Data'!#REF!/K$1</f>
        <v>#REF!</v>
      </c>
      <c r="L538" s="50" t="e">
        <f>'Raw Data'!#REF!/L$1</f>
        <v>#REF!</v>
      </c>
      <c r="M538" s="50" t="e">
        <f>'Raw Data'!#REF!/M$1</f>
        <v>#REF!</v>
      </c>
      <c r="N538" s="50" t="e">
        <f>'Raw Data'!#REF!/N$1</f>
        <v>#REF!</v>
      </c>
      <c r="O538" s="50" t="e">
        <f>'Raw Data'!#REF!/O$1</f>
        <v>#REF!</v>
      </c>
      <c r="P538" s="50" t="str">
        <f t="shared" si="62"/>
        <v/>
      </c>
      <c r="Q538" s="50" t="e">
        <f t="shared" si="63"/>
        <v>#REF!</v>
      </c>
    </row>
    <row r="539" spans="1:17">
      <c r="A539" s="2" t="s">
        <v>210</v>
      </c>
      <c r="B539" s="44">
        <v>4</v>
      </c>
      <c r="C539" s="44">
        <v>2023</v>
      </c>
      <c r="D539" s="44" t="s">
        <v>211</v>
      </c>
      <c r="E539" s="44" t="s">
        <v>211</v>
      </c>
      <c r="F539" s="31">
        <v>45170</v>
      </c>
      <c r="G539" s="101">
        <f t="shared" si="61"/>
        <v>30</v>
      </c>
      <c r="H539" s="103">
        <f t="shared" si="57"/>
        <v>45188</v>
      </c>
      <c r="I539" s="141">
        <f>_xlfn.XLOOKUP(Table12[[#This Row],[Month Year]],'Modelling New'!D:D,'Modelling New'!N:N)</f>
        <v>10.507</v>
      </c>
      <c r="J539" s="50" t="e">
        <f>'Raw Data'!#REF!/J$1</f>
        <v>#REF!</v>
      </c>
      <c r="K539" s="50" t="e">
        <f>'Raw Data'!#REF!/K$1</f>
        <v>#REF!</v>
      </c>
      <c r="L539" s="50" t="e">
        <f>'Raw Data'!#REF!/L$1</f>
        <v>#REF!</v>
      </c>
      <c r="M539" s="50" t="e">
        <f>'Raw Data'!#REF!/M$1</f>
        <v>#REF!</v>
      </c>
      <c r="N539" s="50" t="e">
        <f>'Raw Data'!#REF!/N$1</f>
        <v>#REF!</v>
      </c>
      <c r="O539" s="50" t="e">
        <f>'Raw Data'!#REF!/O$1</f>
        <v>#REF!</v>
      </c>
      <c r="P539" s="50" t="str">
        <f t="shared" si="62"/>
        <v/>
      </c>
      <c r="Q539" s="50" t="e">
        <f t="shared" si="63"/>
        <v>#REF!</v>
      </c>
    </row>
    <row r="540" spans="1:17">
      <c r="A540" s="2" t="s">
        <v>210</v>
      </c>
      <c r="B540" s="44">
        <v>4</v>
      </c>
      <c r="C540" s="44">
        <v>2023</v>
      </c>
      <c r="D540" s="44" t="s">
        <v>211</v>
      </c>
      <c r="E540" s="44" t="s">
        <v>211</v>
      </c>
      <c r="F540" s="31">
        <v>45170</v>
      </c>
      <c r="G540" s="101">
        <f t="shared" ref="G540:G564" si="64">DAY(EOMONTH(F540,0))</f>
        <v>30</v>
      </c>
      <c r="H540" s="103">
        <f t="shared" si="57"/>
        <v>45189</v>
      </c>
      <c r="I540" s="141">
        <f>_xlfn.XLOOKUP(Table12[[#This Row],[Month Year]],'Modelling New'!D:D,'Modelling New'!N:N)</f>
        <v>10.507</v>
      </c>
      <c r="J540" s="50" t="e">
        <f>'Raw Data'!#REF!/J$1</f>
        <v>#REF!</v>
      </c>
      <c r="K540" s="50" t="e">
        <f>'Raw Data'!#REF!/K$1</f>
        <v>#REF!</v>
      </c>
      <c r="L540" s="50" t="e">
        <f>'Raw Data'!#REF!/L$1</f>
        <v>#REF!</v>
      </c>
      <c r="M540" s="50" t="e">
        <f>'Raw Data'!#REF!/M$1</f>
        <v>#REF!</v>
      </c>
      <c r="N540" s="50" t="e">
        <f>'Raw Data'!#REF!/N$1</f>
        <v>#REF!</v>
      </c>
      <c r="O540" s="50" t="e">
        <f>'Raw Data'!#REF!/O$1</f>
        <v>#REF!</v>
      </c>
      <c r="P540" s="50" t="str">
        <f t="shared" ref="P540:P564" si="65">IFERROR(AVERAGEIF(J540:O540,"&gt;"&amp;0,J540:O540),"")</f>
        <v/>
      </c>
      <c r="Q540" s="50" t="e">
        <f t="shared" ref="Q540:Q564" si="66">MAXA(J540:O540)</f>
        <v>#REF!</v>
      </c>
    </row>
    <row r="541" spans="1:17">
      <c r="A541" s="2" t="s">
        <v>210</v>
      </c>
      <c r="B541" s="44">
        <v>4</v>
      </c>
      <c r="C541" s="44">
        <v>2023</v>
      </c>
      <c r="D541" s="44" t="s">
        <v>211</v>
      </c>
      <c r="E541" s="44" t="s">
        <v>211</v>
      </c>
      <c r="F541" s="31">
        <v>45170</v>
      </c>
      <c r="G541" s="101">
        <f t="shared" si="64"/>
        <v>30</v>
      </c>
      <c r="H541" s="103">
        <f t="shared" si="57"/>
        <v>45190</v>
      </c>
      <c r="I541" s="141">
        <f>_xlfn.XLOOKUP(Table12[[#This Row],[Month Year]],'Modelling New'!D:D,'Modelling New'!N:N)</f>
        <v>10.507</v>
      </c>
      <c r="J541" s="50" t="e">
        <f>'Raw Data'!#REF!/J$1</f>
        <v>#REF!</v>
      </c>
      <c r="K541" s="50" t="e">
        <f>'Raw Data'!#REF!/K$1</f>
        <v>#REF!</v>
      </c>
      <c r="L541" s="50" t="e">
        <f>'Raw Data'!#REF!/L$1</f>
        <v>#REF!</v>
      </c>
      <c r="M541" s="50" t="e">
        <f>'Raw Data'!#REF!/M$1</f>
        <v>#REF!</v>
      </c>
      <c r="N541" s="50" t="e">
        <f>'Raw Data'!#REF!/N$1</f>
        <v>#REF!</v>
      </c>
      <c r="O541" s="50" t="e">
        <f>'Raw Data'!#REF!/O$1</f>
        <v>#REF!</v>
      </c>
      <c r="P541" s="50" t="str">
        <f t="shared" si="65"/>
        <v/>
      </c>
      <c r="Q541" s="50" t="e">
        <f t="shared" si="66"/>
        <v>#REF!</v>
      </c>
    </row>
    <row r="542" spans="1:17">
      <c r="A542" s="2" t="s">
        <v>210</v>
      </c>
      <c r="B542" s="44">
        <v>4</v>
      </c>
      <c r="C542" s="44">
        <v>2023</v>
      </c>
      <c r="D542" s="44" t="s">
        <v>211</v>
      </c>
      <c r="E542" s="44" t="s">
        <v>211</v>
      </c>
      <c r="F542" s="31">
        <v>45170</v>
      </c>
      <c r="G542" s="101">
        <f t="shared" si="64"/>
        <v>30</v>
      </c>
      <c r="H542" s="103">
        <f t="shared" si="57"/>
        <v>45191</v>
      </c>
      <c r="I542" s="141">
        <f>_xlfn.XLOOKUP(Table12[[#This Row],[Month Year]],'Modelling New'!D:D,'Modelling New'!N:N)</f>
        <v>10.507</v>
      </c>
      <c r="J542" s="50" t="e">
        <f>'Raw Data'!#REF!/J$1</f>
        <v>#REF!</v>
      </c>
      <c r="K542" s="50" t="e">
        <f>'Raw Data'!#REF!/K$1</f>
        <v>#REF!</v>
      </c>
      <c r="L542" s="50" t="e">
        <f>'Raw Data'!#REF!/L$1</f>
        <v>#REF!</v>
      </c>
      <c r="M542" s="50" t="e">
        <f>'Raw Data'!#REF!/M$1</f>
        <v>#REF!</v>
      </c>
      <c r="N542" s="50" t="e">
        <f>'Raw Data'!#REF!/N$1</f>
        <v>#REF!</v>
      </c>
      <c r="O542" s="50" t="e">
        <f>'Raw Data'!#REF!/O$1</f>
        <v>#REF!</v>
      </c>
      <c r="P542" s="50" t="str">
        <f t="shared" si="65"/>
        <v/>
      </c>
      <c r="Q542" s="50" t="e">
        <f t="shared" si="66"/>
        <v>#REF!</v>
      </c>
    </row>
    <row r="543" spans="1:17">
      <c r="A543" s="2" t="s">
        <v>210</v>
      </c>
      <c r="B543" s="44">
        <v>4</v>
      </c>
      <c r="C543" s="44">
        <v>2023</v>
      </c>
      <c r="D543" s="44" t="s">
        <v>211</v>
      </c>
      <c r="E543" s="44" t="s">
        <v>211</v>
      </c>
      <c r="F543" s="31">
        <v>45170</v>
      </c>
      <c r="G543" s="101">
        <f t="shared" si="64"/>
        <v>30</v>
      </c>
      <c r="H543" s="103">
        <f t="shared" si="57"/>
        <v>45192</v>
      </c>
      <c r="I543" s="141">
        <f>_xlfn.XLOOKUP(Table12[[#This Row],[Month Year]],'Modelling New'!D:D,'Modelling New'!N:N)</f>
        <v>10.507</v>
      </c>
      <c r="J543" s="50" t="e">
        <f>'Raw Data'!#REF!/J$1</f>
        <v>#REF!</v>
      </c>
      <c r="K543" s="50" t="e">
        <f>'Raw Data'!#REF!/K$1</f>
        <v>#REF!</v>
      </c>
      <c r="L543" s="50" t="e">
        <f>'Raw Data'!#REF!/L$1</f>
        <v>#REF!</v>
      </c>
      <c r="M543" s="50" t="e">
        <f>'Raw Data'!#REF!/M$1</f>
        <v>#REF!</v>
      </c>
      <c r="N543" s="50" t="e">
        <f>'Raw Data'!#REF!/N$1</f>
        <v>#REF!</v>
      </c>
      <c r="O543" s="50" t="e">
        <f>'Raw Data'!#REF!/O$1</f>
        <v>#REF!</v>
      </c>
      <c r="P543" s="50" t="str">
        <f t="shared" si="65"/>
        <v/>
      </c>
      <c r="Q543" s="50" t="e">
        <f t="shared" si="66"/>
        <v>#REF!</v>
      </c>
    </row>
    <row r="544" spans="1:17">
      <c r="A544" s="2" t="s">
        <v>210</v>
      </c>
      <c r="B544" s="44">
        <v>4</v>
      </c>
      <c r="C544" s="44">
        <v>2023</v>
      </c>
      <c r="D544" s="44" t="s">
        <v>211</v>
      </c>
      <c r="E544" s="44" t="s">
        <v>211</v>
      </c>
      <c r="F544" s="31">
        <v>45170</v>
      </c>
      <c r="G544" s="101">
        <f t="shared" si="64"/>
        <v>30</v>
      </c>
      <c r="H544" s="103">
        <f t="shared" si="57"/>
        <v>45193</v>
      </c>
      <c r="I544" s="141">
        <f>_xlfn.XLOOKUP(Table12[[#This Row],[Month Year]],'Modelling New'!D:D,'Modelling New'!N:N)</f>
        <v>10.507</v>
      </c>
      <c r="J544" s="50" t="e">
        <f>'Raw Data'!#REF!/J$1</f>
        <v>#REF!</v>
      </c>
      <c r="K544" s="50" t="e">
        <f>'Raw Data'!#REF!/K$1</f>
        <v>#REF!</v>
      </c>
      <c r="L544" s="50" t="e">
        <f>'Raw Data'!#REF!/L$1</f>
        <v>#REF!</v>
      </c>
      <c r="M544" s="50" t="e">
        <f>'Raw Data'!#REF!/M$1</f>
        <v>#REF!</v>
      </c>
      <c r="N544" s="50" t="e">
        <f>'Raw Data'!#REF!/N$1</f>
        <v>#REF!</v>
      </c>
      <c r="O544" s="50" t="e">
        <f>'Raw Data'!#REF!/O$1</f>
        <v>#REF!</v>
      </c>
      <c r="P544" s="50" t="str">
        <f t="shared" si="65"/>
        <v/>
      </c>
      <c r="Q544" s="50" t="e">
        <f t="shared" si="66"/>
        <v>#REF!</v>
      </c>
    </row>
    <row r="545" spans="1:17">
      <c r="A545" s="2" t="s">
        <v>210</v>
      </c>
      <c r="B545" s="44">
        <v>4</v>
      </c>
      <c r="C545" s="44">
        <v>2023</v>
      </c>
      <c r="D545" s="44" t="s">
        <v>211</v>
      </c>
      <c r="E545" s="44" t="s">
        <v>211</v>
      </c>
      <c r="F545" s="31">
        <v>45170</v>
      </c>
      <c r="G545" s="101">
        <f t="shared" si="64"/>
        <v>30</v>
      </c>
      <c r="H545" s="103">
        <f t="shared" si="57"/>
        <v>45194</v>
      </c>
      <c r="I545" s="141">
        <f>_xlfn.XLOOKUP(Table12[[#This Row],[Month Year]],'Modelling New'!D:D,'Modelling New'!N:N)</f>
        <v>10.507</v>
      </c>
      <c r="J545" s="50" t="e">
        <f>'Raw Data'!#REF!/J$1</f>
        <v>#REF!</v>
      </c>
      <c r="K545" s="50" t="e">
        <f>'Raw Data'!#REF!/K$1</f>
        <v>#REF!</v>
      </c>
      <c r="L545" s="50" t="e">
        <f>'Raw Data'!#REF!/L$1</f>
        <v>#REF!</v>
      </c>
      <c r="M545" s="50" t="e">
        <f>'Raw Data'!#REF!/M$1</f>
        <v>#REF!</v>
      </c>
      <c r="N545" s="50" t="e">
        <f>'Raw Data'!#REF!/N$1</f>
        <v>#REF!</v>
      </c>
      <c r="O545" s="50" t="e">
        <f>'Raw Data'!#REF!/O$1</f>
        <v>#REF!</v>
      </c>
      <c r="P545" s="50" t="str">
        <f t="shared" si="65"/>
        <v/>
      </c>
      <c r="Q545" s="50" t="e">
        <f t="shared" si="66"/>
        <v>#REF!</v>
      </c>
    </row>
    <row r="546" spans="1:17">
      <c r="A546" s="2" t="s">
        <v>210</v>
      </c>
      <c r="B546" s="44">
        <v>4</v>
      </c>
      <c r="C546" s="44">
        <v>2023</v>
      </c>
      <c r="D546" s="44" t="s">
        <v>211</v>
      </c>
      <c r="E546" s="44" t="s">
        <v>211</v>
      </c>
      <c r="F546" s="31">
        <v>45170</v>
      </c>
      <c r="G546" s="101">
        <f t="shared" si="64"/>
        <v>30</v>
      </c>
      <c r="H546" s="103">
        <f t="shared" si="57"/>
        <v>45195</v>
      </c>
      <c r="I546" s="141">
        <f>_xlfn.XLOOKUP(Table12[[#This Row],[Month Year]],'Modelling New'!D:D,'Modelling New'!N:N)</f>
        <v>10.507</v>
      </c>
      <c r="J546" s="50" t="e">
        <f>'Raw Data'!#REF!/J$1</f>
        <v>#REF!</v>
      </c>
      <c r="K546" s="50" t="e">
        <f>'Raw Data'!#REF!/K$1</f>
        <v>#REF!</v>
      </c>
      <c r="L546" s="50" t="e">
        <f>'Raw Data'!#REF!/L$1</f>
        <v>#REF!</v>
      </c>
      <c r="M546" s="50" t="e">
        <f>'Raw Data'!#REF!/M$1</f>
        <v>#REF!</v>
      </c>
      <c r="N546" s="50" t="e">
        <f>'Raw Data'!#REF!/N$1</f>
        <v>#REF!</v>
      </c>
      <c r="O546" s="50" t="e">
        <f>'Raw Data'!#REF!/O$1</f>
        <v>#REF!</v>
      </c>
      <c r="P546" s="50" t="str">
        <f t="shared" si="65"/>
        <v/>
      </c>
      <c r="Q546" s="50" t="e">
        <f t="shared" si="66"/>
        <v>#REF!</v>
      </c>
    </row>
    <row r="547" spans="1:17">
      <c r="A547" s="2" t="s">
        <v>210</v>
      </c>
      <c r="B547" s="44">
        <v>4</v>
      </c>
      <c r="C547" s="44">
        <v>2023</v>
      </c>
      <c r="D547" s="44" t="s">
        <v>211</v>
      </c>
      <c r="E547" s="44" t="s">
        <v>211</v>
      </c>
      <c r="F547" s="31">
        <v>45170</v>
      </c>
      <c r="G547" s="101">
        <f t="shared" si="64"/>
        <v>30</v>
      </c>
      <c r="H547" s="103">
        <f t="shared" si="57"/>
        <v>45196</v>
      </c>
      <c r="I547" s="141">
        <f>_xlfn.XLOOKUP(Table12[[#This Row],[Month Year]],'Modelling New'!D:D,'Modelling New'!N:N)</f>
        <v>10.507</v>
      </c>
      <c r="J547" s="50" t="e">
        <f>'Raw Data'!#REF!/J$1</f>
        <v>#REF!</v>
      </c>
      <c r="K547" s="50" t="e">
        <f>'Raw Data'!#REF!/K$1</f>
        <v>#REF!</v>
      </c>
      <c r="L547" s="50" t="e">
        <f>'Raw Data'!#REF!/L$1</f>
        <v>#REF!</v>
      </c>
      <c r="M547" s="50" t="e">
        <f>'Raw Data'!#REF!/M$1</f>
        <v>#REF!</v>
      </c>
      <c r="N547" s="50" t="e">
        <f>'Raw Data'!#REF!/N$1</f>
        <v>#REF!</v>
      </c>
      <c r="O547" s="50" t="e">
        <f>'Raw Data'!#REF!/O$1</f>
        <v>#REF!</v>
      </c>
      <c r="P547" s="50" t="str">
        <f t="shared" si="65"/>
        <v/>
      </c>
      <c r="Q547" s="50" t="e">
        <f t="shared" si="66"/>
        <v>#REF!</v>
      </c>
    </row>
    <row r="548" spans="1:17">
      <c r="A548" s="2" t="s">
        <v>210</v>
      </c>
      <c r="B548" s="44">
        <v>4</v>
      </c>
      <c r="C548" s="44">
        <v>2023</v>
      </c>
      <c r="D548" s="44" t="s">
        <v>211</v>
      </c>
      <c r="E548" s="44" t="s">
        <v>211</v>
      </c>
      <c r="F548" s="31">
        <v>45170</v>
      </c>
      <c r="G548" s="101">
        <f t="shared" si="64"/>
        <v>30</v>
      </c>
      <c r="H548" s="103">
        <f t="shared" si="57"/>
        <v>45197</v>
      </c>
      <c r="I548" s="141">
        <f>_xlfn.XLOOKUP(Table12[[#This Row],[Month Year]],'Modelling New'!D:D,'Modelling New'!N:N)</f>
        <v>10.507</v>
      </c>
      <c r="J548" s="50" t="e">
        <f>'Raw Data'!#REF!/J$1</f>
        <v>#REF!</v>
      </c>
      <c r="K548" s="50" t="e">
        <f>'Raw Data'!#REF!/K$1</f>
        <v>#REF!</v>
      </c>
      <c r="L548" s="50" t="e">
        <f>'Raw Data'!#REF!/L$1</f>
        <v>#REF!</v>
      </c>
      <c r="M548" s="50" t="e">
        <f>'Raw Data'!#REF!/M$1</f>
        <v>#REF!</v>
      </c>
      <c r="N548" s="50" t="e">
        <f>'Raw Data'!#REF!/N$1</f>
        <v>#REF!</v>
      </c>
      <c r="O548" s="50" t="e">
        <f>'Raw Data'!#REF!/O$1</f>
        <v>#REF!</v>
      </c>
      <c r="P548" s="50" t="str">
        <f t="shared" si="65"/>
        <v/>
      </c>
      <c r="Q548" s="50" t="e">
        <f t="shared" si="66"/>
        <v>#REF!</v>
      </c>
    </row>
    <row r="549" spans="1:17">
      <c r="A549" s="2" t="s">
        <v>210</v>
      </c>
      <c r="B549" s="44">
        <v>4</v>
      </c>
      <c r="C549" s="44">
        <v>2023</v>
      </c>
      <c r="D549" s="44" t="s">
        <v>211</v>
      </c>
      <c r="E549" s="44" t="s">
        <v>211</v>
      </c>
      <c r="F549" s="31">
        <v>45170</v>
      </c>
      <c r="G549" s="101">
        <f t="shared" si="64"/>
        <v>30</v>
      </c>
      <c r="H549" s="103">
        <f t="shared" si="57"/>
        <v>45198</v>
      </c>
      <c r="I549" s="141">
        <f>_xlfn.XLOOKUP(Table12[[#This Row],[Month Year]],'Modelling New'!D:D,'Modelling New'!N:N)</f>
        <v>10.507</v>
      </c>
      <c r="J549" s="50" t="e">
        <f>'Raw Data'!#REF!/J$1</f>
        <v>#REF!</v>
      </c>
      <c r="K549" s="50" t="e">
        <f>'Raw Data'!#REF!/K$1</f>
        <v>#REF!</v>
      </c>
      <c r="L549" s="50" t="e">
        <f>'Raw Data'!#REF!/L$1</f>
        <v>#REF!</v>
      </c>
      <c r="M549" s="50" t="e">
        <f>'Raw Data'!#REF!/M$1</f>
        <v>#REF!</v>
      </c>
      <c r="N549" s="50" t="e">
        <f>'Raw Data'!#REF!/N$1</f>
        <v>#REF!</v>
      </c>
      <c r="O549" s="50" t="e">
        <f>'Raw Data'!#REF!/O$1</f>
        <v>#REF!</v>
      </c>
      <c r="P549" s="50" t="str">
        <f t="shared" si="65"/>
        <v/>
      </c>
      <c r="Q549" s="50" t="e">
        <f t="shared" si="66"/>
        <v>#REF!</v>
      </c>
    </row>
    <row r="550" spans="1:17">
      <c r="A550" s="2" t="s">
        <v>210</v>
      </c>
      <c r="B550" s="44">
        <v>4</v>
      </c>
      <c r="C550" s="44">
        <v>2023</v>
      </c>
      <c r="D550" s="44" t="s">
        <v>211</v>
      </c>
      <c r="E550" s="44" t="s">
        <v>211</v>
      </c>
      <c r="F550" s="31">
        <v>45170</v>
      </c>
      <c r="G550" s="101">
        <f t="shared" si="64"/>
        <v>30</v>
      </c>
      <c r="H550" s="103">
        <f t="shared" si="57"/>
        <v>45199</v>
      </c>
      <c r="I550" s="141">
        <f>_xlfn.XLOOKUP(Table12[[#This Row],[Month Year]],'Modelling New'!D:D,'Modelling New'!N:N)</f>
        <v>10.507</v>
      </c>
      <c r="J550" s="50" t="e">
        <f>'Raw Data'!#REF!/J$1</f>
        <v>#REF!</v>
      </c>
      <c r="K550" s="50" t="e">
        <f>'Raw Data'!#REF!/K$1</f>
        <v>#REF!</v>
      </c>
      <c r="L550" s="50" t="e">
        <f>'Raw Data'!#REF!/L$1</f>
        <v>#REF!</v>
      </c>
      <c r="M550" s="50" t="e">
        <f>'Raw Data'!#REF!/M$1</f>
        <v>#REF!</v>
      </c>
      <c r="N550" s="50" t="e">
        <f>'Raw Data'!#REF!/N$1</f>
        <v>#REF!</v>
      </c>
      <c r="O550" s="50" t="e">
        <f>'Raw Data'!#REF!/O$1</f>
        <v>#REF!</v>
      </c>
      <c r="P550" s="50" t="str">
        <f t="shared" si="65"/>
        <v/>
      </c>
      <c r="Q550" s="50" t="e">
        <f t="shared" si="66"/>
        <v>#REF!</v>
      </c>
    </row>
    <row r="551" spans="1:17">
      <c r="A551" s="2" t="s">
        <v>210</v>
      </c>
      <c r="B551" s="44">
        <v>4</v>
      </c>
      <c r="C551" s="44">
        <v>2023</v>
      </c>
      <c r="D551" s="44" t="s">
        <v>211</v>
      </c>
      <c r="E551" s="44" t="s">
        <v>211</v>
      </c>
      <c r="F551" s="31">
        <v>45200</v>
      </c>
      <c r="G551" s="101">
        <f t="shared" si="64"/>
        <v>31</v>
      </c>
      <c r="H551" s="103">
        <f t="shared" si="57"/>
        <v>45200</v>
      </c>
      <c r="I551" s="141">
        <f>_xlfn.XLOOKUP(Table12[[#This Row],[Month Year]],'Modelling New'!D:D,'Modelling New'!N:N)</f>
        <v>10.507</v>
      </c>
      <c r="J551" s="50" t="e">
        <f>'Raw Data'!#REF!/J$1</f>
        <v>#REF!</v>
      </c>
      <c r="K551" s="50" t="e">
        <f>'Raw Data'!#REF!/K$1</f>
        <v>#REF!</v>
      </c>
      <c r="L551" s="50" t="e">
        <f>'Raw Data'!#REF!/L$1</f>
        <v>#REF!</v>
      </c>
      <c r="M551" s="50" t="e">
        <f>'Raw Data'!#REF!/M$1</f>
        <v>#REF!</v>
      </c>
      <c r="N551" s="50" t="e">
        <f>'Raw Data'!#REF!/N$1</f>
        <v>#REF!</v>
      </c>
      <c r="O551" s="50" t="e">
        <f>'Raw Data'!#REF!/O$1</f>
        <v>#REF!</v>
      </c>
      <c r="P551" s="50" t="str">
        <f t="shared" si="65"/>
        <v/>
      </c>
      <c r="Q551" s="50" t="e">
        <f t="shared" si="66"/>
        <v>#REF!</v>
      </c>
    </row>
    <row r="552" spans="1:17">
      <c r="A552" s="2" t="s">
        <v>210</v>
      </c>
      <c r="B552" s="44">
        <v>4</v>
      </c>
      <c r="C552" s="44">
        <v>2023</v>
      </c>
      <c r="D552" s="44" t="s">
        <v>211</v>
      </c>
      <c r="E552" s="44" t="s">
        <v>211</v>
      </c>
      <c r="F552" s="31">
        <v>45200</v>
      </c>
      <c r="G552" s="101">
        <f t="shared" si="64"/>
        <v>31</v>
      </c>
      <c r="H552" s="103">
        <f t="shared" si="57"/>
        <v>45201</v>
      </c>
      <c r="I552" s="141">
        <f>_xlfn.XLOOKUP(Table12[[#This Row],[Month Year]],'Modelling New'!D:D,'Modelling New'!N:N)</f>
        <v>10.507</v>
      </c>
      <c r="J552" s="50" t="e">
        <f>'Raw Data'!#REF!/J$1</f>
        <v>#REF!</v>
      </c>
      <c r="K552" s="50" t="e">
        <f>'Raw Data'!#REF!/K$1</f>
        <v>#REF!</v>
      </c>
      <c r="L552" s="50" t="e">
        <f>'Raw Data'!#REF!/L$1</f>
        <v>#REF!</v>
      </c>
      <c r="M552" s="50" t="e">
        <f>'Raw Data'!#REF!/M$1</f>
        <v>#REF!</v>
      </c>
      <c r="N552" s="50" t="e">
        <f>'Raw Data'!#REF!/N$1</f>
        <v>#REF!</v>
      </c>
      <c r="O552" s="50" t="e">
        <f>'Raw Data'!#REF!/O$1</f>
        <v>#REF!</v>
      </c>
      <c r="P552" s="50" t="str">
        <f t="shared" si="65"/>
        <v/>
      </c>
      <c r="Q552" s="50" t="e">
        <f t="shared" si="66"/>
        <v>#REF!</v>
      </c>
    </row>
    <row r="553" spans="1:17">
      <c r="A553" s="2" t="s">
        <v>210</v>
      </c>
      <c r="B553" s="44">
        <v>4</v>
      </c>
      <c r="C553" s="44">
        <v>2023</v>
      </c>
      <c r="D553" s="44" t="s">
        <v>211</v>
      </c>
      <c r="E553" s="44" t="s">
        <v>211</v>
      </c>
      <c r="F553" s="31">
        <v>45200</v>
      </c>
      <c r="G553" s="101">
        <f t="shared" si="64"/>
        <v>31</v>
      </c>
      <c r="H553" s="103">
        <f t="shared" si="57"/>
        <v>45202</v>
      </c>
      <c r="I553" s="141">
        <f>_xlfn.XLOOKUP(Table12[[#This Row],[Month Year]],'Modelling New'!D:D,'Modelling New'!N:N)</f>
        <v>10.507</v>
      </c>
      <c r="J553" s="50" t="e">
        <f>'Raw Data'!#REF!/J$1</f>
        <v>#REF!</v>
      </c>
      <c r="K553" s="50" t="e">
        <f>'Raw Data'!#REF!/K$1</f>
        <v>#REF!</v>
      </c>
      <c r="L553" s="50" t="e">
        <f>'Raw Data'!#REF!/L$1</f>
        <v>#REF!</v>
      </c>
      <c r="M553" s="50" t="e">
        <f>'Raw Data'!#REF!/M$1</f>
        <v>#REF!</v>
      </c>
      <c r="N553" s="50" t="e">
        <f>'Raw Data'!#REF!/N$1</f>
        <v>#REF!</v>
      </c>
      <c r="O553" s="50" t="e">
        <f>'Raw Data'!#REF!/O$1</f>
        <v>#REF!</v>
      </c>
      <c r="P553" s="50" t="str">
        <f t="shared" si="65"/>
        <v/>
      </c>
      <c r="Q553" s="50" t="e">
        <f t="shared" si="66"/>
        <v>#REF!</v>
      </c>
    </row>
    <row r="554" spans="1:17">
      <c r="A554" s="2" t="s">
        <v>210</v>
      </c>
      <c r="B554" s="44">
        <v>4</v>
      </c>
      <c r="C554" s="44">
        <v>2023</v>
      </c>
      <c r="D554" s="44" t="s">
        <v>211</v>
      </c>
      <c r="E554" s="44" t="s">
        <v>211</v>
      </c>
      <c r="F554" s="31">
        <v>45200</v>
      </c>
      <c r="G554" s="101">
        <f t="shared" si="64"/>
        <v>31</v>
      </c>
      <c r="H554" s="103">
        <f t="shared" si="57"/>
        <v>45203</v>
      </c>
      <c r="I554" s="141">
        <f>_xlfn.XLOOKUP(Table12[[#This Row],[Month Year]],'Modelling New'!D:D,'Modelling New'!N:N)</f>
        <v>10.507</v>
      </c>
      <c r="J554" s="50" t="e">
        <f>'Raw Data'!#REF!/J$1</f>
        <v>#REF!</v>
      </c>
      <c r="K554" s="50" t="e">
        <f>'Raw Data'!#REF!/K$1</f>
        <v>#REF!</v>
      </c>
      <c r="L554" s="50" t="e">
        <f>'Raw Data'!#REF!/L$1</f>
        <v>#REF!</v>
      </c>
      <c r="M554" s="50" t="e">
        <f>'Raw Data'!#REF!/M$1</f>
        <v>#REF!</v>
      </c>
      <c r="N554" s="50" t="e">
        <f>'Raw Data'!#REF!/N$1</f>
        <v>#REF!</v>
      </c>
      <c r="O554" s="50" t="e">
        <f>'Raw Data'!#REF!/O$1</f>
        <v>#REF!</v>
      </c>
      <c r="P554" s="50" t="str">
        <f t="shared" si="65"/>
        <v/>
      </c>
      <c r="Q554" s="50" t="e">
        <f t="shared" si="66"/>
        <v>#REF!</v>
      </c>
    </row>
    <row r="555" spans="1:17">
      <c r="A555" s="2" t="s">
        <v>210</v>
      </c>
      <c r="B555" s="44">
        <v>4</v>
      </c>
      <c r="C555" s="44">
        <v>2023</v>
      </c>
      <c r="D555" s="44" t="s">
        <v>211</v>
      </c>
      <c r="E555" s="44" t="s">
        <v>211</v>
      </c>
      <c r="F555" s="31">
        <v>45200</v>
      </c>
      <c r="G555" s="101">
        <f t="shared" si="64"/>
        <v>31</v>
      </c>
      <c r="H555" s="103">
        <f t="shared" si="57"/>
        <v>45204</v>
      </c>
      <c r="I555" s="141">
        <f>_xlfn.XLOOKUP(Table12[[#This Row],[Month Year]],'Modelling New'!D:D,'Modelling New'!N:N)</f>
        <v>10.507</v>
      </c>
      <c r="J555" s="50" t="e">
        <f>'Raw Data'!#REF!/J$1</f>
        <v>#REF!</v>
      </c>
      <c r="K555" s="50" t="e">
        <f>'Raw Data'!#REF!/K$1</f>
        <v>#REF!</v>
      </c>
      <c r="L555" s="50" t="e">
        <f>'Raw Data'!#REF!/L$1</f>
        <v>#REF!</v>
      </c>
      <c r="M555" s="50" t="e">
        <f>'Raw Data'!#REF!/M$1</f>
        <v>#REF!</v>
      </c>
      <c r="N555" s="50" t="e">
        <f>'Raw Data'!#REF!/N$1</f>
        <v>#REF!</v>
      </c>
      <c r="O555" s="50" t="e">
        <f>'Raw Data'!#REF!/O$1</f>
        <v>#REF!</v>
      </c>
      <c r="P555" s="50" t="str">
        <f t="shared" si="65"/>
        <v/>
      </c>
      <c r="Q555" s="50" t="e">
        <f t="shared" si="66"/>
        <v>#REF!</v>
      </c>
    </row>
    <row r="556" spans="1:17">
      <c r="A556" s="2" t="s">
        <v>210</v>
      </c>
      <c r="B556" s="44">
        <v>4</v>
      </c>
      <c r="C556" s="44">
        <v>2023</v>
      </c>
      <c r="D556" s="44" t="s">
        <v>211</v>
      </c>
      <c r="E556" s="44" t="s">
        <v>211</v>
      </c>
      <c r="F556" s="31">
        <v>45200</v>
      </c>
      <c r="G556" s="101">
        <f t="shared" si="64"/>
        <v>31</v>
      </c>
      <c r="H556" s="103">
        <f t="shared" si="57"/>
        <v>45205</v>
      </c>
      <c r="I556" s="141">
        <f>_xlfn.XLOOKUP(Table12[[#This Row],[Month Year]],'Modelling New'!D:D,'Modelling New'!N:N)</f>
        <v>10.507</v>
      </c>
      <c r="J556" s="50" t="e">
        <f>'Raw Data'!#REF!/J$1</f>
        <v>#REF!</v>
      </c>
      <c r="K556" s="50" t="e">
        <f>'Raw Data'!#REF!/K$1</f>
        <v>#REF!</v>
      </c>
      <c r="L556" s="50" t="e">
        <f>'Raw Data'!#REF!/L$1</f>
        <v>#REF!</v>
      </c>
      <c r="M556" s="50" t="e">
        <f>'Raw Data'!#REF!/M$1</f>
        <v>#REF!</v>
      </c>
      <c r="N556" s="50" t="e">
        <f>'Raw Data'!#REF!/N$1</f>
        <v>#REF!</v>
      </c>
      <c r="O556" s="50" t="e">
        <f>'Raw Data'!#REF!/O$1</f>
        <v>#REF!</v>
      </c>
      <c r="P556" s="50" t="str">
        <f t="shared" si="65"/>
        <v/>
      </c>
      <c r="Q556" s="50" t="e">
        <f t="shared" si="66"/>
        <v>#REF!</v>
      </c>
    </row>
    <row r="557" spans="1:17">
      <c r="A557" s="2" t="s">
        <v>210</v>
      </c>
      <c r="B557" s="44">
        <v>4</v>
      </c>
      <c r="C557" s="44">
        <v>2023</v>
      </c>
      <c r="D557" s="44" t="s">
        <v>211</v>
      </c>
      <c r="E557" s="44" t="s">
        <v>211</v>
      </c>
      <c r="F557" s="31">
        <v>45200</v>
      </c>
      <c r="G557" s="101">
        <f t="shared" si="64"/>
        <v>31</v>
      </c>
      <c r="H557" s="103">
        <f t="shared" si="57"/>
        <v>45206</v>
      </c>
      <c r="I557" s="141">
        <f>_xlfn.XLOOKUP(Table12[[#This Row],[Month Year]],'Modelling New'!D:D,'Modelling New'!N:N)</f>
        <v>10.507</v>
      </c>
      <c r="J557" s="50" t="e">
        <f>'Raw Data'!#REF!/J$1</f>
        <v>#REF!</v>
      </c>
      <c r="K557" s="50" t="e">
        <f>'Raw Data'!#REF!/K$1</f>
        <v>#REF!</v>
      </c>
      <c r="L557" s="50" t="e">
        <f>'Raw Data'!#REF!/L$1</f>
        <v>#REF!</v>
      </c>
      <c r="M557" s="50" t="e">
        <f>'Raw Data'!#REF!/M$1</f>
        <v>#REF!</v>
      </c>
      <c r="N557" s="50" t="e">
        <f>'Raw Data'!#REF!/N$1</f>
        <v>#REF!</v>
      </c>
      <c r="O557" s="50" t="e">
        <f>'Raw Data'!#REF!/O$1</f>
        <v>#REF!</v>
      </c>
      <c r="P557" s="50" t="str">
        <f t="shared" si="65"/>
        <v/>
      </c>
      <c r="Q557" s="50" t="e">
        <f t="shared" si="66"/>
        <v>#REF!</v>
      </c>
    </row>
    <row r="558" spans="1:17">
      <c r="A558" s="2" t="s">
        <v>210</v>
      </c>
      <c r="B558" s="44">
        <v>4</v>
      </c>
      <c r="C558" s="44">
        <v>2023</v>
      </c>
      <c r="D558" s="44" t="s">
        <v>211</v>
      </c>
      <c r="E558" s="44" t="s">
        <v>211</v>
      </c>
      <c r="F558" s="31">
        <v>45200</v>
      </c>
      <c r="G558" s="101">
        <f t="shared" si="64"/>
        <v>31</v>
      </c>
      <c r="H558" s="103">
        <f t="shared" si="57"/>
        <v>45207</v>
      </c>
      <c r="I558" s="141">
        <f>_xlfn.XLOOKUP(Table12[[#This Row],[Month Year]],'Modelling New'!D:D,'Modelling New'!N:N)</f>
        <v>10.507</v>
      </c>
      <c r="J558" s="50" t="e">
        <f>'Raw Data'!#REF!/J$1</f>
        <v>#REF!</v>
      </c>
      <c r="K558" s="50" t="e">
        <f>'Raw Data'!#REF!/K$1</f>
        <v>#REF!</v>
      </c>
      <c r="L558" s="50" t="e">
        <f>'Raw Data'!#REF!/L$1</f>
        <v>#REF!</v>
      </c>
      <c r="M558" s="50" t="e">
        <f>'Raw Data'!#REF!/M$1</f>
        <v>#REF!</v>
      </c>
      <c r="N558" s="50" t="e">
        <f>'Raw Data'!#REF!/N$1</f>
        <v>#REF!</v>
      </c>
      <c r="O558" s="50" t="e">
        <f>'Raw Data'!#REF!/O$1</f>
        <v>#REF!</v>
      </c>
      <c r="P558" s="50" t="str">
        <f t="shared" si="65"/>
        <v/>
      </c>
      <c r="Q558" s="50" t="e">
        <f t="shared" si="66"/>
        <v>#REF!</v>
      </c>
    </row>
    <row r="559" spans="1:17">
      <c r="A559" s="2" t="s">
        <v>210</v>
      </c>
      <c r="B559" s="44">
        <v>4</v>
      </c>
      <c r="C559" s="44">
        <v>2023</v>
      </c>
      <c r="D559" s="44" t="s">
        <v>211</v>
      </c>
      <c r="E559" s="44" t="s">
        <v>211</v>
      </c>
      <c r="F559" s="31">
        <v>45200</v>
      </c>
      <c r="G559" s="101">
        <f t="shared" si="64"/>
        <v>31</v>
      </c>
      <c r="H559" s="103">
        <f t="shared" si="57"/>
        <v>45208</v>
      </c>
      <c r="I559" s="141">
        <f>_xlfn.XLOOKUP(Table12[[#This Row],[Month Year]],'Modelling New'!D:D,'Modelling New'!N:N)</f>
        <v>10.507</v>
      </c>
      <c r="J559" s="50" t="e">
        <f>'Raw Data'!#REF!/J$1</f>
        <v>#REF!</v>
      </c>
      <c r="K559" s="50" t="e">
        <f>'Raw Data'!#REF!/K$1</f>
        <v>#REF!</v>
      </c>
      <c r="L559" s="50" t="e">
        <f>'Raw Data'!#REF!/L$1</f>
        <v>#REF!</v>
      </c>
      <c r="M559" s="50" t="e">
        <f>'Raw Data'!#REF!/M$1</f>
        <v>#REF!</v>
      </c>
      <c r="N559" s="50" t="e">
        <f>'Raw Data'!#REF!/N$1</f>
        <v>#REF!</v>
      </c>
      <c r="O559" s="50" t="e">
        <f>'Raw Data'!#REF!/O$1</f>
        <v>#REF!</v>
      </c>
      <c r="P559" s="50" t="str">
        <f t="shared" si="65"/>
        <v/>
      </c>
      <c r="Q559" s="50" t="e">
        <f t="shared" si="66"/>
        <v>#REF!</v>
      </c>
    </row>
    <row r="560" spans="1:17">
      <c r="A560" s="2" t="s">
        <v>210</v>
      </c>
      <c r="B560" s="44">
        <v>4</v>
      </c>
      <c r="C560" s="44">
        <v>2023</v>
      </c>
      <c r="D560" s="44" t="s">
        <v>211</v>
      </c>
      <c r="E560" s="44" t="s">
        <v>211</v>
      </c>
      <c r="F560" s="31">
        <v>45200</v>
      </c>
      <c r="G560" s="101">
        <f t="shared" si="64"/>
        <v>31</v>
      </c>
      <c r="H560" s="103">
        <f t="shared" si="57"/>
        <v>45209</v>
      </c>
      <c r="I560" s="141">
        <f>_xlfn.XLOOKUP(Table12[[#This Row],[Month Year]],'Modelling New'!D:D,'Modelling New'!N:N)</f>
        <v>10.507</v>
      </c>
      <c r="J560" s="50" t="e">
        <f>'Raw Data'!#REF!/J$1</f>
        <v>#REF!</v>
      </c>
      <c r="K560" s="50" t="e">
        <f>'Raw Data'!#REF!/K$1</f>
        <v>#REF!</v>
      </c>
      <c r="L560" s="50" t="e">
        <f>'Raw Data'!#REF!/L$1</f>
        <v>#REF!</v>
      </c>
      <c r="M560" s="50" t="e">
        <f>'Raw Data'!#REF!/M$1</f>
        <v>#REF!</v>
      </c>
      <c r="N560" s="50" t="e">
        <f>'Raw Data'!#REF!/N$1</f>
        <v>#REF!</v>
      </c>
      <c r="O560" s="50" t="e">
        <f>'Raw Data'!#REF!/O$1</f>
        <v>#REF!</v>
      </c>
      <c r="P560" s="50" t="str">
        <f t="shared" si="65"/>
        <v/>
      </c>
      <c r="Q560" s="50" t="e">
        <f t="shared" si="66"/>
        <v>#REF!</v>
      </c>
    </row>
    <row r="561" spans="1:17">
      <c r="A561" s="2" t="s">
        <v>210</v>
      </c>
      <c r="B561" s="44">
        <v>4</v>
      </c>
      <c r="C561" s="44">
        <v>2023</v>
      </c>
      <c r="D561" s="44" t="s">
        <v>211</v>
      </c>
      <c r="E561" s="44" t="s">
        <v>211</v>
      </c>
      <c r="F561" s="31">
        <v>45200</v>
      </c>
      <c r="G561" s="101">
        <f t="shared" si="64"/>
        <v>31</v>
      </c>
      <c r="H561" s="103">
        <f t="shared" si="57"/>
        <v>45210</v>
      </c>
      <c r="I561" s="141">
        <f>_xlfn.XLOOKUP(Table12[[#This Row],[Month Year]],'Modelling New'!D:D,'Modelling New'!N:N)</f>
        <v>10.507</v>
      </c>
      <c r="J561" s="50" t="e">
        <f>'Raw Data'!#REF!/J$1</f>
        <v>#REF!</v>
      </c>
      <c r="K561" s="50" t="e">
        <f>'Raw Data'!#REF!/K$1</f>
        <v>#REF!</v>
      </c>
      <c r="L561" s="50" t="e">
        <f>'Raw Data'!#REF!/L$1</f>
        <v>#REF!</v>
      </c>
      <c r="M561" s="50" t="e">
        <f>'Raw Data'!#REF!/M$1</f>
        <v>#REF!</v>
      </c>
      <c r="N561" s="50" t="e">
        <f>'Raw Data'!#REF!/N$1</f>
        <v>#REF!</v>
      </c>
      <c r="O561" s="50" t="e">
        <f>'Raw Data'!#REF!/O$1</f>
        <v>#REF!</v>
      </c>
      <c r="P561" s="50" t="str">
        <f t="shared" si="65"/>
        <v/>
      </c>
      <c r="Q561" s="50" t="e">
        <f t="shared" si="66"/>
        <v>#REF!</v>
      </c>
    </row>
    <row r="562" spans="1:17">
      <c r="A562" s="2" t="s">
        <v>210</v>
      </c>
      <c r="B562" s="44">
        <v>4</v>
      </c>
      <c r="C562" s="44">
        <v>2023</v>
      </c>
      <c r="D562" s="44" t="s">
        <v>211</v>
      </c>
      <c r="E562" s="44" t="s">
        <v>211</v>
      </c>
      <c r="F562" s="31">
        <v>45200</v>
      </c>
      <c r="G562" s="101">
        <f t="shared" si="64"/>
        <v>31</v>
      </c>
      <c r="H562" s="103">
        <f t="shared" si="57"/>
        <v>45211</v>
      </c>
      <c r="I562" s="141">
        <f>_xlfn.XLOOKUP(Table12[[#This Row],[Month Year]],'Modelling New'!D:D,'Modelling New'!N:N)</f>
        <v>10.507</v>
      </c>
      <c r="J562" s="50" t="e">
        <f>'Raw Data'!#REF!/J$1</f>
        <v>#REF!</v>
      </c>
      <c r="K562" s="50" t="e">
        <f>'Raw Data'!#REF!/K$1</f>
        <v>#REF!</v>
      </c>
      <c r="L562" s="50" t="e">
        <f>'Raw Data'!#REF!/L$1</f>
        <v>#REF!</v>
      </c>
      <c r="M562" s="50" t="e">
        <f>'Raw Data'!#REF!/M$1</f>
        <v>#REF!</v>
      </c>
      <c r="N562" s="50" t="e">
        <f>'Raw Data'!#REF!/N$1</f>
        <v>#REF!</v>
      </c>
      <c r="O562" s="50" t="e">
        <f>'Raw Data'!#REF!/O$1</f>
        <v>#REF!</v>
      </c>
      <c r="P562" s="50" t="str">
        <f t="shared" si="65"/>
        <v/>
      </c>
      <c r="Q562" s="50" t="e">
        <f t="shared" si="66"/>
        <v>#REF!</v>
      </c>
    </row>
    <row r="563" spans="1:17">
      <c r="A563" s="2" t="s">
        <v>210</v>
      </c>
      <c r="B563" s="44">
        <v>4</v>
      </c>
      <c r="C563" s="44">
        <v>2023</v>
      </c>
      <c r="D563" s="44" t="s">
        <v>211</v>
      </c>
      <c r="E563" s="44" t="s">
        <v>211</v>
      </c>
      <c r="F563" s="31">
        <v>45200</v>
      </c>
      <c r="G563" s="101">
        <f t="shared" si="64"/>
        <v>31</v>
      </c>
      <c r="H563" s="103">
        <f t="shared" si="57"/>
        <v>45212</v>
      </c>
      <c r="I563" s="141">
        <f>_xlfn.XLOOKUP(Table12[[#This Row],[Month Year]],'Modelling New'!D:D,'Modelling New'!N:N)</f>
        <v>10.507</v>
      </c>
      <c r="J563" s="50" t="e">
        <f>'Raw Data'!#REF!/J$1</f>
        <v>#REF!</v>
      </c>
      <c r="K563" s="50" t="e">
        <f>'Raw Data'!#REF!/K$1</f>
        <v>#REF!</v>
      </c>
      <c r="L563" s="50" t="e">
        <f>'Raw Data'!#REF!/L$1</f>
        <v>#REF!</v>
      </c>
      <c r="M563" s="50" t="e">
        <f>'Raw Data'!#REF!/M$1</f>
        <v>#REF!</v>
      </c>
      <c r="N563" s="50" t="e">
        <f>'Raw Data'!#REF!/N$1</f>
        <v>#REF!</v>
      </c>
      <c r="O563" s="50" t="e">
        <f>'Raw Data'!#REF!/O$1</f>
        <v>#REF!</v>
      </c>
      <c r="P563" s="50" t="str">
        <f t="shared" si="65"/>
        <v/>
      </c>
      <c r="Q563" s="50" t="e">
        <f t="shared" si="66"/>
        <v>#REF!</v>
      </c>
    </row>
    <row r="564" spans="1:17">
      <c r="A564" s="2" t="s">
        <v>210</v>
      </c>
      <c r="B564" s="44">
        <v>4</v>
      </c>
      <c r="C564" s="44">
        <v>2023</v>
      </c>
      <c r="D564" s="44" t="s">
        <v>211</v>
      </c>
      <c r="E564" s="44" t="s">
        <v>211</v>
      </c>
      <c r="F564" s="31">
        <v>45200</v>
      </c>
      <c r="G564" s="101">
        <f t="shared" si="64"/>
        <v>31</v>
      </c>
      <c r="H564" s="103">
        <f t="shared" si="57"/>
        <v>45213</v>
      </c>
      <c r="I564" s="141">
        <f>_xlfn.XLOOKUP(Table12[[#This Row],[Month Year]],'Modelling New'!D:D,'Modelling New'!N:N)</f>
        <v>10.507</v>
      </c>
      <c r="J564" s="50" t="e">
        <f>'Raw Data'!#REF!/J$1</f>
        <v>#REF!</v>
      </c>
      <c r="K564" s="50" t="e">
        <f>'Raw Data'!#REF!/K$1</f>
        <v>#REF!</v>
      </c>
      <c r="L564" s="50" t="e">
        <f>'Raw Data'!#REF!/L$1</f>
        <v>#REF!</v>
      </c>
      <c r="M564" s="50" t="e">
        <f>'Raw Data'!#REF!/M$1</f>
        <v>#REF!</v>
      </c>
      <c r="N564" s="50" t="e">
        <f>'Raw Data'!#REF!/N$1</f>
        <v>#REF!</v>
      </c>
      <c r="O564" s="50" t="e">
        <f>'Raw Data'!#REF!/O$1</f>
        <v>#REF!</v>
      </c>
      <c r="P564" s="50" t="str">
        <f t="shared" si="65"/>
        <v/>
      </c>
      <c r="Q564" s="50" t="e">
        <f t="shared" si="66"/>
        <v>#REF!</v>
      </c>
    </row>
    <row r="565" spans="1:17">
      <c r="A565" s="2" t="s">
        <v>210</v>
      </c>
      <c r="B565" s="44">
        <v>4</v>
      </c>
      <c r="C565" s="44">
        <v>2023</v>
      </c>
      <c r="D565" s="44" t="s">
        <v>211</v>
      </c>
      <c r="E565" s="44" t="s">
        <v>211</v>
      </c>
      <c r="F565" s="31">
        <v>45200</v>
      </c>
      <c r="G565" s="101">
        <f t="shared" ref="G565:G582" si="67">DAY(EOMONTH(F565,0))</f>
        <v>31</v>
      </c>
      <c r="H565" s="103">
        <f t="shared" si="57"/>
        <v>45214</v>
      </c>
      <c r="I565" s="141">
        <f>_xlfn.XLOOKUP(Table12[[#This Row],[Month Year]],'Modelling New'!D:D,'Modelling New'!N:N)</f>
        <v>10.507</v>
      </c>
      <c r="J565" s="50" t="e">
        <f>'Raw Data'!#REF!/J$1</f>
        <v>#REF!</v>
      </c>
      <c r="K565" s="50" t="e">
        <f>'Raw Data'!#REF!/K$1</f>
        <v>#REF!</v>
      </c>
      <c r="L565" s="50" t="e">
        <f>'Raw Data'!#REF!/L$1</f>
        <v>#REF!</v>
      </c>
      <c r="M565" s="50" t="e">
        <f>'Raw Data'!#REF!/M$1</f>
        <v>#REF!</v>
      </c>
      <c r="N565" s="50" t="e">
        <f>'Raw Data'!#REF!/N$1</f>
        <v>#REF!</v>
      </c>
      <c r="O565" s="50" t="e">
        <f>'Raw Data'!#REF!/O$1</f>
        <v>#REF!</v>
      </c>
      <c r="P565" s="50" t="str">
        <f t="shared" ref="P565:P582" si="68">IFERROR(AVERAGEIF(J565:O565,"&gt;"&amp;0,J565:O565),"")</f>
        <v/>
      </c>
      <c r="Q565" s="50" t="e">
        <f t="shared" ref="Q565:Q582" si="69">MAXA(J565:O565)</f>
        <v>#REF!</v>
      </c>
    </row>
    <row r="566" spans="1:17">
      <c r="A566" s="2" t="s">
        <v>210</v>
      </c>
      <c r="B566" s="44">
        <v>4</v>
      </c>
      <c r="C566" s="44">
        <v>2023</v>
      </c>
      <c r="D566" s="44" t="s">
        <v>211</v>
      </c>
      <c r="E566" s="44" t="s">
        <v>211</v>
      </c>
      <c r="F566" s="31">
        <v>45200</v>
      </c>
      <c r="G566" s="101">
        <f t="shared" si="67"/>
        <v>31</v>
      </c>
      <c r="H566" s="103">
        <f t="shared" si="57"/>
        <v>45215</v>
      </c>
      <c r="I566" s="141">
        <f>_xlfn.XLOOKUP(Table12[[#This Row],[Month Year]],'Modelling New'!D:D,'Modelling New'!N:N)</f>
        <v>10.507</v>
      </c>
      <c r="J566" s="50" t="e">
        <f>'Raw Data'!#REF!/J$1</f>
        <v>#REF!</v>
      </c>
      <c r="K566" s="50" t="e">
        <f>'Raw Data'!#REF!/K$1</f>
        <v>#REF!</v>
      </c>
      <c r="L566" s="50" t="e">
        <f>'Raw Data'!#REF!/L$1</f>
        <v>#REF!</v>
      </c>
      <c r="M566" s="50" t="e">
        <f>'Raw Data'!#REF!/M$1</f>
        <v>#REF!</v>
      </c>
      <c r="N566" s="50" t="e">
        <f>'Raw Data'!#REF!/N$1</f>
        <v>#REF!</v>
      </c>
      <c r="O566" s="50" t="e">
        <f>'Raw Data'!#REF!/O$1</f>
        <v>#REF!</v>
      </c>
      <c r="P566" s="50" t="str">
        <f t="shared" si="68"/>
        <v/>
      </c>
      <c r="Q566" s="50" t="e">
        <f t="shared" si="69"/>
        <v>#REF!</v>
      </c>
    </row>
    <row r="567" spans="1:17">
      <c r="A567" s="2" t="s">
        <v>210</v>
      </c>
      <c r="B567" s="44">
        <v>4</v>
      </c>
      <c r="C567" s="44">
        <v>2023</v>
      </c>
      <c r="D567" s="44" t="s">
        <v>211</v>
      </c>
      <c r="E567" s="44" t="s">
        <v>211</v>
      </c>
      <c r="F567" s="31">
        <v>45200</v>
      </c>
      <c r="G567" s="101">
        <f t="shared" si="67"/>
        <v>31</v>
      </c>
      <c r="H567" s="103">
        <f t="shared" si="57"/>
        <v>45216</v>
      </c>
      <c r="I567" s="141">
        <f>_xlfn.XLOOKUP(Table12[[#This Row],[Month Year]],'Modelling New'!D:D,'Modelling New'!N:N)</f>
        <v>10.507</v>
      </c>
      <c r="J567" s="50" t="e">
        <f>'Raw Data'!#REF!/J$1</f>
        <v>#REF!</v>
      </c>
      <c r="K567" s="50" t="e">
        <f>'Raw Data'!#REF!/K$1</f>
        <v>#REF!</v>
      </c>
      <c r="L567" s="50" t="e">
        <f>'Raw Data'!#REF!/L$1</f>
        <v>#REF!</v>
      </c>
      <c r="M567" s="50" t="e">
        <f>'Raw Data'!#REF!/M$1</f>
        <v>#REF!</v>
      </c>
      <c r="N567" s="50" t="e">
        <f>'Raw Data'!#REF!/N$1</f>
        <v>#REF!</v>
      </c>
      <c r="O567" s="50" t="e">
        <f>'Raw Data'!#REF!/O$1</f>
        <v>#REF!</v>
      </c>
      <c r="P567" s="50" t="str">
        <f t="shared" si="68"/>
        <v/>
      </c>
      <c r="Q567" s="50" t="e">
        <f t="shared" si="69"/>
        <v>#REF!</v>
      </c>
    </row>
    <row r="568" spans="1:17">
      <c r="A568" s="2" t="s">
        <v>210</v>
      </c>
      <c r="B568" s="44">
        <v>4</v>
      </c>
      <c r="C568" s="44">
        <v>2023</v>
      </c>
      <c r="D568" s="44" t="s">
        <v>211</v>
      </c>
      <c r="E568" s="44" t="s">
        <v>211</v>
      </c>
      <c r="F568" s="31">
        <v>45200</v>
      </c>
      <c r="G568" s="101">
        <f t="shared" si="67"/>
        <v>31</v>
      </c>
      <c r="H568" s="103">
        <f t="shared" si="57"/>
        <v>45217</v>
      </c>
      <c r="I568" s="141">
        <f>_xlfn.XLOOKUP(Table12[[#This Row],[Month Year]],'Modelling New'!D:D,'Modelling New'!N:N)</f>
        <v>10.507</v>
      </c>
      <c r="J568" s="50" t="e">
        <f>'Raw Data'!#REF!/J$1</f>
        <v>#REF!</v>
      </c>
      <c r="K568" s="50" t="e">
        <f>'Raw Data'!#REF!/K$1</f>
        <v>#REF!</v>
      </c>
      <c r="L568" s="50" t="e">
        <f>'Raw Data'!#REF!/L$1</f>
        <v>#REF!</v>
      </c>
      <c r="M568" s="50" t="e">
        <f>'Raw Data'!#REF!/M$1</f>
        <v>#REF!</v>
      </c>
      <c r="N568" s="50" t="e">
        <f>'Raw Data'!#REF!/N$1</f>
        <v>#REF!</v>
      </c>
      <c r="O568" s="50" t="e">
        <f>'Raw Data'!#REF!/O$1</f>
        <v>#REF!</v>
      </c>
      <c r="P568" s="50" t="str">
        <f t="shared" si="68"/>
        <v/>
      </c>
      <c r="Q568" s="50" t="e">
        <f t="shared" si="69"/>
        <v>#REF!</v>
      </c>
    </row>
    <row r="569" spans="1:17">
      <c r="A569" s="2" t="s">
        <v>210</v>
      </c>
      <c r="B569" s="44">
        <v>4</v>
      </c>
      <c r="C569" s="44">
        <v>2023</v>
      </c>
      <c r="D569" s="44" t="s">
        <v>211</v>
      </c>
      <c r="E569" s="44" t="s">
        <v>211</v>
      </c>
      <c r="F569" s="31">
        <v>45200</v>
      </c>
      <c r="G569" s="101">
        <f t="shared" si="67"/>
        <v>31</v>
      </c>
      <c r="H569" s="103">
        <f t="shared" ref="H569:H582" si="70">H568+1</f>
        <v>45218</v>
      </c>
      <c r="I569" s="141">
        <f>_xlfn.XLOOKUP(Table12[[#This Row],[Month Year]],'Modelling New'!D:D,'Modelling New'!N:N)</f>
        <v>10.507</v>
      </c>
      <c r="J569" s="50" t="e">
        <f>'Raw Data'!#REF!/J$1</f>
        <v>#REF!</v>
      </c>
      <c r="K569" s="50" t="e">
        <f>'Raw Data'!#REF!/K$1</f>
        <v>#REF!</v>
      </c>
      <c r="L569" s="50" t="e">
        <f>'Raw Data'!#REF!/L$1</f>
        <v>#REF!</v>
      </c>
      <c r="M569" s="50" t="e">
        <f>'Raw Data'!#REF!/M$1</f>
        <v>#REF!</v>
      </c>
      <c r="N569" s="50" t="e">
        <f>'Raw Data'!#REF!/N$1</f>
        <v>#REF!</v>
      </c>
      <c r="O569" s="50" t="e">
        <f>'Raw Data'!#REF!/O$1</f>
        <v>#REF!</v>
      </c>
      <c r="P569" s="50" t="str">
        <f t="shared" si="68"/>
        <v/>
      </c>
      <c r="Q569" s="50" t="e">
        <f t="shared" si="69"/>
        <v>#REF!</v>
      </c>
    </row>
    <row r="570" spans="1:17">
      <c r="A570" s="2" t="s">
        <v>210</v>
      </c>
      <c r="B570" s="44">
        <v>4</v>
      </c>
      <c r="C570" s="44">
        <v>2023</v>
      </c>
      <c r="D570" s="44" t="s">
        <v>211</v>
      </c>
      <c r="E570" s="44" t="s">
        <v>211</v>
      </c>
      <c r="F570" s="31">
        <v>45200</v>
      </c>
      <c r="G570" s="101">
        <f t="shared" si="67"/>
        <v>31</v>
      </c>
      <c r="H570" s="103">
        <f t="shared" si="70"/>
        <v>45219</v>
      </c>
      <c r="I570" s="141">
        <f>_xlfn.XLOOKUP(Table12[[#This Row],[Month Year]],'Modelling New'!D:D,'Modelling New'!N:N)</f>
        <v>10.507</v>
      </c>
      <c r="J570" s="50" t="e">
        <f>'Raw Data'!#REF!/J$1</f>
        <v>#REF!</v>
      </c>
      <c r="K570" s="50" t="e">
        <f>'Raw Data'!#REF!/K$1</f>
        <v>#REF!</v>
      </c>
      <c r="L570" s="50" t="e">
        <f>'Raw Data'!#REF!/L$1</f>
        <v>#REF!</v>
      </c>
      <c r="M570" s="50" t="e">
        <f>'Raw Data'!#REF!/M$1</f>
        <v>#REF!</v>
      </c>
      <c r="N570" s="50" t="e">
        <f>'Raw Data'!#REF!/N$1</f>
        <v>#REF!</v>
      </c>
      <c r="O570" s="50" t="e">
        <f>'Raw Data'!#REF!/O$1</f>
        <v>#REF!</v>
      </c>
      <c r="P570" s="50" t="str">
        <f t="shared" si="68"/>
        <v/>
      </c>
      <c r="Q570" s="50" t="e">
        <f t="shared" si="69"/>
        <v>#REF!</v>
      </c>
    </row>
    <row r="571" spans="1:17">
      <c r="A571" s="2" t="s">
        <v>210</v>
      </c>
      <c r="B571" s="44">
        <v>4</v>
      </c>
      <c r="C571" s="44">
        <v>2023</v>
      </c>
      <c r="D571" s="44" t="s">
        <v>211</v>
      </c>
      <c r="E571" s="44" t="s">
        <v>211</v>
      </c>
      <c r="F571" s="31">
        <v>45200</v>
      </c>
      <c r="G571" s="101">
        <f t="shared" si="67"/>
        <v>31</v>
      </c>
      <c r="H571" s="103">
        <f t="shared" si="70"/>
        <v>45220</v>
      </c>
      <c r="I571" s="141">
        <f>_xlfn.XLOOKUP(Table12[[#This Row],[Month Year]],'Modelling New'!D:D,'Modelling New'!N:N)</f>
        <v>10.507</v>
      </c>
      <c r="J571" s="50" t="e">
        <f>'Raw Data'!#REF!/J$1</f>
        <v>#REF!</v>
      </c>
      <c r="K571" s="50" t="e">
        <f>'Raw Data'!#REF!/K$1</f>
        <v>#REF!</v>
      </c>
      <c r="L571" s="50" t="e">
        <f>'Raw Data'!#REF!/L$1</f>
        <v>#REF!</v>
      </c>
      <c r="M571" s="50" t="e">
        <f>'Raw Data'!#REF!/M$1</f>
        <v>#REF!</v>
      </c>
      <c r="N571" s="50" t="e">
        <f>'Raw Data'!#REF!/N$1</f>
        <v>#REF!</v>
      </c>
      <c r="O571" s="50" t="e">
        <f>'Raw Data'!#REF!/O$1</f>
        <v>#REF!</v>
      </c>
      <c r="P571" s="50" t="str">
        <f t="shared" si="68"/>
        <v/>
      </c>
      <c r="Q571" s="50" t="e">
        <f t="shared" si="69"/>
        <v>#REF!</v>
      </c>
    </row>
    <row r="572" spans="1:17">
      <c r="A572" s="2" t="s">
        <v>210</v>
      </c>
      <c r="B572" s="44">
        <v>4</v>
      </c>
      <c r="C572" s="44">
        <v>2023</v>
      </c>
      <c r="D572" s="44" t="s">
        <v>211</v>
      </c>
      <c r="E572" s="44" t="s">
        <v>211</v>
      </c>
      <c r="F572" s="31">
        <v>45200</v>
      </c>
      <c r="G572" s="101">
        <f t="shared" si="67"/>
        <v>31</v>
      </c>
      <c r="H572" s="103">
        <f t="shared" si="70"/>
        <v>45221</v>
      </c>
      <c r="I572" s="141">
        <f>_xlfn.XLOOKUP(Table12[[#This Row],[Month Year]],'Modelling New'!D:D,'Modelling New'!N:N)</f>
        <v>10.507</v>
      </c>
      <c r="J572" s="50" t="e">
        <f>'Raw Data'!#REF!/J$1</f>
        <v>#REF!</v>
      </c>
      <c r="K572" s="50" t="e">
        <f>'Raw Data'!#REF!/K$1</f>
        <v>#REF!</v>
      </c>
      <c r="L572" s="50" t="e">
        <f>'Raw Data'!#REF!/L$1</f>
        <v>#REF!</v>
      </c>
      <c r="M572" s="50" t="e">
        <f>'Raw Data'!#REF!/M$1</f>
        <v>#REF!</v>
      </c>
      <c r="N572" s="50" t="e">
        <f>'Raw Data'!#REF!/N$1</f>
        <v>#REF!</v>
      </c>
      <c r="O572" s="50" t="e">
        <f>'Raw Data'!#REF!/O$1</f>
        <v>#REF!</v>
      </c>
      <c r="P572" s="50" t="str">
        <f t="shared" si="68"/>
        <v/>
      </c>
      <c r="Q572" s="50" t="e">
        <f t="shared" si="69"/>
        <v>#REF!</v>
      </c>
    </row>
    <row r="573" spans="1:17">
      <c r="A573" s="2" t="s">
        <v>210</v>
      </c>
      <c r="B573" s="44">
        <v>4</v>
      </c>
      <c r="C573" s="44">
        <v>2023</v>
      </c>
      <c r="D573" s="44" t="s">
        <v>211</v>
      </c>
      <c r="E573" s="44" t="s">
        <v>211</v>
      </c>
      <c r="F573" s="31">
        <v>45200</v>
      </c>
      <c r="G573" s="101">
        <f t="shared" si="67"/>
        <v>31</v>
      </c>
      <c r="H573" s="103">
        <f t="shared" si="70"/>
        <v>45222</v>
      </c>
      <c r="I573" s="141">
        <f>_xlfn.XLOOKUP(Table12[[#This Row],[Month Year]],'Modelling New'!D:D,'Modelling New'!N:N)</f>
        <v>10.507</v>
      </c>
      <c r="J573" s="50" t="e">
        <f>'Raw Data'!#REF!/J$1</f>
        <v>#REF!</v>
      </c>
      <c r="K573" s="50" t="e">
        <f>'Raw Data'!#REF!/K$1</f>
        <v>#REF!</v>
      </c>
      <c r="L573" s="50" t="e">
        <f>'Raw Data'!#REF!/L$1</f>
        <v>#REF!</v>
      </c>
      <c r="M573" s="50" t="e">
        <f>'Raw Data'!#REF!/M$1</f>
        <v>#REF!</v>
      </c>
      <c r="N573" s="50" t="e">
        <f>'Raw Data'!#REF!/N$1</f>
        <v>#REF!</v>
      </c>
      <c r="O573" s="50" t="e">
        <f>'Raw Data'!#REF!/O$1</f>
        <v>#REF!</v>
      </c>
      <c r="P573" s="50" t="str">
        <f t="shared" si="68"/>
        <v/>
      </c>
      <c r="Q573" s="50" t="e">
        <f t="shared" si="69"/>
        <v>#REF!</v>
      </c>
    </row>
    <row r="574" spans="1:17">
      <c r="A574" s="2" t="s">
        <v>210</v>
      </c>
      <c r="B574" s="44">
        <v>4</v>
      </c>
      <c r="C574" s="44">
        <v>2023</v>
      </c>
      <c r="D574" s="44" t="s">
        <v>211</v>
      </c>
      <c r="E574" s="44" t="s">
        <v>211</v>
      </c>
      <c r="F574" s="31">
        <v>45200</v>
      </c>
      <c r="G574" s="101">
        <f t="shared" si="67"/>
        <v>31</v>
      </c>
      <c r="H574" s="103">
        <f t="shared" si="70"/>
        <v>45223</v>
      </c>
      <c r="I574" s="141">
        <f>_xlfn.XLOOKUP(Table12[[#This Row],[Month Year]],'Modelling New'!D:D,'Modelling New'!N:N)</f>
        <v>10.507</v>
      </c>
      <c r="J574" s="50" t="e">
        <f>'Raw Data'!#REF!/J$1</f>
        <v>#REF!</v>
      </c>
      <c r="K574" s="50" t="e">
        <f>'Raw Data'!#REF!/K$1</f>
        <v>#REF!</v>
      </c>
      <c r="L574" s="50" t="e">
        <f>'Raw Data'!#REF!/L$1</f>
        <v>#REF!</v>
      </c>
      <c r="M574" s="50" t="e">
        <f>'Raw Data'!#REF!/M$1</f>
        <v>#REF!</v>
      </c>
      <c r="N574" s="50" t="e">
        <f>'Raw Data'!#REF!/N$1</f>
        <v>#REF!</v>
      </c>
      <c r="O574" s="50" t="e">
        <f>'Raw Data'!#REF!/O$1</f>
        <v>#REF!</v>
      </c>
      <c r="P574" s="50" t="str">
        <f t="shared" si="68"/>
        <v/>
      </c>
      <c r="Q574" s="50" t="e">
        <f t="shared" si="69"/>
        <v>#REF!</v>
      </c>
    </row>
    <row r="575" spans="1:17">
      <c r="A575" s="2" t="s">
        <v>210</v>
      </c>
      <c r="B575" s="44">
        <v>4</v>
      </c>
      <c r="C575" s="44">
        <v>2023</v>
      </c>
      <c r="D575" s="44" t="s">
        <v>211</v>
      </c>
      <c r="E575" s="44" t="s">
        <v>211</v>
      </c>
      <c r="F575" s="31">
        <v>45200</v>
      </c>
      <c r="G575" s="101">
        <f t="shared" si="67"/>
        <v>31</v>
      </c>
      <c r="H575" s="103">
        <f t="shared" si="70"/>
        <v>45224</v>
      </c>
      <c r="I575" s="141">
        <f>_xlfn.XLOOKUP(Table12[[#This Row],[Month Year]],'Modelling New'!D:D,'Modelling New'!N:N)</f>
        <v>10.507</v>
      </c>
      <c r="J575" s="50" t="e">
        <f>'Raw Data'!#REF!/J$1</f>
        <v>#REF!</v>
      </c>
      <c r="K575" s="50" t="e">
        <f>'Raw Data'!#REF!/K$1</f>
        <v>#REF!</v>
      </c>
      <c r="L575" s="50" t="e">
        <f>'Raw Data'!#REF!/L$1</f>
        <v>#REF!</v>
      </c>
      <c r="M575" s="50" t="e">
        <f>'Raw Data'!#REF!/M$1</f>
        <v>#REF!</v>
      </c>
      <c r="N575" s="50" t="e">
        <f>'Raw Data'!#REF!/N$1</f>
        <v>#REF!</v>
      </c>
      <c r="O575" s="50" t="e">
        <f>'Raw Data'!#REF!/O$1</f>
        <v>#REF!</v>
      </c>
      <c r="P575" s="50" t="str">
        <f t="shared" si="68"/>
        <v/>
      </c>
      <c r="Q575" s="50" t="e">
        <f t="shared" si="69"/>
        <v>#REF!</v>
      </c>
    </row>
    <row r="576" spans="1:17">
      <c r="A576" s="2" t="s">
        <v>210</v>
      </c>
      <c r="B576" s="44">
        <v>4</v>
      </c>
      <c r="C576" s="44">
        <v>2023</v>
      </c>
      <c r="D576" s="44" t="s">
        <v>211</v>
      </c>
      <c r="E576" s="44" t="s">
        <v>211</v>
      </c>
      <c r="F576" s="31">
        <v>45200</v>
      </c>
      <c r="G576" s="101">
        <f t="shared" si="67"/>
        <v>31</v>
      </c>
      <c r="H576" s="103">
        <f t="shared" si="70"/>
        <v>45225</v>
      </c>
      <c r="I576" s="141">
        <f>_xlfn.XLOOKUP(Table12[[#This Row],[Month Year]],'Modelling New'!D:D,'Modelling New'!N:N)</f>
        <v>10.507</v>
      </c>
      <c r="J576" s="50" t="e">
        <f>'Raw Data'!#REF!/J$1</f>
        <v>#REF!</v>
      </c>
      <c r="K576" s="50" t="e">
        <f>'Raw Data'!#REF!/K$1</f>
        <v>#REF!</v>
      </c>
      <c r="L576" s="50" t="e">
        <f>'Raw Data'!#REF!/L$1</f>
        <v>#REF!</v>
      </c>
      <c r="M576" s="50" t="e">
        <f>'Raw Data'!#REF!/M$1</f>
        <v>#REF!</v>
      </c>
      <c r="N576" s="50" t="e">
        <f>'Raw Data'!#REF!/N$1</f>
        <v>#REF!</v>
      </c>
      <c r="O576" s="50" t="e">
        <f>'Raw Data'!#REF!/O$1</f>
        <v>#REF!</v>
      </c>
      <c r="P576" s="50" t="str">
        <f t="shared" si="68"/>
        <v/>
      </c>
      <c r="Q576" s="50" t="e">
        <f t="shared" si="69"/>
        <v>#REF!</v>
      </c>
    </row>
    <row r="577" spans="1:17">
      <c r="A577" s="2" t="s">
        <v>210</v>
      </c>
      <c r="B577" s="44">
        <v>4</v>
      </c>
      <c r="C577" s="44">
        <v>2023</v>
      </c>
      <c r="D577" s="44" t="s">
        <v>211</v>
      </c>
      <c r="E577" s="44" t="s">
        <v>211</v>
      </c>
      <c r="F577" s="31">
        <v>45200</v>
      </c>
      <c r="G577" s="101">
        <f t="shared" si="67"/>
        <v>31</v>
      </c>
      <c r="H577" s="103">
        <f t="shared" si="70"/>
        <v>45226</v>
      </c>
      <c r="I577" s="141">
        <f>_xlfn.XLOOKUP(Table12[[#This Row],[Month Year]],'Modelling New'!D:D,'Modelling New'!N:N)</f>
        <v>10.507</v>
      </c>
      <c r="J577" s="50" t="e">
        <f>'Raw Data'!#REF!/J$1</f>
        <v>#REF!</v>
      </c>
      <c r="K577" s="50" t="e">
        <f>'Raw Data'!#REF!/K$1</f>
        <v>#REF!</v>
      </c>
      <c r="L577" s="50" t="e">
        <f>'Raw Data'!#REF!/L$1</f>
        <v>#REF!</v>
      </c>
      <c r="M577" s="50" t="e">
        <f>'Raw Data'!#REF!/M$1</f>
        <v>#REF!</v>
      </c>
      <c r="N577" s="50" t="e">
        <f>'Raw Data'!#REF!/N$1</f>
        <v>#REF!</v>
      </c>
      <c r="O577" s="50" t="e">
        <f>'Raw Data'!#REF!/O$1</f>
        <v>#REF!</v>
      </c>
      <c r="P577" s="50" t="str">
        <f t="shared" si="68"/>
        <v/>
      </c>
      <c r="Q577" s="50" t="e">
        <f t="shared" si="69"/>
        <v>#REF!</v>
      </c>
    </row>
    <row r="578" spans="1:17">
      <c r="A578" s="2" t="s">
        <v>210</v>
      </c>
      <c r="B578" s="44">
        <v>4</v>
      </c>
      <c r="C578" s="44">
        <v>2023</v>
      </c>
      <c r="D578" s="44" t="s">
        <v>211</v>
      </c>
      <c r="E578" s="44" t="s">
        <v>211</v>
      </c>
      <c r="F578" s="31">
        <v>45200</v>
      </c>
      <c r="G578" s="101">
        <f t="shared" si="67"/>
        <v>31</v>
      </c>
      <c r="H578" s="103">
        <f t="shared" si="70"/>
        <v>45227</v>
      </c>
      <c r="I578" s="141">
        <f>_xlfn.XLOOKUP(Table12[[#This Row],[Month Year]],'Modelling New'!D:D,'Modelling New'!N:N)</f>
        <v>10.507</v>
      </c>
      <c r="J578" s="50" t="e">
        <f>'Raw Data'!#REF!/J$1</f>
        <v>#REF!</v>
      </c>
      <c r="K578" s="50" t="e">
        <f>'Raw Data'!#REF!/K$1</f>
        <v>#REF!</v>
      </c>
      <c r="L578" s="50" t="e">
        <f>'Raw Data'!#REF!/L$1</f>
        <v>#REF!</v>
      </c>
      <c r="M578" s="50" t="e">
        <f>'Raw Data'!#REF!/M$1</f>
        <v>#REF!</v>
      </c>
      <c r="N578" s="50" t="e">
        <f>'Raw Data'!#REF!/N$1</f>
        <v>#REF!</v>
      </c>
      <c r="O578" s="50" t="e">
        <f>'Raw Data'!#REF!/O$1</f>
        <v>#REF!</v>
      </c>
      <c r="P578" s="50" t="str">
        <f t="shared" si="68"/>
        <v/>
      </c>
      <c r="Q578" s="50" t="e">
        <f t="shared" si="69"/>
        <v>#REF!</v>
      </c>
    </row>
    <row r="579" spans="1:17">
      <c r="A579" s="2" t="s">
        <v>210</v>
      </c>
      <c r="B579" s="44">
        <v>4</v>
      </c>
      <c r="C579" s="44">
        <v>2023</v>
      </c>
      <c r="D579" s="44" t="s">
        <v>211</v>
      </c>
      <c r="E579" s="44" t="s">
        <v>211</v>
      </c>
      <c r="F579" s="31">
        <v>45200</v>
      </c>
      <c r="G579" s="101">
        <f t="shared" si="67"/>
        <v>31</v>
      </c>
      <c r="H579" s="103">
        <f t="shared" si="70"/>
        <v>45228</v>
      </c>
      <c r="I579" s="141">
        <f>_xlfn.XLOOKUP(Table12[[#This Row],[Month Year]],'Modelling New'!D:D,'Modelling New'!N:N)</f>
        <v>10.507</v>
      </c>
      <c r="J579" s="50" t="e">
        <f>'Raw Data'!#REF!/J$1</f>
        <v>#REF!</v>
      </c>
      <c r="K579" s="50" t="e">
        <f>'Raw Data'!#REF!/K$1</f>
        <v>#REF!</v>
      </c>
      <c r="L579" s="50" t="e">
        <f>'Raw Data'!#REF!/L$1</f>
        <v>#REF!</v>
      </c>
      <c r="M579" s="50" t="e">
        <f>'Raw Data'!#REF!/M$1</f>
        <v>#REF!</v>
      </c>
      <c r="N579" s="50" t="e">
        <f>'Raw Data'!#REF!/N$1</f>
        <v>#REF!</v>
      </c>
      <c r="O579" s="50" t="e">
        <f>'Raw Data'!#REF!/O$1</f>
        <v>#REF!</v>
      </c>
      <c r="P579" s="50" t="str">
        <f t="shared" si="68"/>
        <v/>
      </c>
      <c r="Q579" s="50" t="e">
        <f t="shared" si="69"/>
        <v>#REF!</v>
      </c>
    </row>
    <row r="580" spans="1:17">
      <c r="A580" s="2" t="s">
        <v>210</v>
      </c>
      <c r="B580" s="44">
        <v>4</v>
      </c>
      <c r="C580" s="44">
        <v>2023</v>
      </c>
      <c r="D580" s="44" t="s">
        <v>211</v>
      </c>
      <c r="E580" s="44" t="s">
        <v>211</v>
      </c>
      <c r="F580" s="31">
        <v>45200</v>
      </c>
      <c r="G580" s="101">
        <f t="shared" si="67"/>
        <v>31</v>
      </c>
      <c r="H580" s="103">
        <f t="shared" si="70"/>
        <v>45229</v>
      </c>
      <c r="I580" s="141">
        <f>_xlfn.XLOOKUP(Table12[[#This Row],[Month Year]],'Modelling New'!D:D,'Modelling New'!N:N)</f>
        <v>10.507</v>
      </c>
      <c r="J580" s="50" t="e">
        <f>'Raw Data'!#REF!/J$1</f>
        <v>#REF!</v>
      </c>
      <c r="K580" s="50" t="e">
        <f>'Raw Data'!#REF!/K$1</f>
        <v>#REF!</v>
      </c>
      <c r="L580" s="50" t="e">
        <f>'Raw Data'!#REF!/L$1</f>
        <v>#REF!</v>
      </c>
      <c r="M580" s="50" t="e">
        <f>'Raw Data'!#REF!/M$1</f>
        <v>#REF!</v>
      </c>
      <c r="N580" s="50" t="e">
        <f>'Raw Data'!#REF!/N$1</f>
        <v>#REF!</v>
      </c>
      <c r="O580" s="50" t="e">
        <f>'Raw Data'!#REF!/O$1</f>
        <v>#REF!</v>
      </c>
      <c r="P580" s="50" t="str">
        <f t="shared" si="68"/>
        <v/>
      </c>
      <c r="Q580" s="50" t="e">
        <f t="shared" si="69"/>
        <v>#REF!</v>
      </c>
    </row>
    <row r="581" spans="1:17">
      <c r="A581" s="2" t="s">
        <v>210</v>
      </c>
      <c r="B581" s="44">
        <v>4</v>
      </c>
      <c r="C581" s="44">
        <v>2023</v>
      </c>
      <c r="D581" s="44" t="s">
        <v>211</v>
      </c>
      <c r="E581" s="44" t="s">
        <v>211</v>
      </c>
      <c r="F581" s="31">
        <v>45200</v>
      </c>
      <c r="G581" s="101">
        <f t="shared" si="67"/>
        <v>31</v>
      </c>
      <c r="H581" s="103">
        <f t="shared" si="70"/>
        <v>45230</v>
      </c>
      <c r="I581" s="141">
        <f>_xlfn.XLOOKUP(Table12[[#This Row],[Month Year]],'Modelling New'!D:D,'Modelling New'!N:N)</f>
        <v>10.507</v>
      </c>
      <c r="J581" s="50" t="e">
        <f>'Raw Data'!#REF!/J$1</f>
        <v>#REF!</v>
      </c>
      <c r="K581" s="50" t="e">
        <f>'Raw Data'!#REF!/K$1</f>
        <v>#REF!</v>
      </c>
      <c r="L581" s="50" t="e">
        <f>'Raw Data'!#REF!/L$1</f>
        <v>#REF!</v>
      </c>
      <c r="M581" s="50" t="e">
        <f>'Raw Data'!#REF!/M$1</f>
        <v>#REF!</v>
      </c>
      <c r="N581" s="50" t="e">
        <f>'Raw Data'!#REF!/N$1</f>
        <v>#REF!</v>
      </c>
      <c r="O581" s="50" t="e">
        <f>'Raw Data'!#REF!/O$1</f>
        <v>#REF!</v>
      </c>
      <c r="P581" s="50" t="str">
        <f t="shared" si="68"/>
        <v/>
      </c>
      <c r="Q581" s="50" t="e">
        <f t="shared" si="69"/>
        <v>#REF!</v>
      </c>
    </row>
    <row r="582" spans="1:17">
      <c r="A582" s="2" t="s">
        <v>210</v>
      </c>
      <c r="B582" s="44">
        <v>4</v>
      </c>
      <c r="C582" s="44">
        <v>2023</v>
      </c>
      <c r="D582" s="44" t="s">
        <v>211</v>
      </c>
      <c r="E582" s="44" t="s">
        <v>211</v>
      </c>
      <c r="F582" s="31">
        <v>45231</v>
      </c>
      <c r="G582" s="101">
        <f t="shared" si="67"/>
        <v>30</v>
      </c>
      <c r="H582" s="103">
        <f t="shared" si="70"/>
        <v>45231</v>
      </c>
      <c r="I582" s="141">
        <f>_xlfn.XLOOKUP(Table12[[#This Row],[Month Year]],'Modelling New'!D:D,'Modelling New'!N:N)</f>
        <v>10.507</v>
      </c>
      <c r="J582" s="50" t="e">
        <f>'Raw Data'!#REF!/J$1</f>
        <v>#REF!</v>
      </c>
      <c r="K582" s="50" t="e">
        <f>'Raw Data'!#REF!/K$1</f>
        <v>#REF!</v>
      </c>
      <c r="L582" s="50" t="e">
        <f>'Raw Data'!#REF!/L$1</f>
        <v>#REF!</v>
      </c>
      <c r="M582" s="50" t="e">
        <f>'Raw Data'!#REF!/M$1</f>
        <v>#REF!</v>
      </c>
      <c r="N582" s="50" t="e">
        <f>'Raw Data'!#REF!/N$1</f>
        <v>#REF!</v>
      </c>
      <c r="O582" s="50" t="e">
        <f>'Raw Data'!#REF!/O$1</f>
        <v>#REF!</v>
      </c>
      <c r="P582" s="50" t="str">
        <f t="shared" si="68"/>
        <v/>
      </c>
      <c r="Q582" s="50" t="e">
        <f t="shared" si="69"/>
        <v>#REF!</v>
      </c>
    </row>
    <row r="583" spans="1:17">
      <c r="A583" s="101" t="s">
        <v>210</v>
      </c>
      <c r="B583" s="101">
        <v>4</v>
      </c>
      <c r="C583" s="101">
        <v>2023</v>
      </c>
      <c r="D583" s="101" t="s">
        <v>211</v>
      </c>
      <c r="E583" s="101" t="s">
        <v>211</v>
      </c>
      <c r="F583" s="194">
        <v>45231</v>
      </c>
      <c r="G583" s="101">
        <f t="shared" ref="G583:G600" si="71">DAY(EOMONTH(F583,0))</f>
        <v>30</v>
      </c>
      <c r="H583" s="103">
        <f t="shared" ref="H583:H646" si="72">H582+1</f>
        <v>45232</v>
      </c>
      <c r="I583" s="141">
        <f>_xlfn.XLOOKUP(Table12[[#This Row],[Month Year]],'Modelling New'!D:D,'Modelling New'!N:N)</f>
        <v>10.507</v>
      </c>
      <c r="J583" s="50" t="e">
        <f>'Raw Data'!#REF!/J$1</f>
        <v>#REF!</v>
      </c>
      <c r="K583" s="50" t="e">
        <f>'Raw Data'!#REF!/K$1</f>
        <v>#REF!</v>
      </c>
      <c r="L583" s="50" t="e">
        <f>'Raw Data'!#REF!/L$1</f>
        <v>#REF!</v>
      </c>
      <c r="M583" s="50" t="e">
        <f>'Raw Data'!#REF!/M$1</f>
        <v>#REF!</v>
      </c>
      <c r="N583" s="50" t="e">
        <f>'Raw Data'!#REF!/N$1</f>
        <v>#REF!</v>
      </c>
      <c r="O583" s="50" t="e">
        <f>'Raw Data'!#REF!/O$1</f>
        <v>#REF!</v>
      </c>
      <c r="P583" s="50" t="str">
        <f t="shared" ref="P583:P600" si="73">IFERROR(AVERAGEIF(J583:O583,"&gt;"&amp;0,J583:O583),"")</f>
        <v/>
      </c>
      <c r="Q583" s="50" t="e">
        <f t="shared" ref="Q583:Q600" si="74">MAXA(J583:O583)</f>
        <v>#REF!</v>
      </c>
    </row>
    <row r="584" spans="1:17">
      <c r="A584" s="101" t="s">
        <v>210</v>
      </c>
      <c r="B584" s="101">
        <v>4</v>
      </c>
      <c r="C584" s="101">
        <v>2023</v>
      </c>
      <c r="D584" s="101" t="s">
        <v>211</v>
      </c>
      <c r="E584" s="101" t="s">
        <v>211</v>
      </c>
      <c r="F584" s="194">
        <v>45231</v>
      </c>
      <c r="G584" s="101">
        <f t="shared" si="71"/>
        <v>30</v>
      </c>
      <c r="H584" s="103">
        <f t="shared" si="72"/>
        <v>45233</v>
      </c>
      <c r="I584" s="141">
        <f>_xlfn.XLOOKUP(Table12[[#This Row],[Month Year]],'Modelling New'!D:D,'Modelling New'!N:N)</f>
        <v>10.507</v>
      </c>
      <c r="J584" s="50" t="e">
        <f>'Raw Data'!#REF!/J$1</f>
        <v>#REF!</v>
      </c>
      <c r="K584" s="50" t="e">
        <f>'Raw Data'!#REF!/K$1</f>
        <v>#REF!</v>
      </c>
      <c r="L584" s="50" t="e">
        <f>'Raw Data'!#REF!/L$1</f>
        <v>#REF!</v>
      </c>
      <c r="M584" s="50" t="e">
        <f>'Raw Data'!#REF!/M$1</f>
        <v>#REF!</v>
      </c>
      <c r="N584" s="50" t="e">
        <f>'Raw Data'!#REF!/N$1</f>
        <v>#REF!</v>
      </c>
      <c r="O584" s="50" t="e">
        <f>'Raw Data'!#REF!/O$1</f>
        <v>#REF!</v>
      </c>
      <c r="P584" s="50" t="str">
        <f t="shared" si="73"/>
        <v/>
      </c>
      <c r="Q584" s="50" t="e">
        <f t="shared" si="74"/>
        <v>#REF!</v>
      </c>
    </row>
    <row r="585" spans="1:17">
      <c r="A585" s="101" t="s">
        <v>210</v>
      </c>
      <c r="B585" s="101">
        <v>4</v>
      </c>
      <c r="C585" s="101">
        <v>2023</v>
      </c>
      <c r="D585" s="101" t="s">
        <v>211</v>
      </c>
      <c r="E585" s="101" t="s">
        <v>211</v>
      </c>
      <c r="F585" s="194">
        <v>45231</v>
      </c>
      <c r="G585" s="101">
        <f t="shared" si="71"/>
        <v>30</v>
      </c>
      <c r="H585" s="103">
        <f t="shared" si="72"/>
        <v>45234</v>
      </c>
      <c r="I585" s="141">
        <f>_xlfn.XLOOKUP(Table12[[#This Row],[Month Year]],'Modelling New'!D:D,'Modelling New'!N:N)</f>
        <v>10.507</v>
      </c>
      <c r="J585" s="50" t="e">
        <f>'Raw Data'!#REF!/J$1</f>
        <v>#REF!</v>
      </c>
      <c r="K585" s="50" t="e">
        <f>'Raw Data'!#REF!/K$1</f>
        <v>#REF!</v>
      </c>
      <c r="L585" s="50" t="e">
        <f>'Raw Data'!#REF!/L$1</f>
        <v>#REF!</v>
      </c>
      <c r="M585" s="50" t="e">
        <f>'Raw Data'!#REF!/M$1</f>
        <v>#REF!</v>
      </c>
      <c r="N585" s="50" t="e">
        <f>'Raw Data'!#REF!/N$1</f>
        <v>#REF!</v>
      </c>
      <c r="O585" s="50" t="e">
        <f>'Raw Data'!#REF!/O$1</f>
        <v>#REF!</v>
      </c>
      <c r="P585" s="50" t="str">
        <f t="shared" si="73"/>
        <v/>
      </c>
      <c r="Q585" s="50" t="e">
        <f t="shared" si="74"/>
        <v>#REF!</v>
      </c>
    </row>
    <row r="586" spans="1:17">
      <c r="A586" s="101" t="s">
        <v>210</v>
      </c>
      <c r="B586" s="101">
        <v>4</v>
      </c>
      <c r="C586" s="101">
        <v>2023</v>
      </c>
      <c r="D586" s="101" t="s">
        <v>211</v>
      </c>
      <c r="E586" s="101" t="s">
        <v>211</v>
      </c>
      <c r="F586" s="194">
        <v>45231</v>
      </c>
      <c r="G586" s="101">
        <f t="shared" si="71"/>
        <v>30</v>
      </c>
      <c r="H586" s="103">
        <f t="shared" si="72"/>
        <v>45235</v>
      </c>
      <c r="I586" s="141">
        <f>_xlfn.XLOOKUP(Table12[[#This Row],[Month Year]],'Modelling New'!D:D,'Modelling New'!N:N)</f>
        <v>10.507</v>
      </c>
      <c r="J586" s="50" t="e">
        <f>'Raw Data'!#REF!/J$1</f>
        <v>#REF!</v>
      </c>
      <c r="K586" s="50" t="e">
        <f>'Raw Data'!#REF!/K$1</f>
        <v>#REF!</v>
      </c>
      <c r="L586" s="50" t="e">
        <f>'Raw Data'!#REF!/L$1</f>
        <v>#REF!</v>
      </c>
      <c r="M586" s="50" t="e">
        <f>'Raw Data'!#REF!/M$1</f>
        <v>#REF!</v>
      </c>
      <c r="N586" s="50" t="e">
        <f>'Raw Data'!#REF!/N$1</f>
        <v>#REF!</v>
      </c>
      <c r="O586" s="50" t="e">
        <f>'Raw Data'!#REF!/O$1</f>
        <v>#REF!</v>
      </c>
      <c r="P586" s="50" t="str">
        <f t="shared" si="73"/>
        <v/>
      </c>
      <c r="Q586" s="50" t="e">
        <f t="shared" si="74"/>
        <v>#REF!</v>
      </c>
    </row>
    <row r="587" spans="1:17">
      <c r="A587" s="101" t="s">
        <v>210</v>
      </c>
      <c r="B587" s="101">
        <v>4</v>
      </c>
      <c r="C587" s="101">
        <v>2023</v>
      </c>
      <c r="D587" s="101" t="s">
        <v>211</v>
      </c>
      <c r="E587" s="101" t="s">
        <v>211</v>
      </c>
      <c r="F587" s="194">
        <v>45231</v>
      </c>
      <c r="G587" s="101">
        <f t="shared" si="71"/>
        <v>30</v>
      </c>
      <c r="H587" s="103">
        <f t="shared" si="72"/>
        <v>45236</v>
      </c>
      <c r="I587" s="141">
        <f>_xlfn.XLOOKUP(Table12[[#This Row],[Month Year]],'Modelling New'!D:D,'Modelling New'!N:N)</f>
        <v>10.507</v>
      </c>
      <c r="J587" s="50" t="e">
        <f>'Raw Data'!#REF!/J$1</f>
        <v>#REF!</v>
      </c>
      <c r="K587" s="50" t="e">
        <f>'Raw Data'!#REF!/K$1</f>
        <v>#REF!</v>
      </c>
      <c r="L587" s="50" t="e">
        <f>'Raw Data'!#REF!/L$1</f>
        <v>#REF!</v>
      </c>
      <c r="M587" s="50" t="e">
        <f>'Raw Data'!#REF!/M$1</f>
        <v>#REF!</v>
      </c>
      <c r="N587" s="50" t="e">
        <f>'Raw Data'!#REF!/N$1</f>
        <v>#REF!</v>
      </c>
      <c r="O587" s="50" t="e">
        <f>'Raw Data'!#REF!/O$1</f>
        <v>#REF!</v>
      </c>
      <c r="P587" s="50" t="str">
        <f t="shared" si="73"/>
        <v/>
      </c>
      <c r="Q587" s="50" t="e">
        <f t="shared" si="74"/>
        <v>#REF!</v>
      </c>
    </row>
    <row r="588" spans="1:17">
      <c r="A588" s="101" t="s">
        <v>210</v>
      </c>
      <c r="B588" s="101">
        <v>4</v>
      </c>
      <c r="C588" s="101">
        <v>2023</v>
      </c>
      <c r="D588" s="101" t="s">
        <v>211</v>
      </c>
      <c r="E588" s="101" t="s">
        <v>211</v>
      </c>
      <c r="F588" s="194">
        <v>45231</v>
      </c>
      <c r="G588" s="101">
        <f t="shared" si="71"/>
        <v>30</v>
      </c>
      <c r="H588" s="103">
        <f t="shared" si="72"/>
        <v>45237</v>
      </c>
      <c r="I588" s="141">
        <f>_xlfn.XLOOKUP(Table12[[#This Row],[Month Year]],'Modelling New'!D:D,'Modelling New'!N:N)</f>
        <v>10.507</v>
      </c>
      <c r="J588" s="50" t="e">
        <f>'Raw Data'!#REF!/J$1</f>
        <v>#REF!</v>
      </c>
      <c r="K588" s="50" t="e">
        <f>'Raw Data'!#REF!/K$1</f>
        <v>#REF!</v>
      </c>
      <c r="L588" s="50" t="e">
        <f>'Raw Data'!#REF!/L$1</f>
        <v>#REF!</v>
      </c>
      <c r="M588" s="50" t="e">
        <f>'Raw Data'!#REF!/M$1</f>
        <v>#REF!</v>
      </c>
      <c r="N588" s="50" t="e">
        <f>'Raw Data'!#REF!/N$1</f>
        <v>#REF!</v>
      </c>
      <c r="O588" s="50" t="e">
        <f>'Raw Data'!#REF!/O$1</f>
        <v>#REF!</v>
      </c>
      <c r="P588" s="50" t="str">
        <f t="shared" si="73"/>
        <v/>
      </c>
      <c r="Q588" s="50" t="e">
        <f t="shared" si="74"/>
        <v>#REF!</v>
      </c>
    </row>
    <row r="589" spans="1:17">
      <c r="A589" s="101" t="s">
        <v>210</v>
      </c>
      <c r="B589" s="101">
        <v>4</v>
      </c>
      <c r="C589" s="101">
        <v>2023</v>
      </c>
      <c r="D589" s="101" t="s">
        <v>211</v>
      </c>
      <c r="E589" s="101" t="s">
        <v>211</v>
      </c>
      <c r="F589" s="194">
        <v>45231</v>
      </c>
      <c r="G589" s="101">
        <f t="shared" si="71"/>
        <v>30</v>
      </c>
      <c r="H589" s="103">
        <f t="shared" si="72"/>
        <v>45238</v>
      </c>
      <c r="I589" s="141">
        <f>_xlfn.XLOOKUP(Table12[[#This Row],[Month Year]],'Modelling New'!D:D,'Modelling New'!N:N)</f>
        <v>10.507</v>
      </c>
      <c r="J589" s="50" t="e">
        <f>'Raw Data'!#REF!/J$1</f>
        <v>#REF!</v>
      </c>
      <c r="K589" s="50" t="e">
        <f>'Raw Data'!#REF!/K$1</f>
        <v>#REF!</v>
      </c>
      <c r="L589" s="50" t="e">
        <f>'Raw Data'!#REF!/L$1</f>
        <v>#REF!</v>
      </c>
      <c r="M589" s="50" t="e">
        <f>'Raw Data'!#REF!/M$1</f>
        <v>#REF!</v>
      </c>
      <c r="N589" s="50" t="e">
        <f>'Raw Data'!#REF!/N$1</f>
        <v>#REF!</v>
      </c>
      <c r="O589" s="50" t="e">
        <f>'Raw Data'!#REF!/O$1</f>
        <v>#REF!</v>
      </c>
      <c r="P589" s="50" t="str">
        <f t="shared" si="73"/>
        <v/>
      </c>
      <c r="Q589" s="50" t="e">
        <f t="shared" si="74"/>
        <v>#REF!</v>
      </c>
    </row>
    <row r="590" spans="1:17">
      <c r="A590" s="101" t="s">
        <v>210</v>
      </c>
      <c r="B590" s="101">
        <v>4</v>
      </c>
      <c r="C590" s="101">
        <v>2023</v>
      </c>
      <c r="D590" s="101" t="s">
        <v>211</v>
      </c>
      <c r="E590" s="101" t="s">
        <v>211</v>
      </c>
      <c r="F590" s="194">
        <v>45231</v>
      </c>
      <c r="G590" s="101">
        <f t="shared" si="71"/>
        <v>30</v>
      </c>
      <c r="H590" s="103">
        <f t="shared" si="72"/>
        <v>45239</v>
      </c>
      <c r="I590" s="141">
        <f>_xlfn.XLOOKUP(Table12[[#This Row],[Month Year]],'Modelling New'!D:D,'Modelling New'!N:N)</f>
        <v>10.507</v>
      </c>
      <c r="J590" s="50" t="e">
        <f>'Raw Data'!#REF!/J$1</f>
        <v>#REF!</v>
      </c>
      <c r="K590" s="50" t="e">
        <f>'Raw Data'!#REF!/K$1</f>
        <v>#REF!</v>
      </c>
      <c r="L590" s="50" t="e">
        <f>'Raw Data'!#REF!/L$1</f>
        <v>#REF!</v>
      </c>
      <c r="M590" s="50" t="e">
        <f>'Raw Data'!#REF!/M$1</f>
        <v>#REF!</v>
      </c>
      <c r="N590" s="50" t="e">
        <f>'Raw Data'!#REF!/N$1</f>
        <v>#REF!</v>
      </c>
      <c r="O590" s="50" t="e">
        <f>'Raw Data'!#REF!/O$1</f>
        <v>#REF!</v>
      </c>
      <c r="P590" s="50" t="str">
        <f t="shared" si="73"/>
        <v/>
      </c>
      <c r="Q590" s="50" t="e">
        <f t="shared" si="74"/>
        <v>#REF!</v>
      </c>
    </row>
    <row r="591" spans="1:17">
      <c r="A591" s="101" t="s">
        <v>210</v>
      </c>
      <c r="B591" s="101">
        <v>4</v>
      </c>
      <c r="C591" s="101">
        <v>2023</v>
      </c>
      <c r="D591" s="101" t="s">
        <v>211</v>
      </c>
      <c r="E591" s="101" t="s">
        <v>211</v>
      </c>
      <c r="F591" s="194">
        <v>45231</v>
      </c>
      <c r="G591" s="101">
        <f t="shared" si="71"/>
        <v>30</v>
      </c>
      <c r="H591" s="103">
        <f t="shared" si="72"/>
        <v>45240</v>
      </c>
      <c r="I591" s="141">
        <f>_xlfn.XLOOKUP(Table12[[#This Row],[Month Year]],'Modelling New'!D:D,'Modelling New'!N:N)</f>
        <v>10.507</v>
      </c>
      <c r="J591" s="50" t="e">
        <f>'Raw Data'!#REF!/J$1</f>
        <v>#REF!</v>
      </c>
      <c r="K591" s="50" t="e">
        <f>'Raw Data'!#REF!/K$1</f>
        <v>#REF!</v>
      </c>
      <c r="L591" s="50" t="e">
        <f>'Raw Data'!#REF!/L$1</f>
        <v>#REF!</v>
      </c>
      <c r="M591" s="50" t="e">
        <f>'Raw Data'!#REF!/M$1</f>
        <v>#REF!</v>
      </c>
      <c r="N591" s="50" t="e">
        <f>'Raw Data'!#REF!/N$1</f>
        <v>#REF!</v>
      </c>
      <c r="O591" s="50" t="e">
        <f>'Raw Data'!#REF!/O$1</f>
        <v>#REF!</v>
      </c>
      <c r="P591" s="50" t="str">
        <f t="shared" si="73"/>
        <v/>
      </c>
      <c r="Q591" s="50" t="e">
        <f t="shared" si="74"/>
        <v>#REF!</v>
      </c>
    </row>
    <row r="592" spans="1:17">
      <c r="A592" s="101" t="s">
        <v>210</v>
      </c>
      <c r="B592" s="101">
        <v>4</v>
      </c>
      <c r="C592" s="101">
        <v>2023</v>
      </c>
      <c r="D592" s="101" t="s">
        <v>211</v>
      </c>
      <c r="E592" s="101" t="s">
        <v>211</v>
      </c>
      <c r="F592" s="194">
        <v>45231</v>
      </c>
      <c r="G592" s="101">
        <f t="shared" si="71"/>
        <v>30</v>
      </c>
      <c r="H592" s="103">
        <f t="shared" si="72"/>
        <v>45241</v>
      </c>
      <c r="I592" s="141">
        <f>_xlfn.XLOOKUP(Table12[[#This Row],[Month Year]],'Modelling New'!D:D,'Modelling New'!N:N)</f>
        <v>10.507</v>
      </c>
      <c r="J592" s="50" t="e">
        <f>'Raw Data'!#REF!/J$1</f>
        <v>#REF!</v>
      </c>
      <c r="K592" s="50" t="e">
        <f>'Raw Data'!#REF!/K$1</f>
        <v>#REF!</v>
      </c>
      <c r="L592" s="50" t="e">
        <f>'Raw Data'!#REF!/L$1</f>
        <v>#REF!</v>
      </c>
      <c r="M592" s="50" t="e">
        <f>'Raw Data'!#REF!/M$1</f>
        <v>#REF!</v>
      </c>
      <c r="N592" s="50" t="e">
        <f>'Raw Data'!#REF!/N$1</f>
        <v>#REF!</v>
      </c>
      <c r="O592" s="50" t="e">
        <f>'Raw Data'!#REF!/O$1</f>
        <v>#REF!</v>
      </c>
      <c r="P592" s="50" t="str">
        <f t="shared" si="73"/>
        <v/>
      </c>
      <c r="Q592" s="50" t="e">
        <f t="shared" si="74"/>
        <v>#REF!</v>
      </c>
    </row>
    <row r="593" spans="1:17">
      <c r="A593" s="101" t="s">
        <v>210</v>
      </c>
      <c r="B593" s="101">
        <v>4</v>
      </c>
      <c r="C593" s="101">
        <v>2023</v>
      </c>
      <c r="D593" s="101" t="s">
        <v>211</v>
      </c>
      <c r="E593" s="101" t="s">
        <v>211</v>
      </c>
      <c r="F593" s="194">
        <v>45231</v>
      </c>
      <c r="G593" s="101">
        <f t="shared" si="71"/>
        <v>30</v>
      </c>
      <c r="H593" s="103">
        <f t="shared" si="72"/>
        <v>45242</v>
      </c>
      <c r="I593" s="141">
        <f>_xlfn.XLOOKUP(Table12[[#This Row],[Month Year]],'Modelling New'!D:D,'Modelling New'!N:N)</f>
        <v>10.507</v>
      </c>
      <c r="J593" s="50" t="e">
        <f>'Raw Data'!#REF!/J$1</f>
        <v>#REF!</v>
      </c>
      <c r="K593" s="50" t="e">
        <f>'Raw Data'!#REF!/K$1</f>
        <v>#REF!</v>
      </c>
      <c r="L593" s="50" t="e">
        <f>'Raw Data'!#REF!/L$1</f>
        <v>#REF!</v>
      </c>
      <c r="M593" s="50" t="e">
        <f>'Raw Data'!#REF!/M$1</f>
        <v>#REF!</v>
      </c>
      <c r="N593" s="50" t="e">
        <f>'Raw Data'!#REF!/N$1</f>
        <v>#REF!</v>
      </c>
      <c r="O593" s="50" t="e">
        <f>'Raw Data'!#REF!/O$1</f>
        <v>#REF!</v>
      </c>
      <c r="P593" s="50" t="str">
        <f t="shared" si="73"/>
        <v/>
      </c>
      <c r="Q593" s="50" t="e">
        <f t="shared" si="74"/>
        <v>#REF!</v>
      </c>
    </row>
    <row r="594" spans="1:17">
      <c r="A594" s="101" t="s">
        <v>210</v>
      </c>
      <c r="B594" s="101">
        <v>4</v>
      </c>
      <c r="C594" s="101">
        <v>2023</v>
      </c>
      <c r="D594" s="101" t="s">
        <v>211</v>
      </c>
      <c r="E594" s="101" t="s">
        <v>211</v>
      </c>
      <c r="F594" s="194">
        <v>45231</v>
      </c>
      <c r="G594" s="101">
        <f t="shared" si="71"/>
        <v>30</v>
      </c>
      <c r="H594" s="103">
        <f t="shared" si="72"/>
        <v>45243</v>
      </c>
      <c r="I594" s="141">
        <f>_xlfn.XLOOKUP(Table12[[#This Row],[Month Year]],'Modelling New'!D:D,'Modelling New'!N:N)</f>
        <v>10.507</v>
      </c>
      <c r="J594" s="50" t="e">
        <f>'Raw Data'!#REF!/J$1</f>
        <v>#REF!</v>
      </c>
      <c r="K594" s="50" t="e">
        <f>'Raw Data'!#REF!/K$1</f>
        <v>#REF!</v>
      </c>
      <c r="L594" s="50" t="e">
        <f>'Raw Data'!#REF!/L$1</f>
        <v>#REF!</v>
      </c>
      <c r="M594" s="50" t="e">
        <f>'Raw Data'!#REF!/M$1</f>
        <v>#REF!</v>
      </c>
      <c r="N594" s="50" t="e">
        <f>'Raw Data'!#REF!/N$1</f>
        <v>#REF!</v>
      </c>
      <c r="O594" s="50" t="e">
        <f>'Raw Data'!#REF!/O$1</f>
        <v>#REF!</v>
      </c>
      <c r="P594" s="50" t="str">
        <f t="shared" si="73"/>
        <v/>
      </c>
      <c r="Q594" s="50" t="e">
        <f t="shared" si="74"/>
        <v>#REF!</v>
      </c>
    </row>
    <row r="595" spans="1:17">
      <c r="A595" s="101" t="s">
        <v>210</v>
      </c>
      <c r="B595" s="101">
        <v>4</v>
      </c>
      <c r="C595" s="101">
        <v>2023</v>
      </c>
      <c r="D595" s="101" t="s">
        <v>211</v>
      </c>
      <c r="E595" s="101" t="s">
        <v>211</v>
      </c>
      <c r="F595" s="194">
        <v>45231</v>
      </c>
      <c r="G595" s="101">
        <f t="shared" si="71"/>
        <v>30</v>
      </c>
      <c r="H595" s="103">
        <f t="shared" si="72"/>
        <v>45244</v>
      </c>
      <c r="I595" s="141">
        <f>_xlfn.XLOOKUP(Table12[[#This Row],[Month Year]],'Modelling New'!D:D,'Modelling New'!N:N)</f>
        <v>10.507</v>
      </c>
      <c r="J595" s="50" t="e">
        <f>'Raw Data'!#REF!/J$1</f>
        <v>#REF!</v>
      </c>
      <c r="K595" s="50" t="e">
        <f>'Raw Data'!#REF!/K$1</f>
        <v>#REF!</v>
      </c>
      <c r="L595" s="50" t="e">
        <f>'Raw Data'!#REF!/L$1</f>
        <v>#REF!</v>
      </c>
      <c r="M595" s="50" t="e">
        <f>'Raw Data'!#REF!/M$1</f>
        <v>#REF!</v>
      </c>
      <c r="N595" s="50" t="e">
        <f>'Raw Data'!#REF!/N$1</f>
        <v>#REF!</v>
      </c>
      <c r="O595" s="50" t="e">
        <f>'Raw Data'!#REF!/O$1</f>
        <v>#REF!</v>
      </c>
      <c r="P595" s="50" t="str">
        <f t="shared" si="73"/>
        <v/>
      </c>
      <c r="Q595" s="50" t="e">
        <f t="shared" si="74"/>
        <v>#REF!</v>
      </c>
    </row>
    <row r="596" spans="1:17">
      <c r="A596" s="101" t="s">
        <v>210</v>
      </c>
      <c r="B596" s="101">
        <v>4</v>
      </c>
      <c r="C596" s="101">
        <v>2023</v>
      </c>
      <c r="D596" s="101" t="s">
        <v>211</v>
      </c>
      <c r="E596" s="101" t="s">
        <v>211</v>
      </c>
      <c r="F596" s="194">
        <v>45231</v>
      </c>
      <c r="G596" s="101">
        <f t="shared" si="71"/>
        <v>30</v>
      </c>
      <c r="H596" s="103">
        <f t="shared" si="72"/>
        <v>45245</v>
      </c>
      <c r="I596" s="141">
        <f>_xlfn.XLOOKUP(Table12[[#This Row],[Month Year]],'Modelling New'!D:D,'Modelling New'!N:N)</f>
        <v>10.507</v>
      </c>
      <c r="J596" s="50" t="e">
        <f>'Raw Data'!#REF!/J$1</f>
        <v>#REF!</v>
      </c>
      <c r="K596" s="50" t="e">
        <f>'Raw Data'!#REF!/K$1</f>
        <v>#REF!</v>
      </c>
      <c r="L596" s="50" t="e">
        <f>'Raw Data'!#REF!/L$1</f>
        <v>#REF!</v>
      </c>
      <c r="M596" s="50" t="e">
        <f>'Raw Data'!#REF!/M$1</f>
        <v>#REF!</v>
      </c>
      <c r="N596" s="50" t="e">
        <f>'Raw Data'!#REF!/N$1</f>
        <v>#REF!</v>
      </c>
      <c r="O596" s="50" t="e">
        <f>'Raw Data'!#REF!/O$1</f>
        <v>#REF!</v>
      </c>
      <c r="P596" s="50" t="str">
        <f t="shared" si="73"/>
        <v/>
      </c>
      <c r="Q596" s="50" t="e">
        <f t="shared" si="74"/>
        <v>#REF!</v>
      </c>
    </row>
    <row r="597" spans="1:17">
      <c r="A597" s="101" t="s">
        <v>210</v>
      </c>
      <c r="B597" s="101">
        <v>4</v>
      </c>
      <c r="C597" s="101">
        <v>2023</v>
      </c>
      <c r="D597" s="101" t="s">
        <v>211</v>
      </c>
      <c r="E597" s="101" t="s">
        <v>211</v>
      </c>
      <c r="F597" s="194">
        <v>45231</v>
      </c>
      <c r="G597" s="101">
        <f t="shared" si="71"/>
        <v>30</v>
      </c>
      <c r="H597" s="103">
        <f t="shared" si="72"/>
        <v>45246</v>
      </c>
      <c r="I597" s="141">
        <f>_xlfn.XLOOKUP(Table12[[#This Row],[Month Year]],'Modelling New'!D:D,'Modelling New'!N:N)</f>
        <v>10.507</v>
      </c>
      <c r="J597" s="50" t="e">
        <f>'Raw Data'!#REF!/J$1</f>
        <v>#REF!</v>
      </c>
      <c r="K597" s="50" t="e">
        <f>'Raw Data'!#REF!/K$1</f>
        <v>#REF!</v>
      </c>
      <c r="L597" s="50" t="e">
        <f>'Raw Data'!#REF!/L$1</f>
        <v>#REF!</v>
      </c>
      <c r="M597" s="50" t="e">
        <f>'Raw Data'!#REF!/M$1</f>
        <v>#REF!</v>
      </c>
      <c r="N597" s="50" t="e">
        <f>'Raw Data'!#REF!/N$1</f>
        <v>#REF!</v>
      </c>
      <c r="O597" s="50" t="e">
        <f>'Raw Data'!#REF!/O$1</f>
        <v>#REF!</v>
      </c>
      <c r="P597" s="50" t="str">
        <f t="shared" si="73"/>
        <v/>
      </c>
      <c r="Q597" s="50" t="e">
        <f t="shared" si="74"/>
        <v>#REF!</v>
      </c>
    </row>
    <row r="598" spans="1:17">
      <c r="A598" s="101" t="s">
        <v>210</v>
      </c>
      <c r="B598" s="101">
        <v>4</v>
      </c>
      <c r="C598" s="101">
        <v>2023</v>
      </c>
      <c r="D598" s="101" t="s">
        <v>211</v>
      </c>
      <c r="E598" s="101" t="s">
        <v>211</v>
      </c>
      <c r="F598" s="194">
        <v>45231</v>
      </c>
      <c r="G598" s="101">
        <f t="shared" si="71"/>
        <v>30</v>
      </c>
      <c r="H598" s="103">
        <f t="shared" si="72"/>
        <v>45247</v>
      </c>
      <c r="I598" s="141">
        <f>_xlfn.XLOOKUP(Table12[[#This Row],[Month Year]],'Modelling New'!D:D,'Modelling New'!N:N)</f>
        <v>10.507</v>
      </c>
      <c r="J598" s="50" t="e">
        <f>'Raw Data'!#REF!/J$1</f>
        <v>#REF!</v>
      </c>
      <c r="K598" s="50" t="e">
        <f>'Raw Data'!#REF!/K$1</f>
        <v>#REF!</v>
      </c>
      <c r="L598" s="50" t="e">
        <f>'Raw Data'!#REF!/L$1</f>
        <v>#REF!</v>
      </c>
      <c r="M598" s="50" t="e">
        <f>'Raw Data'!#REF!/M$1</f>
        <v>#REF!</v>
      </c>
      <c r="N598" s="50" t="e">
        <f>'Raw Data'!#REF!/N$1</f>
        <v>#REF!</v>
      </c>
      <c r="O598" s="50" t="e">
        <f>'Raw Data'!#REF!/O$1</f>
        <v>#REF!</v>
      </c>
      <c r="P598" s="50" t="str">
        <f t="shared" si="73"/>
        <v/>
      </c>
      <c r="Q598" s="50" t="e">
        <f t="shared" si="74"/>
        <v>#REF!</v>
      </c>
    </row>
    <row r="599" spans="1:17">
      <c r="A599" s="101" t="s">
        <v>210</v>
      </c>
      <c r="B599" s="101">
        <v>4</v>
      </c>
      <c r="C599" s="101">
        <v>2023</v>
      </c>
      <c r="D599" s="101" t="s">
        <v>211</v>
      </c>
      <c r="E599" s="101" t="s">
        <v>211</v>
      </c>
      <c r="F599" s="194">
        <v>45231</v>
      </c>
      <c r="G599" s="101">
        <f t="shared" si="71"/>
        <v>30</v>
      </c>
      <c r="H599" s="103">
        <f t="shared" si="72"/>
        <v>45248</v>
      </c>
      <c r="I599" s="141">
        <f>_xlfn.XLOOKUP(Table12[[#This Row],[Month Year]],'Modelling New'!D:D,'Modelling New'!N:N)</f>
        <v>10.507</v>
      </c>
      <c r="J599" s="50" t="e">
        <f>'Raw Data'!#REF!/J$1</f>
        <v>#REF!</v>
      </c>
      <c r="K599" s="50" t="e">
        <f>'Raw Data'!#REF!/K$1</f>
        <v>#REF!</v>
      </c>
      <c r="L599" s="50" t="e">
        <f>'Raw Data'!#REF!/L$1</f>
        <v>#REF!</v>
      </c>
      <c r="M599" s="50" t="e">
        <f>'Raw Data'!#REF!/M$1</f>
        <v>#REF!</v>
      </c>
      <c r="N599" s="50" t="e">
        <f>'Raw Data'!#REF!/N$1</f>
        <v>#REF!</v>
      </c>
      <c r="O599" s="50" t="e">
        <f>'Raw Data'!#REF!/O$1</f>
        <v>#REF!</v>
      </c>
      <c r="P599" s="50" t="str">
        <f t="shared" si="73"/>
        <v/>
      </c>
      <c r="Q599" s="50" t="e">
        <f t="shared" si="74"/>
        <v>#REF!</v>
      </c>
    </row>
    <row r="600" spans="1:17">
      <c r="A600" s="102" t="s">
        <v>210</v>
      </c>
      <c r="B600" s="102">
        <v>4</v>
      </c>
      <c r="C600" s="102">
        <v>2023</v>
      </c>
      <c r="D600" s="102" t="s">
        <v>211</v>
      </c>
      <c r="E600" s="102" t="s">
        <v>211</v>
      </c>
      <c r="F600" s="195">
        <v>45231</v>
      </c>
      <c r="G600" s="102">
        <f t="shared" si="71"/>
        <v>30</v>
      </c>
      <c r="H600" s="196">
        <f t="shared" si="72"/>
        <v>45249</v>
      </c>
      <c r="I600" s="197">
        <f>_xlfn.XLOOKUP(Table12[[#This Row],[Month Year]],'Modelling New'!D:D,'Modelling New'!N:N)</f>
        <v>10.507</v>
      </c>
      <c r="J600" s="50" t="e">
        <f>'Raw Data'!#REF!/J$1</f>
        <v>#REF!</v>
      </c>
      <c r="K600" s="50" t="e">
        <f>'Raw Data'!#REF!/K$1</f>
        <v>#REF!</v>
      </c>
      <c r="L600" s="50" t="e">
        <f>'Raw Data'!#REF!/L$1</f>
        <v>#REF!</v>
      </c>
      <c r="M600" s="50" t="e">
        <f>'Raw Data'!#REF!/M$1</f>
        <v>#REF!</v>
      </c>
      <c r="N600" s="50" t="e">
        <f>'Raw Data'!#REF!/N$1</f>
        <v>#REF!</v>
      </c>
      <c r="O600" s="50" t="e">
        <f>'Raw Data'!#REF!/O$1</f>
        <v>#REF!</v>
      </c>
      <c r="P600" s="50" t="str">
        <f t="shared" si="73"/>
        <v/>
      </c>
      <c r="Q600" s="50" t="e">
        <f t="shared" si="74"/>
        <v>#REF!</v>
      </c>
    </row>
    <row r="601" spans="1:17">
      <c r="A601" s="102" t="s">
        <v>210</v>
      </c>
      <c r="B601" s="102">
        <v>4</v>
      </c>
      <c r="C601" s="102">
        <v>2023</v>
      </c>
      <c r="D601" s="102" t="s">
        <v>211</v>
      </c>
      <c r="E601" s="102" t="s">
        <v>211</v>
      </c>
      <c r="F601" s="195">
        <v>45231</v>
      </c>
      <c r="G601" s="101">
        <f t="shared" ref="G601:G632" si="75">DAY(EOMONTH(F601,0))</f>
        <v>30</v>
      </c>
      <c r="H601" s="196">
        <f t="shared" si="72"/>
        <v>45250</v>
      </c>
      <c r="I601" s="141">
        <f>_xlfn.XLOOKUP(Table12[[#This Row],[Month Year]],'Modelling New'!D:D,'Modelling New'!N:N)</f>
        <v>10.507</v>
      </c>
      <c r="J601" s="50" t="e">
        <f>'Raw Data'!#REF!/J$1</f>
        <v>#REF!</v>
      </c>
      <c r="K601" s="50" t="e">
        <f>'Raw Data'!#REF!/K$1</f>
        <v>#REF!</v>
      </c>
      <c r="L601" s="50" t="e">
        <f>'Raw Data'!#REF!/L$1</f>
        <v>#REF!</v>
      </c>
      <c r="M601" s="50" t="e">
        <f>'Raw Data'!#REF!/M$1</f>
        <v>#REF!</v>
      </c>
      <c r="N601" s="50" t="e">
        <f>'Raw Data'!#REF!/N$1</f>
        <v>#REF!</v>
      </c>
      <c r="O601" s="50" t="e">
        <f>'Raw Data'!#REF!/O$1</f>
        <v>#REF!</v>
      </c>
      <c r="P601" s="50" t="str">
        <f t="shared" ref="P601:P632" si="76">IFERROR(AVERAGEIF(J601:O601,"&gt;"&amp;0,J601:O601),"")</f>
        <v/>
      </c>
      <c r="Q601" s="50" t="e">
        <f t="shared" ref="Q601:Q632" si="77">MAXA(J601:O601)</f>
        <v>#REF!</v>
      </c>
    </row>
    <row r="602" spans="1:17">
      <c r="A602" s="102" t="s">
        <v>210</v>
      </c>
      <c r="B602" s="102">
        <v>4</v>
      </c>
      <c r="C602" s="102">
        <v>2023</v>
      </c>
      <c r="D602" s="102" t="s">
        <v>211</v>
      </c>
      <c r="E602" s="102" t="s">
        <v>211</v>
      </c>
      <c r="F602" s="195">
        <v>45231</v>
      </c>
      <c r="G602" s="101">
        <f t="shared" si="75"/>
        <v>30</v>
      </c>
      <c r="H602" s="196">
        <f t="shared" si="72"/>
        <v>45251</v>
      </c>
      <c r="I602" s="141">
        <f>_xlfn.XLOOKUP(Table12[[#This Row],[Month Year]],'Modelling New'!D:D,'Modelling New'!N:N)</f>
        <v>10.507</v>
      </c>
      <c r="J602" s="50" t="e">
        <f>'Raw Data'!#REF!/J$1</f>
        <v>#REF!</v>
      </c>
      <c r="K602" s="50" t="e">
        <f>'Raw Data'!#REF!/K$1</f>
        <v>#REF!</v>
      </c>
      <c r="L602" s="50" t="e">
        <f>'Raw Data'!#REF!/L$1</f>
        <v>#REF!</v>
      </c>
      <c r="M602" s="50" t="e">
        <f>'Raw Data'!#REF!/M$1</f>
        <v>#REF!</v>
      </c>
      <c r="N602" s="50" t="e">
        <f>'Raw Data'!#REF!/N$1</f>
        <v>#REF!</v>
      </c>
      <c r="O602" s="50" t="e">
        <f>'Raw Data'!#REF!/O$1</f>
        <v>#REF!</v>
      </c>
      <c r="P602" s="50" t="str">
        <f t="shared" si="76"/>
        <v/>
      </c>
      <c r="Q602" s="50" t="e">
        <f t="shared" si="77"/>
        <v>#REF!</v>
      </c>
    </row>
    <row r="603" spans="1:17">
      <c r="A603" s="102" t="s">
        <v>210</v>
      </c>
      <c r="B603" s="102">
        <v>4</v>
      </c>
      <c r="C603" s="102">
        <v>2023</v>
      </c>
      <c r="D603" s="102" t="s">
        <v>211</v>
      </c>
      <c r="E603" s="102" t="s">
        <v>211</v>
      </c>
      <c r="F603" s="195">
        <v>45231</v>
      </c>
      <c r="G603" s="101">
        <f t="shared" si="75"/>
        <v>30</v>
      </c>
      <c r="H603" s="196">
        <f t="shared" si="72"/>
        <v>45252</v>
      </c>
      <c r="I603" s="141">
        <f>_xlfn.XLOOKUP(Table12[[#This Row],[Month Year]],'Modelling New'!D:D,'Modelling New'!N:N)</f>
        <v>10.507</v>
      </c>
      <c r="J603" s="50" t="e">
        <f>'Raw Data'!#REF!/J$1</f>
        <v>#REF!</v>
      </c>
      <c r="K603" s="50" t="e">
        <f>'Raw Data'!#REF!/K$1</f>
        <v>#REF!</v>
      </c>
      <c r="L603" s="50" t="e">
        <f>'Raw Data'!#REF!/L$1</f>
        <v>#REF!</v>
      </c>
      <c r="M603" s="50" t="e">
        <f>'Raw Data'!#REF!/M$1</f>
        <v>#REF!</v>
      </c>
      <c r="N603" s="50" t="e">
        <f>'Raw Data'!#REF!/N$1</f>
        <v>#REF!</v>
      </c>
      <c r="O603" s="50" t="e">
        <f>'Raw Data'!#REF!/O$1</f>
        <v>#REF!</v>
      </c>
      <c r="P603" s="50" t="str">
        <f t="shared" si="76"/>
        <v/>
      </c>
      <c r="Q603" s="50" t="e">
        <f t="shared" si="77"/>
        <v>#REF!</v>
      </c>
    </row>
    <row r="604" spans="1:17">
      <c r="A604" s="102" t="s">
        <v>210</v>
      </c>
      <c r="B604" s="102">
        <v>4</v>
      </c>
      <c r="C604" s="102">
        <v>2023</v>
      </c>
      <c r="D604" s="102" t="s">
        <v>211</v>
      </c>
      <c r="E604" s="102" t="s">
        <v>211</v>
      </c>
      <c r="F604" s="195">
        <v>45231</v>
      </c>
      <c r="G604" s="101">
        <f t="shared" si="75"/>
        <v>30</v>
      </c>
      <c r="H604" s="196">
        <f t="shared" si="72"/>
        <v>45253</v>
      </c>
      <c r="I604" s="141">
        <f>_xlfn.XLOOKUP(Table12[[#This Row],[Month Year]],'Modelling New'!D:D,'Modelling New'!N:N)</f>
        <v>10.507</v>
      </c>
      <c r="J604" s="50" t="e">
        <f>'Raw Data'!#REF!/J$1</f>
        <v>#REF!</v>
      </c>
      <c r="K604" s="50" t="e">
        <f>'Raw Data'!#REF!/K$1</f>
        <v>#REF!</v>
      </c>
      <c r="L604" s="50" t="e">
        <f>'Raw Data'!#REF!/L$1</f>
        <v>#REF!</v>
      </c>
      <c r="M604" s="50" t="e">
        <f>'Raw Data'!#REF!/M$1</f>
        <v>#REF!</v>
      </c>
      <c r="N604" s="50" t="e">
        <f>'Raw Data'!#REF!/N$1</f>
        <v>#REF!</v>
      </c>
      <c r="O604" s="50" t="e">
        <f>'Raw Data'!#REF!/O$1</f>
        <v>#REF!</v>
      </c>
      <c r="P604" s="50" t="str">
        <f t="shared" si="76"/>
        <v/>
      </c>
      <c r="Q604" s="50" t="e">
        <f t="shared" si="77"/>
        <v>#REF!</v>
      </c>
    </row>
    <row r="605" spans="1:17">
      <c r="A605" s="102" t="s">
        <v>210</v>
      </c>
      <c r="B605" s="102">
        <v>4</v>
      </c>
      <c r="C605" s="102">
        <v>2023</v>
      </c>
      <c r="D605" s="102" t="s">
        <v>211</v>
      </c>
      <c r="E605" s="102" t="s">
        <v>211</v>
      </c>
      <c r="F605" s="195">
        <v>45231</v>
      </c>
      <c r="G605" s="101">
        <f t="shared" si="75"/>
        <v>30</v>
      </c>
      <c r="H605" s="196">
        <f t="shared" si="72"/>
        <v>45254</v>
      </c>
      <c r="I605" s="141">
        <f>_xlfn.XLOOKUP(Table12[[#This Row],[Month Year]],'Modelling New'!D:D,'Modelling New'!N:N)</f>
        <v>10.507</v>
      </c>
      <c r="J605" s="50" t="e">
        <f>'Raw Data'!#REF!/J$1</f>
        <v>#REF!</v>
      </c>
      <c r="K605" s="50" t="e">
        <f>'Raw Data'!#REF!/K$1</f>
        <v>#REF!</v>
      </c>
      <c r="L605" s="50" t="e">
        <f>'Raw Data'!#REF!/L$1</f>
        <v>#REF!</v>
      </c>
      <c r="M605" s="50" t="e">
        <f>'Raw Data'!#REF!/M$1</f>
        <v>#REF!</v>
      </c>
      <c r="N605" s="50" t="e">
        <f>'Raw Data'!#REF!/N$1</f>
        <v>#REF!</v>
      </c>
      <c r="O605" s="50" t="e">
        <f>'Raw Data'!#REF!/O$1</f>
        <v>#REF!</v>
      </c>
      <c r="P605" s="50" t="str">
        <f t="shared" si="76"/>
        <v/>
      </c>
      <c r="Q605" s="50" t="e">
        <f t="shared" si="77"/>
        <v>#REF!</v>
      </c>
    </row>
    <row r="606" spans="1:17">
      <c r="A606" s="102" t="s">
        <v>210</v>
      </c>
      <c r="B606" s="102">
        <v>4</v>
      </c>
      <c r="C606" s="102">
        <v>2023</v>
      </c>
      <c r="D606" s="102" t="s">
        <v>211</v>
      </c>
      <c r="E606" s="102" t="s">
        <v>211</v>
      </c>
      <c r="F606" s="195">
        <v>45231</v>
      </c>
      <c r="G606" s="101">
        <f t="shared" si="75"/>
        <v>30</v>
      </c>
      <c r="H606" s="196">
        <f t="shared" si="72"/>
        <v>45255</v>
      </c>
      <c r="I606" s="141">
        <f>_xlfn.XLOOKUP(Table12[[#This Row],[Month Year]],'Modelling New'!D:D,'Modelling New'!N:N)</f>
        <v>10.507</v>
      </c>
      <c r="J606" s="50" t="e">
        <f>'Raw Data'!#REF!/J$1</f>
        <v>#REF!</v>
      </c>
      <c r="K606" s="50" t="e">
        <f>'Raw Data'!#REF!/K$1</f>
        <v>#REF!</v>
      </c>
      <c r="L606" s="50" t="e">
        <f>'Raw Data'!#REF!/L$1</f>
        <v>#REF!</v>
      </c>
      <c r="M606" s="50" t="e">
        <f>'Raw Data'!#REF!/M$1</f>
        <v>#REF!</v>
      </c>
      <c r="N606" s="50" t="e">
        <f>'Raw Data'!#REF!/N$1</f>
        <v>#REF!</v>
      </c>
      <c r="O606" s="50" t="e">
        <f>'Raw Data'!#REF!/O$1</f>
        <v>#REF!</v>
      </c>
      <c r="P606" s="50" t="str">
        <f t="shared" si="76"/>
        <v/>
      </c>
      <c r="Q606" s="50" t="e">
        <f t="shared" si="77"/>
        <v>#REF!</v>
      </c>
    </row>
    <row r="607" spans="1:17">
      <c r="A607" s="102" t="s">
        <v>210</v>
      </c>
      <c r="B607" s="102">
        <v>4</v>
      </c>
      <c r="C607" s="102">
        <v>2023</v>
      </c>
      <c r="D607" s="102" t="s">
        <v>211</v>
      </c>
      <c r="E607" s="102" t="s">
        <v>211</v>
      </c>
      <c r="F607" s="195">
        <v>45231</v>
      </c>
      <c r="G607" s="101">
        <f t="shared" si="75"/>
        <v>30</v>
      </c>
      <c r="H607" s="196">
        <f t="shared" si="72"/>
        <v>45256</v>
      </c>
      <c r="I607" s="141">
        <f>_xlfn.XLOOKUP(Table12[[#This Row],[Month Year]],'Modelling New'!D:D,'Modelling New'!N:N)</f>
        <v>10.507</v>
      </c>
      <c r="J607" s="50" t="e">
        <f>'Raw Data'!#REF!/J$1</f>
        <v>#REF!</v>
      </c>
      <c r="K607" s="50" t="e">
        <f>'Raw Data'!#REF!/K$1</f>
        <v>#REF!</v>
      </c>
      <c r="L607" s="50" t="e">
        <f>'Raw Data'!#REF!/L$1</f>
        <v>#REF!</v>
      </c>
      <c r="M607" s="50" t="e">
        <f>'Raw Data'!#REF!/M$1</f>
        <v>#REF!</v>
      </c>
      <c r="N607" s="50" t="e">
        <f>'Raw Data'!#REF!/N$1</f>
        <v>#REF!</v>
      </c>
      <c r="O607" s="50" t="e">
        <f>'Raw Data'!#REF!/O$1</f>
        <v>#REF!</v>
      </c>
      <c r="P607" s="50" t="str">
        <f t="shared" si="76"/>
        <v/>
      </c>
      <c r="Q607" s="50" t="e">
        <f t="shared" si="77"/>
        <v>#REF!</v>
      </c>
    </row>
    <row r="608" spans="1:17">
      <c r="A608" s="102" t="s">
        <v>210</v>
      </c>
      <c r="B608" s="102">
        <v>4</v>
      </c>
      <c r="C608" s="102">
        <v>2023</v>
      </c>
      <c r="D608" s="102" t="s">
        <v>211</v>
      </c>
      <c r="E608" s="102" t="s">
        <v>211</v>
      </c>
      <c r="F608" s="195">
        <v>45231</v>
      </c>
      <c r="G608" s="101">
        <f t="shared" si="75"/>
        <v>30</v>
      </c>
      <c r="H608" s="196">
        <f t="shared" si="72"/>
        <v>45257</v>
      </c>
      <c r="I608" s="141">
        <f>_xlfn.XLOOKUP(Table12[[#This Row],[Month Year]],'Modelling New'!D:D,'Modelling New'!N:N)</f>
        <v>10.507</v>
      </c>
      <c r="J608" s="50" t="e">
        <f>'Raw Data'!#REF!/J$1</f>
        <v>#REF!</v>
      </c>
      <c r="K608" s="50" t="e">
        <f>'Raw Data'!#REF!/K$1</f>
        <v>#REF!</v>
      </c>
      <c r="L608" s="50" t="e">
        <f>'Raw Data'!#REF!/L$1</f>
        <v>#REF!</v>
      </c>
      <c r="M608" s="50" t="e">
        <f>'Raw Data'!#REF!/M$1</f>
        <v>#REF!</v>
      </c>
      <c r="N608" s="50" t="e">
        <f>'Raw Data'!#REF!/N$1</f>
        <v>#REF!</v>
      </c>
      <c r="O608" s="50" t="e">
        <f>'Raw Data'!#REF!/O$1</f>
        <v>#REF!</v>
      </c>
      <c r="P608" s="50" t="str">
        <f t="shared" si="76"/>
        <v/>
      </c>
      <c r="Q608" s="50" t="e">
        <f t="shared" si="77"/>
        <v>#REF!</v>
      </c>
    </row>
    <row r="609" spans="1:17">
      <c r="A609" s="102" t="s">
        <v>210</v>
      </c>
      <c r="B609" s="102">
        <v>4</v>
      </c>
      <c r="C609" s="102">
        <v>2023</v>
      </c>
      <c r="D609" s="102" t="s">
        <v>211</v>
      </c>
      <c r="E609" s="102" t="s">
        <v>211</v>
      </c>
      <c r="F609" s="195">
        <v>45231</v>
      </c>
      <c r="G609" s="101">
        <f t="shared" si="75"/>
        <v>30</v>
      </c>
      <c r="H609" s="196">
        <f t="shared" si="72"/>
        <v>45258</v>
      </c>
      <c r="I609" s="141">
        <f>_xlfn.XLOOKUP(Table12[[#This Row],[Month Year]],'Modelling New'!D:D,'Modelling New'!N:N)</f>
        <v>10.507</v>
      </c>
      <c r="J609" s="50" t="e">
        <f>'Raw Data'!#REF!/J$1</f>
        <v>#REF!</v>
      </c>
      <c r="K609" s="50" t="e">
        <f>'Raw Data'!#REF!/K$1</f>
        <v>#REF!</v>
      </c>
      <c r="L609" s="50" t="e">
        <f>'Raw Data'!#REF!/L$1</f>
        <v>#REF!</v>
      </c>
      <c r="M609" s="50" t="e">
        <f>'Raw Data'!#REF!/M$1</f>
        <v>#REF!</v>
      </c>
      <c r="N609" s="50" t="e">
        <f>'Raw Data'!#REF!/N$1</f>
        <v>#REF!</v>
      </c>
      <c r="O609" s="50" t="e">
        <f>'Raw Data'!#REF!/O$1</f>
        <v>#REF!</v>
      </c>
      <c r="P609" s="50" t="str">
        <f t="shared" si="76"/>
        <v/>
      </c>
      <c r="Q609" s="50" t="e">
        <f t="shared" si="77"/>
        <v>#REF!</v>
      </c>
    </row>
    <row r="610" spans="1:17">
      <c r="A610" s="102" t="s">
        <v>210</v>
      </c>
      <c r="B610" s="102">
        <v>4</v>
      </c>
      <c r="C610" s="102">
        <v>2023</v>
      </c>
      <c r="D610" s="102" t="s">
        <v>211</v>
      </c>
      <c r="E610" s="102" t="s">
        <v>211</v>
      </c>
      <c r="F610" s="195">
        <v>45231</v>
      </c>
      <c r="G610" s="101">
        <f t="shared" si="75"/>
        <v>30</v>
      </c>
      <c r="H610" s="196">
        <f t="shared" si="72"/>
        <v>45259</v>
      </c>
      <c r="I610" s="141">
        <f>_xlfn.XLOOKUP(Table12[[#This Row],[Month Year]],'Modelling New'!D:D,'Modelling New'!N:N)</f>
        <v>10.507</v>
      </c>
      <c r="J610" s="50" t="e">
        <f>'Raw Data'!#REF!/J$1</f>
        <v>#REF!</v>
      </c>
      <c r="K610" s="50" t="e">
        <f>'Raw Data'!#REF!/K$1</f>
        <v>#REF!</v>
      </c>
      <c r="L610" s="50" t="e">
        <f>'Raw Data'!#REF!/L$1</f>
        <v>#REF!</v>
      </c>
      <c r="M610" s="50" t="e">
        <f>'Raw Data'!#REF!/M$1</f>
        <v>#REF!</v>
      </c>
      <c r="N610" s="50" t="e">
        <f>'Raw Data'!#REF!/N$1</f>
        <v>#REF!</v>
      </c>
      <c r="O610" s="50" t="e">
        <f>'Raw Data'!#REF!/O$1</f>
        <v>#REF!</v>
      </c>
      <c r="P610" s="50" t="str">
        <f t="shared" si="76"/>
        <v/>
      </c>
      <c r="Q610" s="50" t="e">
        <f t="shared" si="77"/>
        <v>#REF!</v>
      </c>
    </row>
    <row r="611" spans="1:17">
      <c r="A611" s="102" t="s">
        <v>210</v>
      </c>
      <c r="B611" s="102">
        <v>4</v>
      </c>
      <c r="C611" s="102">
        <v>2023</v>
      </c>
      <c r="D611" s="102" t="s">
        <v>211</v>
      </c>
      <c r="E611" s="102" t="s">
        <v>211</v>
      </c>
      <c r="F611" s="195">
        <v>45231</v>
      </c>
      <c r="G611" s="101">
        <f t="shared" si="75"/>
        <v>30</v>
      </c>
      <c r="H611" s="196">
        <f t="shared" si="72"/>
        <v>45260</v>
      </c>
      <c r="I611" s="141">
        <f>_xlfn.XLOOKUP(Table12[[#This Row],[Month Year]],'Modelling New'!D:D,'Modelling New'!N:N)</f>
        <v>10.507</v>
      </c>
      <c r="J611" s="50" t="e">
        <f>'Raw Data'!#REF!/J$1</f>
        <v>#REF!</v>
      </c>
      <c r="K611" s="50" t="e">
        <f>'Raw Data'!#REF!/K$1</f>
        <v>#REF!</v>
      </c>
      <c r="L611" s="50" t="e">
        <f>'Raw Data'!#REF!/L$1</f>
        <v>#REF!</v>
      </c>
      <c r="M611" s="50" t="e">
        <f>'Raw Data'!#REF!/M$1</f>
        <v>#REF!</v>
      </c>
      <c r="N611" s="50" t="e">
        <f>'Raw Data'!#REF!/N$1</f>
        <v>#REF!</v>
      </c>
      <c r="O611" s="50" t="e">
        <f>'Raw Data'!#REF!/O$1</f>
        <v>#REF!</v>
      </c>
      <c r="P611" s="50" t="str">
        <f t="shared" si="76"/>
        <v/>
      </c>
      <c r="Q611" s="50" t="e">
        <f t="shared" si="77"/>
        <v>#REF!</v>
      </c>
    </row>
    <row r="612" spans="1:17">
      <c r="A612" s="102" t="s">
        <v>210</v>
      </c>
      <c r="B612" s="102">
        <v>4</v>
      </c>
      <c r="C612" s="102">
        <v>2023</v>
      </c>
      <c r="D612" s="102" t="s">
        <v>211</v>
      </c>
      <c r="E612" s="102" t="s">
        <v>211</v>
      </c>
      <c r="F612" s="195">
        <v>45261</v>
      </c>
      <c r="G612" s="101">
        <f t="shared" si="75"/>
        <v>31</v>
      </c>
      <c r="H612" s="196">
        <f t="shared" si="72"/>
        <v>45261</v>
      </c>
      <c r="I612" s="141">
        <f>_xlfn.XLOOKUP(Table12[[#This Row],[Month Year]],'Modelling New'!D:D,'Modelling New'!N:N)</f>
        <v>10.507</v>
      </c>
      <c r="J612" s="50" t="e">
        <f>'Raw Data'!#REF!/J$1</f>
        <v>#REF!</v>
      </c>
      <c r="K612" s="50" t="e">
        <f>'Raw Data'!#REF!/K$1</f>
        <v>#REF!</v>
      </c>
      <c r="L612" s="50" t="e">
        <f>'Raw Data'!#REF!/L$1</f>
        <v>#REF!</v>
      </c>
      <c r="M612" s="50" t="e">
        <f>'Raw Data'!#REF!/M$1</f>
        <v>#REF!</v>
      </c>
      <c r="N612" s="50" t="e">
        <f>'Raw Data'!#REF!/N$1</f>
        <v>#REF!</v>
      </c>
      <c r="O612" s="50" t="e">
        <f>'Raw Data'!#REF!/O$1</f>
        <v>#REF!</v>
      </c>
      <c r="P612" s="50" t="str">
        <f t="shared" si="76"/>
        <v/>
      </c>
      <c r="Q612" s="50" t="e">
        <f t="shared" si="77"/>
        <v>#REF!</v>
      </c>
    </row>
    <row r="613" spans="1:17">
      <c r="A613" s="102" t="s">
        <v>210</v>
      </c>
      <c r="B613" s="102">
        <v>4</v>
      </c>
      <c r="C613" s="102">
        <v>2023</v>
      </c>
      <c r="D613" s="102" t="s">
        <v>211</v>
      </c>
      <c r="E613" s="102" t="s">
        <v>211</v>
      </c>
      <c r="F613" s="195">
        <v>45261</v>
      </c>
      <c r="G613" s="101">
        <f t="shared" si="75"/>
        <v>31</v>
      </c>
      <c r="H613" s="196">
        <f t="shared" si="72"/>
        <v>45262</v>
      </c>
      <c r="I613" s="141">
        <f>_xlfn.XLOOKUP(Table12[[#This Row],[Month Year]],'Modelling New'!D:D,'Modelling New'!N:N)</f>
        <v>10.507</v>
      </c>
      <c r="J613" s="50" t="e">
        <f>'Raw Data'!#REF!/J$1</f>
        <v>#REF!</v>
      </c>
      <c r="K613" s="50" t="e">
        <f>'Raw Data'!#REF!/K$1</f>
        <v>#REF!</v>
      </c>
      <c r="L613" s="50" t="e">
        <f>'Raw Data'!#REF!/L$1</f>
        <v>#REF!</v>
      </c>
      <c r="M613" s="50" t="e">
        <f>'Raw Data'!#REF!/M$1</f>
        <v>#REF!</v>
      </c>
      <c r="N613" s="50" t="e">
        <f>'Raw Data'!#REF!/N$1</f>
        <v>#REF!</v>
      </c>
      <c r="O613" s="50" t="e">
        <f>'Raw Data'!#REF!/O$1</f>
        <v>#REF!</v>
      </c>
      <c r="P613" s="50" t="str">
        <f t="shared" si="76"/>
        <v/>
      </c>
      <c r="Q613" s="50" t="e">
        <f t="shared" si="77"/>
        <v>#REF!</v>
      </c>
    </row>
    <row r="614" spans="1:17">
      <c r="A614" s="102" t="s">
        <v>210</v>
      </c>
      <c r="B614" s="102">
        <v>4</v>
      </c>
      <c r="C614" s="102">
        <v>2023</v>
      </c>
      <c r="D614" s="102" t="s">
        <v>211</v>
      </c>
      <c r="E614" s="102" t="s">
        <v>211</v>
      </c>
      <c r="F614" s="195">
        <v>45261</v>
      </c>
      <c r="G614" s="101">
        <f t="shared" si="75"/>
        <v>31</v>
      </c>
      <c r="H614" s="196">
        <f t="shared" si="72"/>
        <v>45263</v>
      </c>
      <c r="I614" s="141">
        <f>_xlfn.XLOOKUP(Table12[[#This Row],[Month Year]],'Modelling New'!D:D,'Modelling New'!N:N)</f>
        <v>10.507</v>
      </c>
      <c r="J614" s="50" t="e">
        <f>'Raw Data'!#REF!/J$1</f>
        <v>#REF!</v>
      </c>
      <c r="K614" s="50" t="e">
        <f>'Raw Data'!#REF!/K$1</f>
        <v>#REF!</v>
      </c>
      <c r="L614" s="50" t="e">
        <f>'Raw Data'!#REF!/L$1</f>
        <v>#REF!</v>
      </c>
      <c r="M614" s="50" t="e">
        <f>'Raw Data'!#REF!/M$1</f>
        <v>#REF!</v>
      </c>
      <c r="N614" s="50" t="e">
        <f>'Raw Data'!#REF!/N$1</f>
        <v>#REF!</v>
      </c>
      <c r="O614" s="50" t="e">
        <f>'Raw Data'!#REF!/O$1</f>
        <v>#REF!</v>
      </c>
      <c r="P614" s="50" t="str">
        <f t="shared" si="76"/>
        <v/>
      </c>
      <c r="Q614" s="50" t="e">
        <f t="shared" si="77"/>
        <v>#REF!</v>
      </c>
    </row>
    <row r="615" spans="1:17">
      <c r="A615" s="102" t="s">
        <v>210</v>
      </c>
      <c r="B615" s="102">
        <v>4</v>
      </c>
      <c r="C615" s="102">
        <v>2023</v>
      </c>
      <c r="D615" s="102" t="s">
        <v>211</v>
      </c>
      <c r="E615" s="102" t="s">
        <v>211</v>
      </c>
      <c r="F615" s="195">
        <v>45261</v>
      </c>
      <c r="G615" s="101">
        <f t="shared" si="75"/>
        <v>31</v>
      </c>
      <c r="H615" s="196">
        <f t="shared" si="72"/>
        <v>45264</v>
      </c>
      <c r="I615" s="141">
        <f>_xlfn.XLOOKUP(Table12[[#This Row],[Month Year]],'Modelling New'!D:D,'Modelling New'!N:N)</f>
        <v>10.507</v>
      </c>
      <c r="J615" s="50" t="e">
        <f>'Raw Data'!#REF!/J$1</f>
        <v>#REF!</v>
      </c>
      <c r="K615" s="50" t="e">
        <f>'Raw Data'!#REF!/K$1</f>
        <v>#REF!</v>
      </c>
      <c r="L615" s="50" t="e">
        <f>'Raw Data'!#REF!/L$1</f>
        <v>#REF!</v>
      </c>
      <c r="M615" s="50" t="e">
        <f>'Raw Data'!#REF!/M$1</f>
        <v>#REF!</v>
      </c>
      <c r="N615" s="50" t="e">
        <f>'Raw Data'!#REF!/N$1</f>
        <v>#REF!</v>
      </c>
      <c r="O615" s="50" t="e">
        <f>'Raw Data'!#REF!/O$1</f>
        <v>#REF!</v>
      </c>
      <c r="P615" s="50" t="str">
        <f t="shared" si="76"/>
        <v/>
      </c>
      <c r="Q615" s="50" t="e">
        <f t="shared" si="77"/>
        <v>#REF!</v>
      </c>
    </row>
    <row r="616" spans="1:17">
      <c r="A616" s="102" t="s">
        <v>210</v>
      </c>
      <c r="B616" s="102">
        <v>4</v>
      </c>
      <c r="C616" s="102">
        <v>2023</v>
      </c>
      <c r="D616" s="102" t="s">
        <v>211</v>
      </c>
      <c r="E616" s="102" t="s">
        <v>211</v>
      </c>
      <c r="F616" s="195">
        <v>45261</v>
      </c>
      <c r="G616" s="101">
        <f t="shared" si="75"/>
        <v>31</v>
      </c>
      <c r="H616" s="196">
        <f t="shared" si="72"/>
        <v>45265</v>
      </c>
      <c r="I616" s="141">
        <f>_xlfn.XLOOKUP(Table12[[#This Row],[Month Year]],'Modelling New'!D:D,'Modelling New'!N:N)</f>
        <v>10.507</v>
      </c>
      <c r="J616" s="50" t="e">
        <f>'Raw Data'!#REF!/J$1</f>
        <v>#REF!</v>
      </c>
      <c r="K616" s="50" t="e">
        <f>'Raw Data'!#REF!/K$1</f>
        <v>#REF!</v>
      </c>
      <c r="L616" s="50" t="e">
        <f>'Raw Data'!#REF!/L$1</f>
        <v>#REF!</v>
      </c>
      <c r="M616" s="50" t="e">
        <f>'Raw Data'!#REF!/M$1</f>
        <v>#REF!</v>
      </c>
      <c r="N616" s="50" t="e">
        <f>'Raw Data'!#REF!/N$1</f>
        <v>#REF!</v>
      </c>
      <c r="O616" s="50" t="e">
        <f>'Raw Data'!#REF!/O$1</f>
        <v>#REF!</v>
      </c>
      <c r="P616" s="50" t="str">
        <f t="shared" si="76"/>
        <v/>
      </c>
      <c r="Q616" s="50" t="e">
        <f t="shared" si="77"/>
        <v>#REF!</v>
      </c>
    </row>
    <row r="617" spans="1:17">
      <c r="A617" s="102" t="s">
        <v>210</v>
      </c>
      <c r="B617" s="102">
        <v>4</v>
      </c>
      <c r="C617" s="102">
        <v>2023</v>
      </c>
      <c r="D617" s="102" t="s">
        <v>211</v>
      </c>
      <c r="E617" s="102" t="s">
        <v>211</v>
      </c>
      <c r="F617" s="195">
        <v>45261</v>
      </c>
      <c r="G617" s="101">
        <f t="shared" si="75"/>
        <v>31</v>
      </c>
      <c r="H617" s="196">
        <f t="shared" si="72"/>
        <v>45266</v>
      </c>
      <c r="I617" s="141">
        <f>_xlfn.XLOOKUP(Table12[[#This Row],[Month Year]],'Modelling New'!D:D,'Modelling New'!N:N)</f>
        <v>10.507</v>
      </c>
      <c r="J617" s="50" t="e">
        <f>'Raw Data'!#REF!/J$1</f>
        <v>#REF!</v>
      </c>
      <c r="K617" s="50" t="e">
        <f>'Raw Data'!#REF!/K$1</f>
        <v>#REF!</v>
      </c>
      <c r="L617" s="50" t="e">
        <f>'Raw Data'!#REF!/L$1</f>
        <v>#REF!</v>
      </c>
      <c r="M617" s="50" t="e">
        <f>'Raw Data'!#REF!/M$1</f>
        <v>#REF!</v>
      </c>
      <c r="N617" s="50" t="e">
        <f>'Raw Data'!#REF!/N$1</f>
        <v>#REF!</v>
      </c>
      <c r="O617" s="50" t="e">
        <f>'Raw Data'!#REF!/O$1</f>
        <v>#REF!</v>
      </c>
      <c r="P617" s="50" t="str">
        <f t="shared" si="76"/>
        <v/>
      </c>
      <c r="Q617" s="50" t="e">
        <f t="shared" si="77"/>
        <v>#REF!</v>
      </c>
    </row>
    <row r="618" spans="1:17">
      <c r="A618" s="102" t="s">
        <v>210</v>
      </c>
      <c r="B618" s="102">
        <v>4</v>
      </c>
      <c r="C618" s="102">
        <v>2023</v>
      </c>
      <c r="D618" s="102" t="s">
        <v>211</v>
      </c>
      <c r="E618" s="102" t="s">
        <v>211</v>
      </c>
      <c r="F618" s="195">
        <v>45261</v>
      </c>
      <c r="G618" s="101">
        <f t="shared" si="75"/>
        <v>31</v>
      </c>
      <c r="H618" s="196">
        <f t="shared" si="72"/>
        <v>45267</v>
      </c>
      <c r="I618" s="141">
        <f>_xlfn.XLOOKUP(Table12[[#This Row],[Month Year]],'Modelling New'!D:D,'Modelling New'!N:N)</f>
        <v>10.507</v>
      </c>
      <c r="J618" s="50" t="e">
        <f>'Raw Data'!#REF!/J$1</f>
        <v>#REF!</v>
      </c>
      <c r="K618" s="50" t="e">
        <f>'Raw Data'!#REF!/K$1</f>
        <v>#REF!</v>
      </c>
      <c r="L618" s="50" t="e">
        <f>'Raw Data'!#REF!/L$1</f>
        <v>#REF!</v>
      </c>
      <c r="M618" s="50" t="e">
        <f>'Raw Data'!#REF!/M$1</f>
        <v>#REF!</v>
      </c>
      <c r="N618" s="50" t="e">
        <f>'Raw Data'!#REF!/N$1</f>
        <v>#REF!</v>
      </c>
      <c r="O618" s="50" t="e">
        <f>'Raw Data'!#REF!/O$1</f>
        <v>#REF!</v>
      </c>
      <c r="P618" s="50" t="str">
        <f t="shared" si="76"/>
        <v/>
      </c>
      <c r="Q618" s="50" t="e">
        <f t="shared" si="77"/>
        <v>#REF!</v>
      </c>
    </row>
    <row r="619" spans="1:17">
      <c r="A619" s="102" t="s">
        <v>210</v>
      </c>
      <c r="B619" s="102">
        <v>4</v>
      </c>
      <c r="C619" s="102">
        <v>2023</v>
      </c>
      <c r="D619" s="102" t="s">
        <v>211</v>
      </c>
      <c r="E619" s="102" t="s">
        <v>211</v>
      </c>
      <c r="F619" s="195">
        <v>45261</v>
      </c>
      <c r="G619" s="101">
        <f t="shared" si="75"/>
        <v>31</v>
      </c>
      <c r="H619" s="196">
        <f t="shared" si="72"/>
        <v>45268</v>
      </c>
      <c r="I619" s="141">
        <f>_xlfn.XLOOKUP(Table12[[#This Row],[Month Year]],'Modelling New'!D:D,'Modelling New'!N:N)</f>
        <v>10.507</v>
      </c>
      <c r="J619" s="50" t="e">
        <f>'Raw Data'!#REF!/J$1</f>
        <v>#REF!</v>
      </c>
      <c r="K619" s="50" t="e">
        <f>'Raw Data'!#REF!/K$1</f>
        <v>#REF!</v>
      </c>
      <c r="L619" s="50" t="e">
        <f>'Raw Data'!#REF!/L$1</f>
        <v>#REF!</v>
      </c>
      <c r="M619" s="50" t="e">
        <f>'Raw Data'!#REF!/M$1</f>
        <v>#REF!</v>
      </c>
      <c r="N619" s="50" t="e">
        <f>'Raw Data'!#REF!/N$1</f>
        <v>#REF!</v>
      </c>
      <c r="O619" s="50" t="e">
        <f>'Raw Data'!#REF!/O$1</f>
        <v>#REF!</v>
      </c>
      <c r="P619" s="50" t="str">
        <f t="shared" si="76"/>
        <v/>
      </c>
      <c r="Q619" s="50" t="e">
        <f t="shared" si="77"/>
        <v>#REF!</v>
      </c>
    </row>
    <row r="620" spans="1:17">
      <c r="A620" s="102" t="s">
        <v>210</v>
      </c>
      <c r="B620" s="102">
        <v>4</v>
      </c>
      <c r="C620" s="102">
        <v>2023</v>
      </c>
      <c r="D620" s="102" t="s">
        <v>211</v>
      </c>
      <c r="E620" s="102" t="s">
        <v>211</v>
      </c>
      <c r="F620" s="195">
        <v>45261</v>
      </c>
      <c r="G620" s="101">
        <f t="shared" si="75"/>
        <v>31</v>
      </c>
      <c r="H620" s="196">
        <f t="shared" si="72"/>
        <v>45269</v>
      </c>
      <c r="I620" s="141">
        <f>_xlfn.XLOOKUP(Table12[[#This Row],[Month Year]],'Modelling New'!D:D,'Modelling New'!N:N)</f>
        <v>10.507</v>
      </c>
      <c r="J620" s="50" t="e">
        <f>'Raw Data'!#REF!/J$1</f>
        <v>#REF!</v>
      </c>
      <c r="K620" s="50" t="e">
        <f>'Raw Data'!#REF!/K$1</f>
        <v>#REF!</v>
      </c>
      <c r="L620" s="50" t="e">
        <f>'Raw Data'!#REF!/L$1</f>
        <v>#REF!</v>
      </c>
      <c r="M620" s="50" t="e">
        <f>'Raw Data'!#REF!/M$1</f>
        <v>#REF!</v>
      </c>
      <c r="N620" s="50" t="e">
        <f>'Raw Data'!#REF!/N$1</f>
        <v>#REF!</v>
      </c>
      <c r="O620" s="50" t="e">
        <f>'Raw Data'!#REF!/O$1</f>
        <v>#REF!</v>
      </c>
      <c r="P620" s="50" t="str">
        <f t="shared" si="76"/>
        <v/>
      </c>
      <c r="Q620" s="50" t="e">
        <f t="shared" si="77"/>
        <v>#REF!</v>
      </c>
    </row>
    <row r="621" spans="1:17">
      <c r="A621" s="102" t="s">
        <v>210</v>
      </c>
      <c r="B621" s="102">
        <v>4</v>
      </c>
      <c r="C621" s="102">
        <v>2023</v>
      </c>
      <c r="D621" s="102" t="s">
        <v>211</v>
      </c>
      <c r="E621" s="102" t="s">
        <v>211</v>
      </c>
      <c r="F621" s="195">
        <v>45261</v>
      </c>
      <c r="G621" s="101">
        <f t="shared" si="75"/>
        <v>31</v>
      </c>
      <c r="H621" s="196">
        <f t="shared" si="72"/>
        <v>45270</v>
      </c>
      <c r="I621" s="141">
        <f>_xlfn.XLOOKUP(Table12[[#This Row],[Month Year]],'Modelling New'!D:D,'Modelling New'!N:N)</f>
        <v>10.507</v>
      </c>
      <c r="J621" s="50" t="e">
        <f>'Raw Data'!#REF!/J$1</f>
        <v>#REF!</v>
      </c>
      <c r="K621" s="50" t="e">
        <f>'Raw Data'!#REF!/K$1</f>
        <v>#REF!</v>
      </c>
      <c r="L621" s="50" t="e">
        <f>'Raw Data'!#REF!/L$1</f>
        <v>#REF!</v>
      </c>
      <c r="M621" s="50" t="e">
        <f>'Raw Data'!#REF!/M$1</f>
        <v>#REF!</v>
      </c>
      <c r="N621" s="50" t="e">
        <f>'Raw Data'!#REF!/N$1</f>
        <v>#REF!</v>
      </c>
      <c r="O621" s="50" t="e">
        <f>'Raw Data'!#REF!/O$1</f>
        <v>#REF!</v>
      </c>
      <c r="P621" s="50" t="str">
        <f t="shared" si="76"/>
        <v/>
      </c>
      <c r="Q621" s="50" t="e">
        <f t="shared" si="77"/>
        <v>#REF!</v>
      </c>
    </row>
    <row r="622" spans="1:17">
      <c r="A622" s="102" t="s">
        <v>210</v>
      </c>
      <c r="B622" s="102">
        <v>4</v>
      </c>
      <c r="C622" s="102">
        <v>2023</v>
      </c>
      <c r="D622" s="102" t="s">
        <v>211</v>
      </c>
      <c r="E622" s="102" t="s">
        <v>211</v>
      </c>
      <c r="F622" s="195">
        <v>45261</v>
      </c>
      <c r="G622" s="101">
        <f t="shared" si="75"/>
        <v>31</v>
      </c>
      <c r="H622" s="196">
        <f t="shared" si="72"/>
        <v>45271</v>
      </c>
      <c r="I622" s="141">
        <f>_xlfn.XLOOKUP(Table12[[#This Row],[Month Year]],'Modelling New'!D:D,'Modelling New'!N:N)</f>
        <v>10.507</v>
      </c>
      <c r="J622" s="50" t="e">
        <f>'Raw Data'!#REF!/J$1</f>
        <v>#REF!</v>
      </c>
      <c r="K622" s="50" t="e">
        <f>'Raw Data'!#REF!/K$1</f>
        <v>#REF!</v>
      </c>
      <c r="L622" s="50" t="e">
        <f>'Raw Data'!#REF!/L$1</f>
        <v>#REF!</v>
      </c>
      <c r="M622" s="50" t="e">
        <f>'Raw Data'!#REF!/M$1</f>
        <v>#REF!</v>
      </c>
      <c r="N622" s="50" t="e">
        <f>'Raw Data'!#REF!/N$1</f>
        <v>#REF!</v>
      </c>
      <c r="O622" s="50" t="e">
        <f>'Raw Data'!#REF!/O$1</f>
        <v>#REF!</v>
      </c>
      <c r="P622" s="50" t="str">
        <f t="shared" si="76"/>
        <v/>
      </c>
      <c r="Q622" s="50" t="e">
        <f t="shared" si="77"/>
        <v>#REF!</v>
      </c>
    </row>
    <row r="623" spans="1:17">
      <c r="A623" s="102" t="s">
        <v>210</v>
      </c>
      <c r="B623" s="102">
        <v>4</v>
      </c>
      <c r="C623" s="102">
        <v>2023</v>
      </c>
      <c r="D623" s="102" t="s">
        <v>211</v>
      </c>
      <c r="E623" s="102" t="s">
        <v>211</v>
      </c>
      <c r="F623" s="195">
        <v>45261</v>
      </c>
      <c r="G623" s="101">
        <f t="shared" si="75"/>
        <v>31</v>
      </c>
      <c r="H623" s="196">
        <f t="shared" si="72"/>
        <v>45272</v>
      </c>
      <c r="I623" s="141">
        <f>_xlfn.XLOOKUP(Table12[[#This Row],[Month Year]],'Modelling New'!D:D,'Modelling New'!N:N)</f>
        <v>10.507</v>
      </c>
      <c r="J623" s="50" t="e">
        <f>'Raw Data'!#REF!/J$1</f>
        <v>#REF!</v>
      </c>
      <c r="K623" s="50" t="e">
        <f>'Raw Data'!#REF!/K$1</f>
        <v>#REF!</v>
      </c>
      <c r="L623" s="50" t="e">
        <f>'Raw Data'!#REF!/L$1</f>
        <v>#REF!</v>
      </c>
      <c r="M623" s="50" t="e">
        <f>'Raw Data'!#REF!/M$1</f>
        <v>#REF!</v>
      </c>
      <c r="N623" s="50" t="e">
        <f>'Raw Data'!#REF!/N$1</f>
        <v>#REF!</v>
      </c>
      <c r="O623" s="50" t="e">
        <f>'Raw Data'!#REF!/O$1</f>
        <v>#REF!</v>
      </c>
      <c r="P623" s="50" t="str">
        <f t="shared" si="76"/>
        <v/>
      </c>
      <c r="Q623" s="50" t="e">
        <f t="shared" si="77"/>
        <v>#REF!</v>
      </c>
    </row>
    <row r="624" spans="1:17">
      <c r="A624" s="102" t="s">
        <v>210</v>
      </c>
      <c r="B624" s="102">
        <v>4</v>
      </c>
      <c r="C624" s="102">
        <v>2023</v>
      </c>
      <c r="D624" s="102" t="s">
        <v>211</v>
      </c>
      <c r="E624" s="102" t="s">
        <v>211</v>
      </c>
      <c r="F624" s="195">
        <v>45261</v>
      </c>
      <c r="G624" s="101">
        <f t="shared" si="75"/>
        <v>31</v>
      </c>
      <c r="H624" s="196">
        <f t="shared" si="72"/>
        <v>45273</v>
      </c>
      <c r="I624" s="141">
        <f>_xlfn.XLOOKUP(Table12[[#This Row],[Month Year]],'Modelling New'!D:D,'Modelling New'!N:N)</f>
        <v>10.507</v>
      </c>
      <c r="J624" s="50" t="e">
        <f>'Raw Data'!#REF!/J$1</f>
        <v>#REF!</v>
      </c>
      <c r="K624" s="50" t="e">
        <f>'Raw Data'!#REF!/K$1</f>
        <v>#REF!</v>
      </c>
      <c r="L624" s="50" t="e">
        <f>'Raw Data'!#REF!/L$1</f>
        <v>#REF!</v>
      </c>
      <c r="M624" s="50" t="e">
        <f>'Raw Data'!#REF!/M$1</f>
        <v>#REF!</v>
      </c>
      <c r="N624" s="50" t="e">
        <f>'Raw Data'!#REF!/N$1</f>
        <v>#REF!</v>
      </c>
      <c r="O624" s="50" t="e">
        <f>'Raw Data'!#REF!/O$1</f>
        <v>#REF!</v>
      </c>
      <c r="P624" s="50" t="str">
        <f t="shared" si="76"/>
        <v/>
      </c>
      <c r="Q624" s="50" t="e">
        <f t="shared" si="77"/>
        <v>#REF!</v>
      </c>
    </row>
    <row r="625" spans="1:17">
      <c r="A625" s="102" t="s">
        <v>210</v>
      </c>
      <c r="B625" s="102">
        <v>4</v>
      </c>
      <c r="C625" s="102">
        <v>2023</v>
      </c>
      <c r="D625" s="102" t="s">
        <v>211</v>
      </c>
      <c r="E625" s="102" t="s">
        <v>211</v>
      </c>
      <c r="F625" s="195">
        <v>45261</v>
      </c>
      <c r="G625" s="101">
        <f t="shared" si="75"/>
        <v>31</v>
      </c>
      <c r="H625" s="196">
        <f t="shared" si="72"/>
        <v>45274</v>
      </c>
      <c r="I625" s="141">
        <f>_xlfn.XLOOKUP(Table12[[#This Row],[Month Year]],'Modelling New'!D:D,'Modelling New'!N:N)</f>
        <v>10.507</v>
      </c>
      <c r="J625" s="50" t="e">
        <f>'Raw Data'!#REF!/J$1</f>
        <v>#REF!</v>
      </c>
      <c r="K625" s="50" t="e">
        <f>'Raw Data'!#REF!/K$1</f>
        <v>#REF!</v>
      </c>
      <c r="L625" s="50" t="e">
        <f>'Raw Data'!#REF!/L$1</f>
        <v>#REF!</v>
      </c>
      <c r="M625" s="50" t="e">
        <f>'Raw Data'!#REF!/M$1</f>
        <v>#REF!</v>
      </c>
      <c r="N625" s="50" t="e">
        <f>'Raw Data'!#REF!/N$1</f>
        <v>#REF!</v>
      </c>
      <c r="O625" s="50" t="e">
        <f>'Raw Data'!#REF!/O$1</f>
        <v>#REF!</v>
      </c>
      <c r="P625" s="50" t="str">
        <f t="shared" si="76"/>
        <v/>
      </c>
      <c r="Q625" s="50" t="e">
        <f t="shared" si="77"/>
        <v>#REF!</v>
      </c>
    </row>
    <row r="626" spans="1:17">
      <c r="A626" s="102" t="s">
        <v>210</v>
      </c>
      <c r="B626" s="102">
        <v>4</v>
      </c>
      <c r="C626" s="102">
        <v>2023</v>
      </c>
      <c r="D626" s="102" t="s">
        <v>211</v>
      </c>
      <c r="E626" s="102" t="s">
        <v>211</v>
      </c>
      <c r="F626" s="195">
        <v>45261</v>
      </c>
      <c r="G626" s="101">
        <f t="shared" si="75"/>
        <v>31</v>
      </c>
      <c r="H626" s="196">
        <f t="shared" si="72"/>
        <v>45275</v>
      </c>
      <c r="I626" s="141">
        <f>_xlfn.XLOOKUP(Table12[[#This Row],[Month Year]],'Modelling New'!D:D,'Modelling New'!N:N)</f>
        <v>10.507</v>
      </c>
      <c r="J626" s="50" t="e">
        <f>'Raw Data'!#REF!/J$1</f>
        <v>#REF!</v>
      </c>
      <c r="K626" s="50" t="e">
        <f>'Raw Data'!#REF!/K$1</f>
        <v>#REF!</v>
      </c>
      <c r="L626" s="50" t="e">
        <f>'Raw Data'!#REF!/L$1</f>
        <v>#REF!</v>
      </c>
      <c r="M626" s="50" t="e">
        <f>'Raw Data'!#REF!/M$1</f>
        <v>#REF!</v>
      </c>
      <c r="N626" s="50" t="e">
        <f>'Raw Data'!#REF!/N$1</f>
        <v>#REF!</v>
      </c>
      <c r="O626" s="50" t="e">
        <f>'Raw Data'!#REF!/O$1</f>
        <v>#REF!</v>
      </c>
      <c r="P626" s="50" t="str">
        <f t="shared" si="76"/>
        <v/>
      </c>
      <c r="Q626" s="50" t="e">
        <f t="shared" si="77"/>
        <v>#REF!</v>
      </c>
    </row>
    <row r="627" spans="1:17">
      <c r="A627" s="102" t="s">
        <v>210</v>
      </c>
      <c r="B627" s="102">
        <v>4</v>
      </c>
      <c r="C627" s="102">
        <v>2023</v>
      </c>
      <c r="D627" s="102" t="s">
        <v>211</v>
      </c>
      <c r="E627" s="102" t="s">
        <v>211</v>
      </c>
      <c r="F627" s="195">
        <v>45261</v>
      </c>
      <c r="G627" s="101">
        <f t="shared" si="75"/>
        <v>31</v>
      </c>
      <c r="H627" s="196">
        <f t="shared" si="72"/>
        <v>45276</v>
      </c>
      <c r="I627" s="141">
        <f>_xlfn.XLOOKUP(Table12[[#This Row],[Month Year]],'Modelling New'!D:D,'Modelling New'!N:N)</f>
        <v>10.507</v>
      </c>
      <c r="J627" s="50" t="e">
        <f>'Raw Data'!#REF!/J$1</f>
        <v>#REF!</v>
      </c>
      <c r="K627" s="50" t="e">
        <f>'Raw Data'!#REF!/K$1</f>
        <v>#REF!</v>
      </c>
      <c r="L627" s="50" t="e">
        <f>'Raw Data'!#REF!/L$1</f>
        <v>#REF!</v>
      </c>
      <c r="M627" s="50" t="e">
        <f>'Raw Data'!#REF!/M$1</f>
        <v>#REF!</v>
      </c>
      <c r="N627" s="50" t="e">
        <f>'Raw Data'!#REF!/N$1</f>
        <v>#REF!</v>
      </c>
      <c r="O627" s="50" t="e">
        <f>'Raw Data'!#REF!/O$1</f>
        <v>#REF!</v>
      </c>
      <c r="P627" s="50" t="str">
        <f t="shared" si="76"/>
        <v/>
      </c>
      <c r="Q627" s="50" t="e">
        <f t="shared" si="77"/>
        <v>#REF!</v>
      </c>
    </row>
    <row r="628" spans="1:17">
      <c r="A628" s="102" t="s">
        <v>210</v>
      </c>
      <c r="B628" s="102">
        <v>4</v>
      </c>
      <c r="C628" s="102">
        <v>2023</v>
      </c>
      <c r="D628" s="102" t="s">
        <v>211</v>
      </c>
      <c r="E628" s="102" t="s">
        <v>211</v>
      </c>
      <c r="F628" s="195">
        <v>45261</v>
      </c>
      <c r="G628" s="101">
        <f t="shared" si="75"/>
        <v>31</v>
      </c>
      <c r="H628" s="196">
        <f t="shared" si="72"/>
        <v>45277</v>
      </c>
      <c r="I628" s="141">
        <f>_xlfn.XLOOKUP(Table12[[#This Row],[Month Year]],'Modelling New'!D:D,'Modelling New'!N:N)</f>
        <v>10.507</v>
      </c>
      <c r="J628" s="50" t="e">
        <f>'Raw Data'!#REF!/J$1</f>
        <v>#REF!</v>
      </c>
      <c r="K628" s="50" t="e">
        <f>'Raw Data'!#REF!/K$1</f>
        <v>#REF!</v>
      </c>
      <c r="L628" s="50" t="e">
        <f>'Raw Data'!#REF!/L$1</f>
        <v>#REF!</v>
      </c>
      <c r="M628" s="50" t="e">
        <f>'Raw Data'!#REF!/M$1</f>
        <v>#REF!</v>
      </c>
      <c r="N628" s="50" t="e">
        <f>'Raw Data'!#REF!/N$1</f>
        <v>#REF!</v>
      </c>
      <c r="O628" s="50" t="e">
        <f>'Raw Data'!#REF!/O$1</f>
        <v>#REF!</v>
      </c>
      <c r="P628" s="50" t="str">
        <f t="shared" si="76"/>
        <v/>
      </c>
      <c r="Q628" s="50" t="e">
        <f t="shared" si="77"/>
        <v>#REF!</v>
      </c>
    </row>
    <row r="629" spans="1:17">
      <c r="A629" s="102" t="s">
        <v>210</v>
      </c>
      <c r="B629" s="102">
        <v>4</v>
      </c>
      <c r="C629" s="102">
        <v>2023</v>
      </c>
      <c r="D629" s="102" t="s">
        <v>211</v>
      </c>
      <c r="E629" s="102" t="s">
        <v>211</v>
      </c>
      <c r="F629" s="195">
        <v>45261</v>
      </c>
      <c r="G629" s="101">
        <f t="shared" si="75"/>
        <v>31</v>
      </c>
      <c r="H629" s="196">
        <f t="shared" si="72"/>
        <v>45278</v>
      </c>
      <c r="I629" s="141">
        <f>_xlfn.XLOOKUP(Table12[[#This Row],[Month Year]],'Modelling New'!D:D,'Modelling New'!N:N)</f>
        <v>10.507</v>
      </c>
      <c r="J629" s="50" t="e">
        <f>'Raw Data'!#REF!/J$1</f>
        <v>#REF!</v>
      </c>
      <c r="K629" s="50" t="e">
        <f>'Raw Data'!#REF!/K$1</f>
        <v>#REF!</v>
      </c>
      <c r="L629" s="50" t="e">
        <f>'Raw Data'!#REF!/L$1</f>
        <v>#REF!</v>
      </c>
      <c r="M629" s="50" t="e">
        <f>'Raw Data'!#REF!/M$1</f>
        <v>#REF!</v>
      </c>
      <c r="N629" s="50" t="e">
        <f>'Raw Data'!#REF!/N$1</f>
        <v>#REF!</v>
      </c>
      <c r="O629" s="50" t="e">
        <f>'Raw Data'!#REF!/O$1</f>
        <v>#REF!</v>
      </c>
      <c r="P629" s="50" t="str">
        <f t="shared" si="76"/>
        <v/>
      </c>
      <c r="Q629" s="50" t="e">
        <f t="shared" si="77"/>
        <v>#REF!</v>
      </c>
    </row>
    <row r="630" spans="1:17">
      <c r="A630" s="102" t="s">
        <v>210</v>
      </c>
      <c r="B630" s="102">
        <v>4</v>
      </c>
      <c r="C630" s="102">
        <v>2023</v>
      </c>
      <c r="D630" s="102" t="s">
        <v>211</v>
      </c>
      <c r="E630" s="102" t="s">
        <v>211</v>
      </c>
      <c r="F630" s="195">
        <v>45261</v>
      </c>
      <c r="G630" s="101">
        <f t="shared" si="75"/>
        <v>31</v>
      </c>
      <c r="H630" s="196">
        <f t="shared" si="72"/>
        <v>45279</v>
      </c>
      <c r="I630" s="141">
        <f>_xlfn.XLOOKUP(Table12[[#This Row],[Month Year]],'Modelling New'!D:D,'Modelling New'!N:N)</f>
        <v>10.507</v>
      </c>
      <c r="J630" s="50" t="e">
        <f>'Raw Data'!#REF!/J$1</f>
        <v>#REF!</v>
      </c>
      <c r="K630" s="50" t="e">
        <f>'Raw Data'!#REF!/K$1</f>
        <v>#REF!</v>
      </c>
      <c r="L630" s="50" t="e">
        <f>'Raw Data'!#REF!/L$1</f>
        <v>#REF!</v>
      </c>
      <c r="M630" s="50" t="e">
        <f>'Raw Data'!#REF!/M$1</f>
        <v>#REF!</v>
      </c>
      <c r="N630" s="50" t="e">
        <f>'Raw Data'!#REF!/N$1</f>
        <v>#REF!</v>
      </c>
      <c r="O630" s="50" t="e">
        <f>'Raw Data'!#REF!/O$1</f>
        <v>#REF!</v>
      </c>
      <c r="P630" s="50" t="str">
        <f t="shared" si="76"/>
        <v/>
      </c>
      <c r="Q630" s="50" t="e">
        <f t="shared" si="77"/>
        <v>#REF!</v>
      </c>
    </row>
    <row r="631" spans="1:17">
      <c r="A631" s="102" t="s">
        <v>210</v>
      </c>
      <c r="B631" s="102">
        <v>4</v>
      </c>
      <c r="C631" s="102">
        <v>2023</v>
      </c>
      <c r="D631" s="102" t="s">
        <v>211</v>
      </c>
      <c r="E631" s="102" t="s">
        <v>211</v>
      </c>
      <c r="F631" s="195">
        <v>45261</v>
      </c>
      <c r="G631" s="101">
        <f t="shared" si="75"/>
        <v>31</v>
      </c>
      <c r="H631" s="196">
        <f t="shared" si="72"/>
        <v>45280</v>
      </c>
      <c r="I631" s="141">
        <f>_xlfn.XLOOKUP(Table12[[#This Row],[Month Year]],'Modelling New'!D:D,'Modelling New'!N:N)</f>
        <v>10.507</v>
      </c>
      <c r="J631" s="50" t="e">
        <f>'Raw Data'!#REF!/J$1</f>
        <v>#REF!</v>
      </c>
      <c r="K631" s="50" t="e">
        <f>'Raw Data'!#REF!/K$1</f>
        <v>#REF!</v>
      </c>
      <c r="L631" s="50" t="e">
        <f>'Raw Data'!#REF!/L$1</f>
        <v>#REF!</v>
      </c>
      <c r="M631" s="50" t="e">
        <f>'Raw Data'!#REF!/M$1</f>
        <v>#REF!</v>
      </c>
      <c r="N631" s="50" t="e">
        <f>'Raw Data'!#REF!/N$1</f>
        <v>#REF!</v>
      </c>
      <c r="O631" s="50" t="e">
        <f>'Raw Data'!#REF!/O$1</f>
        <v>#REF!</v>
      </c>
      <c r="P631" s="50" t="str">
        <f t="shared" si="76"/>
        <v/>
      </c>
      <c r="Q631" s="50" t="e">
        <f t="shared" si="77"/>
        <v>#REF!</v>
      </c>
    </row>
    <row r="632" spans="1:17">
      <c r="A632" s="102" t="s">
        <v>210</v>
      </c>
      <c r="B632" s="102">
        <v>4</v>
      </c>
      <c r="C632" s="102">
        <v>2023</v>
      </c>
      <c r="D632" s="102" t="s">
        <v>211</v>
      </c>
      <c r="E632" s="102" t="s">
        <v>211</v>
      </c>
      <c r="F632" s="195">
        <v>45261</v>
      </c>
      <c r="G632" s="101">
        <f t="shared" si="75"/>
        <v>31</v>
      </c>
      <c r="H632" s="196">
        <f t="shared" si="72"/>
        <v>45281</v>
      </c>
      <c r="I632" s="141">
        <f>_xlfn.XLOOKUP(Table12[[#This Row],[Month Year]],'Modelling New'!D:D,'Modelling New'!N:N)</f>
        <v>10.507</v>
      </c>
      <c r="J632" s="50" t="e">
        <f>'Raw Data'!#REF!/J$1</f>
        <v>#REF!</v>
      </c>
      <c r="K632" s="50" t="e">
        <f>'Raw Data'!#REF!/K$1</f>
        <v>#REF!</v>
      </c>
      <c r="L632" s="50" t="e">
        <f>'Raw Data'!#REF!/L$1</f>
        <v>#REF!</v>
      </c>
      <c r="M632" s="50" t="e">
        <f>'Raw Data'!#REF!/M$1</f>
        <v>#REF!</v>
      </c>
      <c r="N632" s="50" t="e">
        <f>'Raw Data'!#REF!/N$1</f>
        <v>#REF!</v>
      </c>
      <c r="O632" s="50" t="e">
        <f>'Raw Data'!#REF!/O$1</f>
        <v>#REF!</v>
      </c>
      <c r="P632" s="50" t="str">
        <f t="shared" si="76"/>
        <v/>
      </c>
      <c r="Q632" s="50" t="e">
        <f t="shared" si="77"/>
        <v>#REF!</v>
      </c>
    </row>
    <row r="633" spans="1:17">
      <c r="A633" s="102" t="s">
        <v>210</v>
      </c>
      <c r="B633" s="102">
        <v>4</v>
      </c>
      <c r="C633" s="102">
        <v>2023</v>
      </c>
      <c r="D633" s="102" t="s">
        <v>211</v>
      </c>
      <c r="E633" s="102" t="s">
        <v>211</v>
      </c>
      <c r="F633" s="195">
        <v>45261</v>
      </c>
      <c r="G633" s="101">
        <f t="shared" ref="G633:G664" si="78">DAY(EOMONTH(F633,0))</f>
        <v>31</v>
      </c>
      <c r="H633" s="196">
        <f t="shared" si="72"/>
        <v>45282</v>
      </c>
      <c r="I633" s="141">
        <f>_xlfn.XLOOKUP(Table12[[#This Row],[Month Year]],'Modelling New'!D:D,'Modelling New'!N:N)</f>
        <v>10.507</v>
      </c>
      <c r="J633" s="50" t="e">
        <f>'Raw Data'!#REF!/J$1</f>
        <v>#REF!</v>
      </c>
      <c r="K633" s="50" t="e">
        <f>'Raw Data'!#REF!/K$1</f>
        <v>#REF!</v>
      </c>
      <c r="L633" s="50" t="e">
        <f>'Raw Data'!#REF!/L$1</f>
        <v>#REF!</v>
      </c>
      <c r="M633" s="50" t="e">
        <f>'Raw Data'!#REF!/M$1</f>
        <v>#REF!</v>
      </c>
      <c r="N633" s="50" t="e">
        <f>'Raw Data'!#REF!/N$1</f>
        <v>#REF!</v>
      </c>
      <c r="O633" s="50" t="e">
        <f>'Raw Data'!#REF!/O$1</f>
        <v>#REF!</v>
      </c>
      <c r="P633" s="50" t="str">
        <f t="shared" ref="P633:P664" si="79">IFERROR(AVERAGEIF(J633:O633,"&gt;"&amp;0,J633:O633),"")</f>
        <v/>
      </c>
      <c r="Q633" s="50" t="e">
        <f t="shared" ref="Q633:Q664" si="80">MAXA(J633:O633)</f>
        <v>#REF!</v>
      </c>
    </row>
    <row r="634" spans="1:17">
      <c r="A634" s="102" t="s">
        <v>210</v>
      </c>
      <c r="B634" s="102">
        <v>4</v>
      </c>
      <c r="C634" s="102">
        <v>2023</v>
      </c>
      <c r="D634" s="102" t="s">
        <v>211</v>
      </c>
      <c r="E634" s="102" t="s">
        <v>211</v>
      </c>
      <c r="F634" s="195">
        <v>45261</v>
      </c>
      <c r="G634" s="101">
        <f t="shared" si="78"/>
        <v>31</v>
      </c>
      <c r="H634" s="196">
        <f t="shared" si="72"/>
        <v>45283</v>
      </c>
      <c r="I634" s="141">
        <f>_xlfn.XLOOKUP(Table12[[#This Row],[Month Year]],'Modelling New'!D:D,'Modelling New'!N:N)</f>
        <v>10.507</v>
      </c>
      <c r="J634" s="50" t="e">
        <f>'Raw Data'!#REF!/J$1</f>
        <v>#REF!</v>
      </c>
      <c r="K634" s="50" t="e">
        <f>'Raw Data'!#REF!/K$1</f>
        <v>#REF!</v>
      </c>
      <c r="L634" s="50" t="e">
        <f>'Raw Data'!#REF!/L$1</f>
        <v>#REF!</v>
      </c>
      <c r="M634" s="50" t="e">
        <f>'Raw Data'!#REF!/M$1</f>
        <v>#REF!</v>
      </c>
      <c r="N634" s="50" t="e">
        <f>'Raw Data'!#REF!/N$1</f>
        <v>#REF!</v>
      </c>
      <c r="O634" s="50" t="e">
        <f>'Raw Data'!#REF!/O$1</f>
        <v>#REF!</v>
      </c>
      <c r="P634" s="50" t="str">
        <f t="shared" si="79"/>
        <v/>
      </c>
      <c r="Q634" s="50" t="e">
        <f t="shared" si="80"/>
        <v>#REF!</v>
      </c>
    </row>
    <row r="635" spans="1:17">
      <c r="A635" s="102" t="s">
        <v>210</v>
      </c>
      <c r="B635" s="102">
        <v>4</v>
      </c>
      <c r="C635" s="102">
        <v>2023</v>
      </c>
      <c r="D635" s="102" t="s">
        <v>211</v>
      </c>
      <c r="E635" s="102" t="s">
        <v>211</v>
      </c>
      <c r="F635" s="195">
        <v>45261</v>
      </c>
      <c r="G635" s="101">
        <f t="shared" si="78"/>
        <v>31</v>
      </c>
      <c r="H635" s="196">
        <f t="shared" si="72"/>
        <v>45284</v>
      </c>
      <c r="I635" s="141">
        <f>_xlfn.XLOOKUP(Table12[[#This Row],[Month Year]],'Modelling New'!D:D,'Modelling New'!N:N)</f>
        <v>10.507</v>
      </c>
      <c r="J635" s="50" t="e">
        <f>'Raw Data'!#REF!/J$1</f>
        <v>#REF!</v>
      </c>
      <c r="K635" s="50" t="e">
        <f>'Raw Data'!#REF!/K$1</f>
        <v>#REF!</v>
      </c>
      <c r="L635" s="50" t="e">
        <f>'Raw Data'!#REF!/L$1</f>
        <v>#REF!</v>
      </c>
      <c r="M635" s="50" t="e">
        <f>'Raw Data'!#REF!/M$1</f>
        <v>#REF!</v>
      </c>
      <c r="N635" s="50" t="e">
        <f>'Raw Data'!#REF!/N$1</f>
        <v>#REF!</v>
      </c>
      <c r="O635" s="50" t="e">
        <f>'Raw Data'!#REF!/O$1</f>
        <v>#REF!</v>
      </c>
      <c r="P635" s="50" t="str">
        <f t="shared" si="79"/>
        <v/>
      </c>
      <c r="Q635" s="50" t="e">
        <f t="shared" si="80"/>
        <v>#REF!</v>
      </c>
    </row>
    <row r="636" spans="1:17">
      <c r="A636" s="102" t="s">
        <v>210</v>
      </c>
      <c r="B636" s="102">
        <v>4</v>
      </c>
      <c r="C636" s="102">
        <v>2023</v>
      </c>
      <c r="D636" s="102" t="s">
        <v>211</v>
      </c>
      <c r="E636" s="102" t="s">
        <v>211</v>
      </c>
      <c r="F636" s="195">
        <v>45261</v>
      </c>
      <c r="G636" s="101">
        <f t="shared" si="78"/>
        <v>31</v>
      </c>
      <c r="H636" s="196">
        <f t="shared" si="72"/>
        <v>45285</v>
      </c>
      <c r="I636" s="141">
        <f>_xlfn.XLOOKUP(Table12[[#This Row],[Month Year]],'Modelling New'!D:D,'Modelling New'!N:N)</f>
        <v>10.507</v>
      </c>
      <c r="J636" s="50" t="e">
        <f>'Raw Data'!#REF!/J$1</f>
        <v>#REF!</v>
      </c>
      <c r="K636" s="50" t="e">
        <f>'Raw Data'!#REF!/K$1</f>
        <v>#REF!</v>
      </c>
      <c r="L636" s="50" t="e">
        <f>'Raw Data'!#REF!/L$1</f>
        <v>#REF!</v>
      </c>
      <c r="M636" s="50" t="e">
        <f>'Raw Data'!#REF!/M$1</f>
        <v>#REF!</v>
      </c>
      <c r="N636" s="50" t="e">
        <f>'Raw Data'!#REF!/N$1</f>
        <v>#REF!</v>
      </c>
      <c r="O636" s="50" t="e">
        <f>'Raw Data'!#REF!/O$1</f>
        <v>#REF!</v>
      </c>
      <c r="P636" s="50" t="str">
        <f t="shared" si="79"/>
        <v/>
      </c>
      <c r="Q636" s="50" t="e">
        <f t="shared" si="80"/>
        <v>#REF!</v>
      </c>
    </row>
    <row r="637" spans="1:17">
      <c r="A637" s="102" t="s">
        <v>210</v>
      </c>
      <c r="B637" s="102">
        <v>4</v>
      </c>
      <c r="C637" s="102">
        <v>2023</v>
      </c>
      <c r="D637" s="102" t="s">
        <v>211</v>
      </c>
      <c r="E637" s="102" t="s">
        <v>211</v>
      </c>
      <c r="F637" s="195">
        <v>45261</v>
      </c>
      <c r="G637" s="101">
        <f t="shared" si="78"/>
        <v>31</v>
      </c>
      <c r="H637" s="196">
        <f t="shared" si="72"/>
        <v>45286</v>
      </c>
      <c r="I637" s="141">
        <f>_xlfn.XLOOKUP(Table12[[#This Row],[Month Year]],'Modelling New'!D:D,'Modelling New'!N:N)</f>
        <v>10.507</v>
      </c>
      <c r="J637" s="50" t="e">
        <f>'Raw Data'!#REF!/J$1</f>
        <v>#REF!</v>
      </c>
      <c r="K637" s="50" t="e">
        <f>'Raw Data'!#REF!/K$1</f>
        <v>#REF!</v>
      </c>
      <c r="L637" s="50" t="e">
        <f>'Raw Data'!#REF!/L$1</f>
        <v>#REF!</v>
      </c>
      <c r="M637" s="50" t="e">
        <f>'Raw Data'!#REF!/M$1</f>
        <v>#REF!</v>
      </c>
      <c r="N637" s="50" t="e">
        <f>'Raw Data'!#REF!/N$1</f>
        <v>#REF!</v>
      </c>
      <c r="O637" s="50" t="e">
        <f>'Raw Data'!#REF!/O$1</f>
        <v>#REF!</v>
      </c>
      <c r="P637" s="50" t="str">
        <f t="shared" si="79"/>
        <v/>
      </c>
      <c r="Q637" s="50" t="e">
        <f t="shared" si="80"/>
        <v>#REF!</v>
      </c>
    </row>
    <row r="638" spans="1:17">
      <c r="A638" s="102" t="s">
        <v>210</v>
      </c>
      <c r="B638" s="102">
        <v>4</v>
      </c>
      <c r="C638" s="102">
        <v>2023</v>
      </c>
      <c r="D638" s="102" t="s">
        <v>211</v>
      </c>
      <c r="E638" s="102" t="s">
        <v>211</v>
      </c>
      <c r="F638" s="195">
        <v>45261</v>
      </c>
      <c r="G638" s="101">
        <f t="shared" si="78"/>
        <v>31</v>
      </c>
      <c r="H638" s="196">
        <f t="shared" si="72"/>
        <v>45287</v>
      </c>
      <c r="I638" s="141">
        <f>_xlfn.XLOOKUP(Table12[[#This Row],[Month Year]],'Modelling New'!D:D,'Modelling New'!N:N)</f>
        <v>10.507</v>
      </c>
      <c r="J638" s="50" t="e">
        <f>'Raw Data'!#REF!/J$1</f>
        <v>#REF!</v>
      </c>
      <c r="K638" s="50" t="e">
        <f>'Raw Data'!#REF!/K$1</f>
        <v>#REF!</v>
      </c>
      <c r="L638" s="50" t="e">
        <f>'Raw Data'!#REF!/L$1</f>
        <v>#REF!</v>
      </c>
      <c r="M638" s="50" t="e">
        <f>'Raw Data'!#REF!/M$1</f>
        <v>#REF!</v>
      </c>
      <c r="N638" s="50" t="e">
        <f>'Raw Data'!#REF!/N$1</f>
        <v>#REF!</v>
      </c>
      <c r="O638" s="50" t="e">
        <f>'Raw Data'!#REF!/O$1</f>
        <v>#REF!</v>
      </c>
      <c r="P638" s="50" t="str">
        <f t="shared" si="79"/>
        <v/>
      </c>
      <c r="Q638" s="50" t="e">
        <f t="shared" si="80"/>
        <v>#REF!</v>
      </c>
    </row>
    <row r="639" spans="1:17">
      <c r="A639" s="102" t="s">
        <v>210</v>
      </c>
      <c r="B639" s="102">
        <v>4</v>
      </c>
      <c r="C639" s="102">
        <v>2023</v>
      </c>
      <c r="D639" s="102" t="s">
        <v>211</v>
      </c>
      <c r="E639" s="102" t="s">
        <v>211</v>
      </c>
      <c r="F639" s="195">
        <v>45261</v>
      </c>
      <c r="G639" s="101">
        <f t="shared" si="78"/>
        <v>31</v>
      </c>
      <c r="H639" s="196">
        <f t="shared" si="72"/>
        <v>45288</v>
      </c>
      <c r="I639" s="141">
        <f>_xlfn.XLOOKUP(Table12[[#This Row],[Month Year]],'Modelling New'!D:D,'Modelling New'!N:N)</f>
        <v>10.507</v>
      </c>
      <c r="J639" s="50" t="e">
        <f>'Raw Data'!#REF!/J$1</f>
        <v>#REF!</v>
      </c>
      <c r="K639" s="50" t="e">
        <f>'Raw Data'!#REF!/K$1</f>
        <v>#REF!</v>
      </c>
      <c r="L639" s="50" t="e">
        <f>'Raw Data'!#REF!/L$1</f>
        <v>#REF!</v>
      </c>
      <c r="M639" s="50" t="e">
        <f>'Raw Data'!#REF!/M$1</f>
        <v>#REF!</v>
      </c>
      <c r="N639" s="50" t="e">
        <f>'Raw Data'!#REF!/N$1</f>
        <v>#REF!</v>
      </c>
      <c r="O639" s="50" t="e">
        <f>'Raw Data'!#REF!/O$1</f>
        <v>#REF!</v>
      </c>
      <c r="P639" s="50" t="str">
        <f t="shared" si="79"/>
        <v/>
      </c>
      <c r="Q639" s="50" t="e">
        <f t="shared" si="80"/>
        <v>#REF!</v>
      </c>
    </row>
    <row r="640" spans="1:17">
      <c r="A640" s="102" t="s">
        <v>210</v>
      </c>
      <c r="B640" s="102">
        <v>4</v>
      </c>
      <c r="C640" s="102">
        <v>2023</v>
      </c>
      <c r="D640" s="102" t="s">
        <v>211</v>
      </c>
      <c r="E640" s="102" t="s">
        <v>211</v>
      </c>
      <c r="F640" s="195">
        <v>45261</v>
      </c>
      <c r="G640" s="101">
        <f t="shared" si="78"/>
        <v>31</v>
      </c>
      <c r="H640" s="196">
        <f t="shared" si="72"/>
        <v>45289</v>
      </c>
      <c r="I640" s="141">
        <f>_xlfn.XLOOKUP(Table12[[#This Row],[Month Year]],'Modelling New'!D:D,'Modelling New'!N:N)</f>
        <v>10.507</v>
      </c>
      <c r="J640" s="50" t="e">
        <f>'Raw Data'!#REF!/J$1</f>
        <v>#REF!</v>
      </c>
      <c r="K640" s="50" t="e">
        <f>'Raw Data'!#REF!/K$1</f>
        <v>#REF!</v>
      </c>
      <c r="L640" s="50" t="e">
        <f>'Raw Data'!#REF!/L$1</f>
        <v>#REF!</v>
      </c>
      <c r="M640" s="50" t="e">
        <f>'Raw Data'!#REF!/M$1</f>
        <v>#REF!</v>
      </c>
      <c r="N640" s="50" t="e">
        <f>'Raw Data'!#REF!/N$1</f>
        <v>#REF!</v>
      </c>
      <c r="O640" s="50" t="e">
        <f>'Raw Data'!#REF!/O$1</f>
        <v>#REF!</v>
      </c>
      <c r="P640" s="50" t="str">
        <f t="shared" si="79"/>
        <v/>
      </c>
      <c r="Q640" s="50" t="e">
        <f t="shared" si="80"/>
        <v>#REF!</v>
      </c>
    </row>
    <row r="641" spans="1:17">
      <c r="A641" s="102" t="s">
        <v>210</v>
      </c>
      <c r="B641" s="102">
        <v>4</v>
      </c>
      <c r="C641" s="102">
        <v>2023</v>
      </c>
      <c r="D641" s="102" t="s">
        <v>211</v>
      </c>
      <c r="E641" s="102" t="s">
        <v>211</v>
      </c>
      <c r="F641" s="195">
        <v>45261</v>
      </c>
      <c r="G641" s="101">
        <f t="shared" si="78"/>
        <v>31</v>
      </c>
      <c r="H641" s="196">
        <f t="shared" si="72"/>
        <v>45290</v>
      </c>
      <c r="I641" s="141">
        <f>_xlfn.XLOOKUP(Table12[[#This Row],[Month Year]],'Modelling New'!D:D,'Modelling New'!N:N)</f>
        <v>10.507</v>
      </c>
      <c r="J641" s="50" t="e">
        <f>'Raw Data'!#REF!/J$1</f>
        <v>#REF!</v>
      </c>
      <c r="K641" s="50" t="e">
        <f>'Raw Data'!#REF!/K$1</f>
        <v>#REF!</v>
      </c>
      <c r="L641" s="50" t="e">
        <f>'Raw Data'!#REF!/L$1</f>
        <v>#REF!</v>
      </c>
      <c r="M641" s="50" t="e">
        <f>'Raw Data'!#REF!/M$1</f>
        <v>#REF!</v>
      </c>
      <c r="N641" s="50" t="e">
        <f>'Raw Data'!#REF!/N$1</f>
        <v>#REF!</v>
      </c>
      <c r="O641" s="50" t="e">
        <f>'Raw Data'!#REF!/O$1</f>
        <v>#REF!</v>
      </c>
      <c r="P641" s="50" t="str">
        <f t="shared" si="79"/>
        <v/>
      </c>
      <c r="Q641" s="50" t="e">
        <f t="shared" si="80"/>
        <v>#REF!</v>
      </c>
    </row>
    <row r="642" spans="1:17">
      <c r="A642" s="102" t="s">
        <v>210</v>
      </c>
      <c r="B642" s="102">
        <v>4</v>
      </c>
      <c r="C642" s="102">
        <v>2023</v>
      </c>
      <c r="D642" s="102" t="s">
        <v>211</v>
      </c>
      <c r="E642" s="102" t="s">
        <v>211</v>
      </c>
      <c r="F642" s="195">
        <v>45261</v>
      </c>
      <c r="G642" s="101">
        <f t="shared" si="78"/>
        <v>31</v>
      </c>
      <c r="H642" s="196">
        <f t="shared" si="72"/>
        <v>45291</v>
      </c>
      <c r="I642" s="141">
        <f>_xlfn.XLOOKUP(Table12[[#This Row],[Month Year]],'Modelling New'!D:D,'Modelling New'!N:N)</f>
        <v>10.507</v>
      </c>
      <c r="J642" s="50" t="e">
        <f>'Raw Data'!#REF!/J$1</f>
        <v>#REF!</v>
      </c>
      <c r="K642" s="50" t="e">
        <f>'Raw Data'!#REF!/K$1</f>
        <v>#REF!</v>
      </c>
      <c r="L642" s="50" t="e">
        <f>'Raw Data'!#REF!/L$1</f>
        <v>#REF!</v>
      </c>
      <c r="M642" s="50" t="e">
        <f>'Raw Data'!#REF!/M$1</f>
        <v>#REF!</v>
      </c>
      <c r="N642" s="50" t="e">
        <f>'Raw Data'!#REF!/N$1</f>
        <v>#REF!</v>
      </c>
      <c r="O642" s="50" t="e">
        <f>'Raw Data'!#REF!/O$1</f>
        <v>#REF!</v>
      </c>
      <c r="P642" s="50" t="str">
        <f t="shared" si="79"/>
        <v/>
      </c>
      <c r="Q642" s="50" t="e">
        <f t="shared" si="80"/>
        <v>#REF!</v>
      </c>
    </row>
    <row r="643" spans="1:17">
      <c r="A643" s="102" t="s">
        <v>210</v>
      </c>
      <c r="B643" s="101">
        <v>4</v>
      </c>
      <c r="C643" s="101">
        <v>2024</v>
      </c>
      <c r="D643" s="102" t="s">
        <v>211</v>
      </c>
      <c r="E643" s="102" t="s">
        <v>211</v>
      </c>
      <c r="F643" s="195">
        <v>45292</v>
      </c>
      <c r="G643" s="101">
        <f t="shared" si="78"/>
        <v>31</v>
      </c>
      <c r="H643" s="196">
        <f t="shared" si="72"/>
        <v>45292</v>
      </c>
      <c r="I643" s="141">
        <f>_xlfn.XLOOKUP(Table12[[#This Row],[Month Year]],'Modelling New'!D:D,'Modelling New'!N:N)</f>
        <v>10.507</v>
      </c>
      <c r="J643" s="50" t="e">
        <f>'Raw Data'!#REF!/J$1</f>
        <v>#REF!</v>
      </c>
      <c r="K643" s="50" t="e">
        <f>'Raw Data'!#REF!/K$1</f>
        <v>#REF!</v>
      </c>
      <c r="L643" s="50" t="e">
        <f>'Raw Data'!#REF!/L$1</f>
        <v>#REF!</v>
      </c>
      <c r="M643" s="50" t="e">
        <f>'Raw Data'!#REF!/M$1</f>
        <v>#REF!</v>
      </c>
      <c r="N643" s="50" t="e">
        <f>'Raw Data'!#REF!/N$1</f>
        <v>#REF!</v>
      </c>
      <c r="O643" s="50" t="e">
        <f>'Raw Data'!#REF!/O$1</f>
        <v>#REF!</v>
      </c>
      <c r="P643" s="50" t="str">
        <f t="shared" si="79"/>
        <v/>
      </c>
      <c r="Q643" s="50" t="e">
        <f t="shared" si="80"/>
        <v>#REF!</v>
      </c>
    </row>
    <row r="644" spans="1:17">
      <c r="A644" s="102" t="s">
        <v>210</v>
      </c>
      <c r="B644" s="101">
        <v>4</v>
      </c>
      <c r="C644" s="101">
        <v>2024</v>
      </c>
      <c r="D644" s="102" t="s">
        <v>211</v>
      </c>
      <c r="E644" s="102" t="s">
        <v>211</v>
      </c>
      <c r="F644" s="195">
        <v>45292</v>
      </c>
      <c r="G644" s="101">
        <f t="shared" si="78"/>
        <v>31</v>
      </c>
      <c r="H644" s="196">
        <f t="shared" si="72"/>
        <v>45293</v>
      </c>
      <c r="I644" s="141">
        <f>_xlfn.XLOOKUP(Table12[[#This Row],[Month Year]],'Modelling New'!D:D,'Modelling New'!N:N)</f>
        <v>10.507</v>
      </c>
      <c r="J644" s="50" t="e">
        <f>'Raw Data'!#REF!/J$1</f>
        <v>#REF!</v>
      </c>
      <c r="K644" s="50" t="e">
        <f>'Raw Data'!#REF!/K$1</f>
        <v>#REF!</v>
      </c>
      <c r="L644" s="50" t="e">
        <f>'Raw Data'!#REF!/L$1</f>
        <v>#REF!</v>
      </c>
      <c r="M644" s="50" t="e">
        <f>'Raw Data'!#REF!/M$1</f>
        <v>#REF!</v>
      </c>
      <c r="N644" s="50" t="e">
        <f>'Raw Data'!#REF!/N$1</f>
        <v>#REF!</v>
      </c>
      <c r="O644" s="50" t="e">
        <f>'Raw Data'!#REF!/O$1</f>
        <v>#REF!</v>
      </c>
      <c r="P644" s="50" t="str">
        <f t="shared" si="79"/>
        <v/>
      </c>
      <c r="Q644" s="50" t="e">
        <f t="shared" si="80"/>
        <v>#REF!</v>
      </c>
    </row>
    <row r="645" spans="1:17">
      <c r="A645" s="102" t="s">
        <v>210</v>
      </c>
      <c r="B645" s="101">
        <v>4</v>
      </c>
      <c r="C645" s="101">
        <v>2024</v>
      </c>
      <c r="D645" s="102" t="s">
        <v>211</v>
      </c>
      <c r="E645" s="102" t="s">
        <v>211</v>
      </c>
      <c r="F645" s="195">
        <v>45292</v>
      </c>
      <c r="G645" s="101">
        <f t="shared" si="78"/>
        <v>31</v>
      </c>
      <c r="H645" s="196">
        <f t="shared" si="72"/>
        <v>45294</v>
      </c>
      <c r="I645" s="141">
        <f>_xlfn.XLOOKUP(Table12[[#This Row],[Month Year]],'Modelling New'!D:D,'Modelling New'!N:N)</f>
        <v>10.507</v>
      </c>
      <c r="J645" s="50" t="e">
        <f>'Raw Data'!#REF!/J$1</f>
        <v>#REF!</v>
      </c>
      <c r="K645" s="50" t="e">
        <f>'Raw Data'!#REF!/K$1</f>
        <v>#REF!</v>
      </c>
      <c r="L645" s="50" t="e">
        <f>'Raw Data'!#REF!/L$1</f>
        <v>#REF!</v>
      </c>
      <c r="M645" s="50" t="e">
        <f>'Raw Data'!#REF!/M$1</f>
        <v>#REF!</v>
      </c>
      <c r="N645" s="50" t="e">
        <f>'Raw Data'!#REF!/N$1</f>
        <v>#REF!</v>
      </c>
      <c r="O645" s="50" t="e">
        <f>'Raw Data'!#REF!/O$1</f>
        <v>#REF!</v>
      </c>
      <c r="P645" s="50" t="str">
        <f t="shared" si="79"/>
        <v/>
      </c>
      <c r="Q645" s="50" t="e">
        <f t="shared" si="80"/>
        <v>#REF!</v>
      </c>
    </row>
    <row r="646" spans="1:17">
      <c r="A646" s="102" t="s">
        <v>210</v>
      </c>
      <c r="B646" s="101">
        <v>4</v>
      </c>
      <c r="C646" s="101">
        <v>2024</v>
      </c>
      <c r="D646" s="102" t="s">
        <v>211</v>
      </c>
      <c r="E646" s="102" t="s">
        <v>211</v>
      </c>
      <c r="F646" s="195">
        <v>45292</v>
      </c>
      <c r="G646" s="101">
        <f t="shared" si="78"/>
        <v>31</v>
      </c>
      <c r="H646" s="196">
        <f t="shared" si="72"/>
        <v>45295</v>
      </c>
      <c r="I646" s="141">
        <f>_xlfn.XLOOKUP(Table12[[#This Row],[Month Year]],'Modelling New'!D:D,'Modelling New'!N:N)</f>
        <v>10.507</v>
      </c>
      <c r="J646" s="50" t="e">
        <f>'Raw Data'!#REF!/J$1</f>
        <v>#REF!</v>
      </c>
      <c r="K646" s="50" t="e">
        <f>'Raw Data'!#REF!/K$1</f>
        <v>#REF!</v>
      </c>
      <c r="L646" s="50" t="e">
        <f>'Raw Data'!#REF!/L$1</f>
        <v>#REF!</v>
      </c>
      <c r="M646" s="50" t="e">
        <f>'Raw Data'!#REF!/M$1</f>
        <v>#REF!</v>
      </c>
      <c r="N646" s="50" t="e">
        <f>'Raw Data'!#REF!/N$1</f>
        <v>#REF!</v>
      </c>
      <c r="O646" s="50" t="e">
        <f>'Raw Data'!#REF!/O$1</f>
        <v>#REF!</v>
      </c>
      <c r="P646" s="50" t="str">
        <f t="shared" si="79"/>
        <v/>
      </c>
      <c r="Q646" s="50" t="e">
        <f t="shared" si="80"/>
        <v>#REF!</v>
      </c>
    </row>
    <row r="647" spans="1:17">
      <c r="A647" s="102" t="s">
        <v>210</v>
      </c>
      <c r="B647" s="101">
        <v>4</v>
      </c>
      <c r="C647" s="101">
        <v>2024</v>
      </c>
      <c r="D647" s="102" t="s">
        <v>211</v>
      </c>
      <c r="E647" s="102" t="s">
        <v>211</v>
      </c>
      <c r="F647" s="195">
        <v>45292</v>
      </c>
      <c r="G647" s="101">
        <f t="shared" si="78"/>
        <v>31</v>
      </c>
      <c r="H647" s="196">
        <f t="shared" ref="H647:H671" si="81">H646+1</f>
        <v>45296</v>
      </c>
      <c r="I647" s="141">
        <f>_xlfn.XLOOKUP(Table12[[#This Row],[Month Year]],'Modelling New'!D:D,'Modelling New'!N:N)</f>
        <v>10.507</v>
      </c>
      <c r="J647" s="50" t="e">
        <f>'Raw Data'!#REF!/J$1</f>
        <v>#REF!</v>
      </c>
      <c r="K647" s="50" t="e">
        <f>'Raw Data'!#REF!/K$1</f>
        <v>#REF!</v>
      </c>
      <c r="L647" s="50" t="e">
        <f>'Raw Data'!#REF!/L$1</f>
        <v>#REF!</v>
      </c>
      <c r="M647" s="50" t="e">
        <f>'Raw Data'!#REF!/M$1</f>
        <v>#REF!</v>
      </c>
      <c r="N647" s="50" t="e">
        <f>'Raw Data'!#REF!/N$1</f>
        <v>#REF!</v>
      </c>
      <c r="O647" s="50" t="e">
        <f>'Raw Data'!#REF!/O$1</f>
        <v>#REF!</v>
      </c>
      <c r="P647" s="50" t="str">
        <f t="shared" si="79"/>
        <v/>
      </c>
      <c r="Q647" s="50" t="e">
        <f t="shared" si="80"/>
        <v>#REF!</v>
      </c>
    </row>
    <row r="648" spans="1:17">
      <c r="A648" s="102" t="s">
        <v>210</v>
      </c>
      <c r="B648" s="101">
        <v>4</v>
      </c>
      <c r="C648" s="101">
        <v>2024</v>
      </c>
      <c r="D648" s="102" t="s">
        <v>211</v>
      </c>
      <c r="E648" s="102" t="s">
        <v>211</v>
      </c>
      <c r="F648" s="195">
        <v>45292</v>
      </c>
      <c r="G648" s="101">
        <f t="shared" si="78"/>
        <v>31</v>
      </c>
      <c r="H648" s="196">
        <f t="shared" si="81"/>
        <v>45297</v>
      </c>
      <c r="I648" s="141">
        <f>_xlfn.XLOOKUP(Table12[[#This Row],[Month Year]],'Modelling New'!D:D,'Modelling New'!N:N)</f>
        <v>10.507</v>
      </c>
      <c r="J648" s="50" t="e">
        <f>'Raw Data'!#REF!/J$1</f>
        <v>#REF!</v>
      </c>
      <c r="K648" s="50" t="e">
        <f>'Raw Data'!#REF!/K$1</f>
        <v>#REF!</v>
      </c>
      <c r="L648" s="50" t="e">
        <f>'Raw Data'!#REF!/L$1</f>
        <v>#REF!</v>
      </c>
      <c r="M648" s="50" t="e">
        <f>'Raw Data'!#REF!/M$1</f>
        <v>#REF!</v>
      </c>
      <c r="N648" s="50" t="e">
        <f>'Raw Data'!#REF!/N$1</f>
        <v>#REF!</v>
      </c>
      <c r="O648" s="50" t="e">
        <f>'Raw Data'!#REF!/O$1</f>
        <v>#REF!</v>
      </c>
      <c r="P648" s="50" t="str">
        <f t="shared" si="79"/>
        <v/>
      </c>
      <c r="Q648" s="50" t="e">
        <f t="shared" si="80"/>
        <v>#REF!</v>
      </c>
    </row>
    <row r="649" spans="1:17">
      <c r="A649" s="102" t="s">
        <v>210</v>
      </c>
      <c r="B649" s="101">
        <v>4</v>
      </c>
      <c r="C649" s="101">
        <v>2024</v>
      </c>
      <c r="D649" s="102" t="s">
        <v>211</v>
      </c>
      <c r="E649" s="102" t="s">
        <v>211</v>
      </c>
      <c r="F649" s="195">
        <v>45292</v>
      </c>
      <c r="G649" s="101">
        <f t="shared" si="78"/>
        <v>31</v>
      </c>
      <c r="H649" s="196">
        <f t="shared" si="81"/>
        <v>45298</v>
      </c>
      <c r="I649" s="141">
        <f>_xlfn.XLOOKUP(Table12[[#This Row],[Month Year]],'Modelling New'!D:D,'Modelling New'!N:N)</f>
        <v>10.507</v>
      </c>
      <c r="J649" s="50" t="e">
        <f>'Raw Data'!#REF!/J$1</f>
        <v>#REF!</v>
      </c>
      <c r="K649" s="50" t="e">
        <f>'Raw Data'!#REF!/K$1</f>
        <v>#REF!</v>
      </c>
      <c r="L649" s="50" t="e">
        <f>'Raw Data'!#REF!/L$1</f>
        <v>#REF!</v>
      </c>
      <c r="M649" s="50" t="e">
        <f>'Raw Data'!#REF!/M$1</f>
        <v>#REF!</v>
      </c>
      <c r="N649" s="50" t="e">
        <f>'Raw Data'!#REF!/N$1</f>
        <v>#REF!</v>
      </c>
      <c r="O649" s="50" t="e">
        <f>'Raw Data'!#REF!/O$1</f>
        <v>#REF!</v>
      </c>
      <c r="P649" s="50" t="str">
        <f t="shared" si="79"/>
        <v/>
      </c>
      <c r="Q649" s="50" t="e">
        <f t="shared" si="80"/>
        <v>#REF!</v>
      </c>
    </row>
    <row r="650" spans="1:17">
      <c r="A650" s="102" t="s">
        <v>210</v>
      </c>
      <c r="B650" s="101">
        <v>4</v>
      </c>
      <c r="C650" s="101">
        <v>2024</v>
      </c>
      <c r="D650" s="102" t="s">
        <v>211</v>
      </c>
      <c r="E650" s="102" t="s">
        <v>211</v>
      </c>
      <c r="F650" s="195">
        <v>45292</v>
      </c>
      <c r="G650" s="101">
        <f t="shared" si="78"/>
        <v>31</v>
      </c>
      <c r="H650" s="196">
        <f t="shared" si="81"/>
        <v>45299</v>
      </c>
      <c r="I650" s="141">
        <f>_xlfn.XLOOKUP(Table12[[#This Row],[Month Year]],'Modelling New'!D:D,'Modelling New'!N:N)</f>
        <v>10.507</v>
      </c>
      <c r="J650" s="50" t="e">
        <f>'Raw Data'!#REF!/J$1</f>
        <v>#REF!</v>
      </c>
      <c r="K650" s="50" t="e">
        <f>'Raw Data'!#REF!/K$1</f>
        <v>#REF!</v>
      </c>
      <c r="L650" s="50" t="e">
        <f>'Raw Data'!#REF!/L$1</f>
        <v>#REF!</v>
      </c>
      <c r="M650" s="50" t="e">
        <f>'Raw Data'!#REF!/M$1</f>
        <v>#REF!</v>
      </c>
      <c r="N650" s="50" t="e">
        <f>'Raw Data'!#REF!/N$1</f>
        <v>#REF!</v>
      </c>
      <c r="O650" s="50" t="e">
        <f>'Raw Data'!#REF!/O$1</f>
        <v>#REF!</v>
      </c>
      <c r="P650" s="50" t="str">
        <f t="shared" si="79"/>
        <v/>
      </c>
      <c r="Q650" s="50" t="e">
        <f t="shared" si="80"/>
        <v>#REF!</v>
      </c>
    </row>
    <row r="651" spans="1:17">
      <c r="A651" s="102" t="s">
        <v>210</v>
      </c>
      <c r="B651" s="101">
        <v>4</v>
      </c>
      <c r="C651" s="101">
        <v>2024</v>
      </c>
      <c r="D651" s="102" t="s">
        <v>211</v>
      </c>
      <c r="E651" s="102" t="s">
        <v>211</v>
      </c>
      <c r="F651" s="195">
        <v>45292</v>
      </c>
      <c r="G651" s="101">
        <f t="shared" si="78"/>
        <v>31</v>
      </c>
      <c r="H651" s="196">
        <f t="shared" si="81"/>
        <v>45300</v>
      </c>
      <c r="I651" s="141">
        <f>_xlfn.XLOOKUP(Table12[[#This Row],[Month Year]],'Modelling New'!D:D,'Modelling New'!N:N)</f>
        <v>10.507</v>
      </c>
      <c r="J651" s="50" t="e">
        <f>'Raw Data'!#REF!/J$1</f>
        <v>#REF!</v>
      </c>
      <c r="K651" s="50" t="e">
        <f>'Raw Data'!#REF!/K$1</f>
        <v>#REF!</v>
      </c>
      <c r="L651" s="50" t="e">
        <f>'Raw Data'!#REF!/L$1</f>
        <v>#REF!</v>
      </c>
      <c r="M651" s="50" t="e">
        <f>'Raw Data'!#REF!/M$1</f>
        <v>#REF!</v>
      </c>
      <c r="N651" s="50" t="e">
        <f>'Raw Data'!#REF!/N$1</f>
        <v>#REF!</v>
      </c>
      <c r="O651" s="50" t="e">
        <f>'Raw Data'!#REF!/O$1</f>
        <v>#REF!</v>
      </c>
      <c r="P651" s="50" t="str">
        <f t="shared" si="79"/>
        <v/>
      </c>
      <c r="Q651" s="50" t="e">
        <f t="shared" si="80"/>
        <v>#REF!</v>
      </c>
    </row>
    <row r="652" spans="1:17">
      <c r="A652" s="102" t="s">
        <v>210</v>
      </c>
      <c r="B652" s="101">
        <v>4</v>
      </c>
      <c r="C652" s="101">
        <v>2024</v>
      </c>
      <c r="D652" s="102" t="s">
        <v>211</v>
      </c>
      <c r="E652" s="102" t="s">
        <v>211</v>
      </c>
      <c r="F652" s="195">
        <v>45292</v>
      </c>
      <c r="G652" s="101">
        <f t="shared" si="78"/>
        <v>31</v>
      </c>
      <c r="H652" s="196">
        <f t="shared" si="81"/>
        <v>45301</v>
      </c>
      <c r="I652" s="141">
        <f>_xlfn.XLOOKUP(Table12[[#This Row],[Month Year]],'Modelling New'!D:D,'Modelling New'!N:N)</f>
        <v>10.507</v>
      </c>
      <c r="J652" s="50" t="e">
        <f>'Raw Data'!#REF!/J$1</f>
        <v>#REF!</v>
      </c>
      <c r="K652" s="50" t="e">
        <f>'Raw Data'!#REF!/K$1</f>
        <v>#REF!</v>
      </c>
      <c r="L652" s="50" t="e">
        <f>'Raw Data'!#REF!/L$1</f>
        <v>#REF!</v>
      </c>
      <c r="M652" s="50" t="e">
        <f>'Raw Data'!#REF!/M$1</f>
        <v>#REF!</v>
      </c>
      <c r="N652" s="50" t="e">
        <f>'Raw Data'!#REF!/N$1</f>
        <v>#REF!</v>
      </c>
      <c r="O652" s="50" t="e">
        <f>'Raw Data'!#REF!/O$1</f>
        <v>#REF!</v>
      </c>
      <c r="P652" s="50" t="str">
        <f t="shared" si="79"/>
        <v/>
      </c>
      <c r="Q652" s="50" t="e">
        <f t="shared" si="80"/>
        <v>#REF!</v>
      </c>
    </row>
    <row r="653" spans="1:17">
      <c r="A653" s="102" t="s">
        <v>210</v>
      </c>
      <c r="B653" s="101">
        <v>4</v>
      </c>
      <c r="C653" s="101">
        <v>2024</v>
      </c>
      <c r="D653" s="102" t="s">
        <v>211</v>
      </c>
      <c r="E653" s="102" t="s">
        <v>211</v>
      </c>
      <c r="F653" s="195">
        <v>45292</v>
      </c>
      <c r="G653" s="101">
        <f t="shared" si="78"/>
        <v>31</v>
      </c>
      <c r="H653" s="196">
        <f t="shared" si="81"/>
        <v>45302</v>
      </c>
      <c r="I653" s="141">
        <f>_xlfn.XLOOKUP(Table12[[#This Row],[Month Year]],'Modelling New'!D:D,'Modelling New'!N:N)</f>
        <v>10.507</v>
      </c>
      <c r="J653" s="50" t="e">
        <f>'Raw Data'!#REF!/J$1</f>
        <v>#REF!</v>
      </c>
      <c r="K653" s="50" t="e">
        <f>'Raw Data'!#REF!/K$1</f>
        <v>#REF!</v>
      </c>
      <c r="L653" s="50" t="e">
        <f>'Raw Data'!#REF!/L$1</f>
        <v>#REF!</v>
      </c>
      <c r="M653" s="50" t="e">
        <f>'Raw Data'!#REF!/M$1</f>
        <v>#REF!</v>
      </c>
      <c r="N653" s="50" t="e">
        <f>'Raw Data'!#REF!/N$1</f>
        <v>#REF!</v>
      </c>
      <c r="O653" s="50" t="e">
        <f>'Raw Data'!#REF!/O$1</f>
        <v>#REF!</v>
      </c>
      <c r="P653" s="50" t="str">
        <f t="shared" si="79"/>
        <v/>
      </c>
      <c r="Q653" s="50" t="e">
        <f t="shared" si="80"/>
        <v>#REF!</v>
      </c>
    </row>
    <row r="654" spans="1:17">
      <c r="A654" s="102" t="s">
        <v>210</v>
      </c>
      <c r="B654" s="101">
        <v>4</v>
      </c>
      <c r="C654" s="101">
        <v>2024</v>
      </c>
      <c r="D654" s="102" t="s">
        <v>211</v>
      </c>
      <c r="E654" s="102" t="s">
        <v>211</v>
      </c>
      <c r="F654" s="195">
        <v>45292</v>
      </c>
      <c r="G654" s="101">
        <f t="shared" si="78"/>
        <v>31</v>
      </c>
      <c r="H654" s="196">
        <f t="shared" si="81"/>
        <v>45303</v>
      </c>
      <c r="I654" s="141">
        <f>_xlfn.XLOOKUP(Table12[[#This Row],[Month Year]],'Modelling New'!D:D,'Modelling New'!N:N)</f>
        <v>10.507</v>
      </c>
      <c r="J654" s="50" t="e">
        <f>'Raw Data'!#REF!/J$1</f>
        <v>#REF!</v>
      </c>
      <c r="K654" s="50" t="e">
        <f>'Raw Data'!#REF!/K$1</f>
        <v>#REF!</v>
      </c>
      <c r="L654" s="50" t="e">
        <f>'Raw Data'!#REF!/L$1</f>
        <v>#REF!</v>
      </c>
      <c r="M654" s="50" t="e">
        <f>'Raw Data'!#REF!/M$1</f>
        <v>#REF!</v>
      </c>
      <c r="N654" s="50" t="e">
        <f>'Raw Data'!#REF!/N$1</f>
        <v>#REF!</v>
      </c>
      <c r="O654" s="50" t="e">
        <f>'Raw Data'!#REF!/O$1</f>
        <v>#REF!</v>
      </c>
      <c r="P654" s="50" t="str">
        <f t="shared" si="79"/>
        <v/>
      </c>
      <c r="Q654" s="50" t="e">
        <f t="shared" si="80"/>
        <v>#REF!</v>
      </c>
    </row>
    <row r="655" spans="1:17">
      <c r="A655" s="102" t="s">
        <v>210</v>
      </c>
      <c r="B655" s="101">
        <v>4</v>
      </c>
      <c r="C655" s="101">
        <v>2024</v>
      </c>
      <c r="D655" s="102" t="s">
        <v>211</v>
      </c>
      <c r="E655" s="102" t="s">
        <v>211</v>
      </c>
      <c r="F655" s="195">
        <v>45292</v>
      </c>
      <c r="G655" s="101">
        <f t="shared" si="78"/>
        <v>31</v>
      </c>
      <c r="H655" s="196">
        <f t="shared" si="81"/>
        <v>45304</v>
      </c>
      <c r="I655" s="141">
        <f>_xlfn.XLOOKUP(Table12[[#This Row],[Month Year]],'Modelling New'!D:D,'Modelling New'!N:N)</f>
        <v>10.507</v>
      </c>
      <c r="J655" s="50" t="e">
        <f>'Raw Data'!#REF!/J$1</f>
        <v>#REF!</v>
      </c>
      <c r="K655" s="50" t="e">
        <f>'Raw Data'!#REF!/K$1</f>
        <v>#REF!</v>
      </c>
      <c r="L655" s="50" t="e">
        <f>'Raw Data'!#REF!/L$1</f>
        <v>#REF!</v>
      </c>
      <c r="M655" s="50" t="e">
        <f>'Raw Data'!#REF!/M$1</f>
        <v>#REF!</v>
      </c>
      <c r="N655" s="50" t="e">
        <f>'Raw Data'!#REF!/N$1</f>
        <v>#REF!</v>
      </c>
      <c r="O655" s="50" t="e">
        <f>'Raw Data'!#REF!/O$1</f>
        <v>#REF!</v>
      </c>
      <c r="P655" s="50" t="str">
        <f t="shared" si="79"/>
        <v/>
      </c>
      <c r="Q655" s="50" t="e">
        <f t="shared" si="80"/>
        <v>#REF!</v>
      </c>
    </row>
    <row r="656" spans="1:17">
      <c r="A656" s="102" t="s">
        <v>210</v>
      </c>
      <c r="B656" s="101">
        <v>4</v>
      </c>
      <c r="C656" s="101">
        <v>2024</v>
      </c>
      <c r="D656" s="102" t="s">
        <v>211</v>
      </c>
      <c r="E656" s="102" t="s">
        <v>211</v>
      </c>
      <c r="F656" s="195">
        <v>45292</v>
      </c>
      <c r="G656" s="101">
        <f t="shared" si="78"/>
        <v>31</v>
      </c>
      <c r="H656" s="196">
        <f t="shared" si="81"/>
        <v>45305</v>
      </c>
      <c r="I656" s="141">
        <f>_xlfn.XLOOKUP(Table12[[#This Row],[Month Year]],'Modelling New'!D:D,'Modelling New'!N:N)</f>
        <v>10.507</v>
      </c>
      <c r="J656" s="50" t="e">
        <f>'Raw Data'!#REF!/J$1</f>
        <v>#REF!</v>
      </c>
      <c r="K656" s="50" t="e">
        <f>'Raw Data'!#REF!/K$1</f>
        <v>#REF!</v>
      </c>
      <c r="L656" s="50" t="e">
        <f>'Raw Data'!#REF!/L$1</f>
        <v>#REF!</v>
      </c>
      <c r="M656" s="50" t="e">
        <f>'Raw Data'!#REF!/M$1</f>
        <v>#REF!</v>
      </c>
      <c r="N656" s="50" t="e">
        <f>'Raw Data'!#REF!/N$1</f>
        <v>#REF!</v>
      </c>
      <c r="O656" s="50" t="e">
        <f>'Raw Data'!#REF!/O$1</f>
        <v>#REF!</v>
      </c>
      <c r="P656" s="50" t="str">
        <f t="shared" si="79"/>
        <v/>
      </c>
      <c r="Q656" s="50" t="e">
        <f t="shared" si="80"/>
        <v>#REF!</v>
      </c>
    </row>
    <row r="657" spans="1:17">
      <c r="A657" s="102" t="s">
        <v>210</v>
      </c>
      <c r="B657" s="101">
        <v>4</v>
      </c>
      <c r="C657" s="101">
        <v>2024</v>
      </c>
      <c r="D657" s="102" t="s">
        <v>211</v>
      </c>
      <c r="E657" s="102" t="s">
        <v>211</v>
      </c>
      <c r="F657" s="195">
        <v>45292</v>
      </c>
      <c r="G657" s="101">
        <f t="shared" si="78"/>
        <v>31</v>
      </c>
      <c r="H657" s="196">
        <f t="shared" si="81"/>
        <v>45306</v>
      </c>
      <c r="I657" s="141">
        <f>_xlfn.XLOOKUP(Table12[[#This Row],[Month Year]],'Modelling New'!D:D,'Modelling New'!N:N)</f>
        <v>10.507</v>
      </c>
      <c r="J657" s="50" t="e">
        <f>'Raw Data'!#REF!/J$1</f>
        <v>#REF!</v>
      </c>
      <c r="K657" s="50" t="e">
        <f>'Raw Data'!#REF!/K$1</f>
        <v>#REF!</v>
      </c>
      <c r="L657" s="50" t="e">
        <f>'Raw Data'!#REF!/L$1</f>
        <v>#REF!</v>
      </c>
      <c r="M657" s="50" t="e">
        <f>'Raw Data'!#REF!/M$1</f>
        <v>#REF!</v>
      </c>
      <c r="N657" s="50" t="e">
        <f>'Raw Data'!#REF!/N$1</f>
        <v>#REF!</v>
      </c>
      <c r="O657" s="50" t="e">
        <f>'Raw Data'!#REF!/O$1</f>
        <v>#REF!</v>
      </c>
      <c r="P657" s="50" t="str">
        <f t="shared" si="79"/>
        <v/>
      </c>
      <c r="Q657" s="50" t="e">
        <f t="shared" si="80"/>
        <v>#REF!</v>
      </c>
    </row>
    <row r="658" spans="1:17">
      <c r="A658" s="102" t="s">
        <v>210</v>
      </c>
      <c r="B658" s="101">
        <v>4</v>
      </c>
      <c r="C658" s="101">
        <v>2024</v>
      </c>
      <c r="D658" s="102" t="s">
        <v>211</v>
      </c>
      <c r="E658" s="102" t="s">
        <v>211</v>
      </c>
      <c r="F658" s="195">
        <v>45292</v>
      </c>
      <c r="G658" s="101">
        <f t="shared" si="78"/>
        <v>31</v>
      </c>
      <c r="H658" s="196">
        <f t="shared" si="81"/>
        <v>45307</v>
      </c>
      <c r="I658" s="141">
        <f>_xlfn.XLOOKUP(Table12[[#This Row],[Month Year]],'Modelling New'!D:D,'Modelling New'!N:N)</f>
        <v>10.507</v>
      </c>
      <c r="J658" s="50" t="e">
        <f>'Raw Data'!#REF!/J$1</f>
        <v>#REF!</v>
      </c>
      <c r="K658" s="50" t="e">
        <f>'Raw Data'!#REF!/K$1</f>
        <v>#REF!</v>
      </c>
      <c r="L658" s="50" t="e">
        <f>'Raw Data'!#REF!/L$1</f>
        <v>#REF!</v>
      </c>
      <c r="M658" s="50" t="e">
        <f>'Raw Data'!#REF!/M$1</f>
        <v>#REF!</v>
      </c>
      <c r="N658" s="50" t="e">
        <f>'Raw Data'!#REF!/N$1</f>
        <v>#REF!</v>
      </c>
      <c r="O658" s="50" t="e">
        <f>'Raw Data'!#REF!/O$1</f>
        <v>#REF!</v>
      </c>
      <c r="P658" s="50" t="str">
        <f t="shared" si="79"/>
        <v/>
      </c>
      <c r="Q658" s="50" t="e">
        <f t="shared" si="80"/>
        <v>#REF!</v>
      </c>
    </row>
    <row r="659" spans="1:17">
      <c r="A659" s="102" t="s">
        <v>210</v>
      </c>
      <c r="B659" s="101">
        <v>4</v>
      </c>
      <c r="C659" s="101">
        <v>2024</v>
      </c>
      <c r="D659" s="102" t="s">
        <v>211</v>
      </c>
      <c r="E659" s="102" t="s">
        <v>211</v>
      </c>
      <c r="F659" s="195">
        <v>45292</v>
      </c>
      <c r="G659" s="101">
        <f t="shared" si="78"/>
        <v>31</v>
      </c>
      <c r="H659" s="196">
        <f t="shared" si="81"/>
        <v>45308</v>
      </c>
      <c r="I659" s="141">
        <f>_xlfn.XLOOKUP(Table12[[#This Row],[Month Year]],'Modelling New'!D:D,'Modelling New'!N:N)</f>
        <v>10.507</v>
      </c>
      <c r="J659" s="50" t="e">
        <f>'Raw Data'!#REF!/J$1</f>
        <v>#REF!</v>
      </c>
      <c r="K659" s="50" t="e">
        <f>'Raw Data'!#REF!/K$1</f>
        <v>#REF!</v>
      </c>
      <c r="L659" s="50" t="e">
        <f>'Raw Data'!#REF!/L$1</f>
        <v>#REF!</v>
      </c>
      <c r="M659" s="50" t="e">
        <f>'Raw Data'!#REF!/M$1</f>
        <v>#REF!</v>
      </c>
      <c r="N659" s="50" t="e">
        <f>'Raw Data'!#REF!/N$1</f>
        <v>#REF!</v>
      </c>
      <c r="O659" s="50" t="e">
        <f>'Raw Data'!#REF!/O$1</f>
        <v>#REF!</v>
      </c>
      <c r="P659" s="50" t="str">
        <f t="shared" si="79"/>
        <v/>
      </c>
      <c r="Q659" s="50" t="e">
        <f t="shared" si="80"/>
        <v>#REF!</v>
      </c>
    </row>
    <row r="660" spans="1:17">
      <c r="A660" s="102" t="s">
        <v>210</v>
      </c>
      <c r="B660" s="101">
        <v>4</v>
      </c>
      <c r="C660" s="101">
        <v>2024</v>
      </c>
      <c r="D660" s="102" t="s">
        <v>211</v>
      </c>
      <c r="E660" s="102" t="s">
        <v>211</v>
      </c>
      <c r="F660" s="195">
        <v>45292</v>
      </c>
      <c r="G660" s="101">
        <f t="shared" si="78"/>
        <v>31</v>
      </c>
      <c r="H660" s="196">
        <f t="shared" si="81"/>
        <v>45309</v>
      </c>
      <c r="I660" s="141">
        <f>_xlfn.XLOOKUP(Table12[[#This Row],[Month Year]],'Modelling New'!D:D,'Modelling New'!N:N)</f>
        <v>10.507</v>
      </c>
      <c r="J660" s="50" t="e">
        <f>'Raw Data'!#REF!/J$1</f>
        <v>#REF!</v>
      </c>
      <c r="K660" s="50" t="e">
        <f>'Raw Data'!#REF!/K$1</f>
        <v>#REF!</v>
      </c>
      <c r="L660" s="50" t="e">
        <f>'Raw Data'!#REF!/L$1</f>
        <v>#REF!</v>
      </c>
      <c r="M660" s="50" t="e">
        <f>'Raw Data'!#REF!/M$1</f>
        <v>#REF!</v>
      </c>
      <c r="N660" s="50" t="e">
        <f>'Raw Data'!#REF!/N$1</f>
        <v>#REF!</v>
      </c>
      <c r="O660" s="50" t="e">
        <f>'Raw Data'!#REF!/O$1</f>
        <v>#REF!</v>
      </c>
      <c r="P660" s="50" t="str">
        <f t="shared" si="79"/>
        <v/>
      </c>
      <c r="Q660" s="50" t="e">
        <f t="shared" si="80"/>
        <v>#REF!</v>
      </c>
    </row>
    <row r="661" spans="1:17">
      <c r="A661" s="102" t="s">
        <v>210</v>
      </c>
      <c r="B661" s="101">
        <v>4</v>
      </c>
      <c r="C661" s="101">
        <v>2024</v>
      </c>
      <c r="D661" s="102" t="s">
        <v>211</v>
      </c>
      <c r="E661" s="102" t="s">
        <v>211</v>
      </c>
      <c r="F661" s="195">
        <v>45292</v>
      </c>
      <c r="G661" s="101">
        <f t="shared" si="78"/>
        <v>31</v>
      </c>
      <c r="H661" s="196">
        <f t="shared" si="81"/>
        <v>45310</v>
      </c>
      <c r="I661" s="141">
        <f>_xlfn.XLOOKUP(Table12[[#This Row],[Month Year]],'Modelling New'!D:D,'Modelling New'!N:N)</f>
        <v>10.507</v>
      </c>
      <c r="J661" s="50" t="e">
        <f>'Raw Data'!#REF!/J$1</f>
        <v>#REF!</v>
      </c>
      <c r="K661" s="50" t="e">
        <f>'Raw Data'!#REF!/K$1</f>
        <v>#REF!</v>
      </c>
      <c r="L661" s="50" t="e">
        <f>'Raw Data'!#REF!/L$1</f>
        <v>#REF!</v>
      </c>
      <c r="M661" s="50" t="e">
        <f>'Raw Data'!#REF!/M$1</f>
        <v>#REF!</v>
      </c>
      <c r="N661" s="50" t="e">
        <f>'Raw Data'!#REF!/N$1</f>
        <v>#REF!</v>
      </c>
      <c r="O661" s="50" t="e">
        <f>'Raw Data'!#REF!/O$1</f>
        <v>#REF!</v>
      </c>
      <c r="P661" s="50" t="str">
        <f t="shared" si="79"/>
        <v/>
      </c>
      <c r="Q661" s="50" t="e">
        <f t="shared" si="80"/>
        <v>#REF!</v>
      </c>
    </row>
    <row r="662" spans="1:17">
      <c r="A662" s="102" t="s">
        <v>210</v>
      </c>
      <c r="B662" s="101">
        <v>4</v>
      </c>
      <c r="C662" s="101">
        <v>2024</v>
      </c>
      <c r="D662" s="102" t="s">
        <v>211</v>
      </c>
      <c r="E662" s="102" t="s">
        <v>211</v>
      </c>
      <c r="F662" s="195">
        <v>45292</v>
      </c>
      <c r="G662" s="101">
        <f t="shared" si="78"/>
        <v>31</v>
      </c>
      <c r="H662" s="196">
        <f t="shared" si="81"/>
        <v>45311</v>
      </c>
      <c r="I662" s="141">
        <f>_xlfn.XLOOKUP(Table12[[#This Row],[Month Year]],'Modelling New'!D:D,'Modelling New'!N:N)</f>
        <v>10.507</v>
      </c>
      <c r="J662" s="50" t="e">
        <f>'Raw Data'!#REF!/J$1</f>
        <v>#REF!</v>
      </c>
      <c r="K662" s="50" t="e">
        <f>'Raw Data'!#REF!/K$1</f>
        <v>#REF!</v>
      </c>
      <c r="L662" s="50" t="e">
        <f>'Raw Data'!#REF!/L$1</f>
        <v>#REF!</v>
      </c>
      <c r="M662" s="50" t="e">
        <f>'Raw Data'!#REF!/M$1</f>
        <v>#REF!</v>
      </c>
      <c r="N662" s="50" t="e">
        <f>'Raw Data'!#REF!/N$1</f>
        <v>#REF!</v>
      </c>
      <c r="O662" s="50" t="e">
        <f>'Raw Data'!#REF!/O$1</f>
        <v>#REF!</v>
      </c>
      <c r="P662" s="50" t="str">
        <f t="shared" si="79"/>
        <v/>
      </c>
      <c r="Q662" s="50" t="e">
        <f t="shared" si="80"/>
        <v>#REF!</v>
      </c>
    </row>
    <row r="663" spans="1:17">
      <c r="A663" s="102" t="s">
        <v>210</v>
      </c>
      <c r="B663" s="101">
        <v>4</v>
      </c>
      <c r="C663" s="101">
        <v>2024</v>
      </c>
      <c r="D663" s="102" t="s">
        <v>211</v>
      </c>
      <c r="E663" s="102" t="s">
        <v>211</v>
      </c>
      <c r="F663" s="195">
        <v>45292</v>
      </c>
      <c r="G663" s="101">
        <f t="shared" si="78"/>
        <v>31</v>
      </c>
      <c r="H663" s="196">
        <f t="shared" si="81"/>
        <v>45312</v>
      </c>
      <c r="I663" s="141">
        <f>_xlfn.XLOOKUP(Table12[[#This Row],[Month Year]],'Modelling New'!D:D,'Modelling New'!N:N)</f>
        <v>10.507</v>
      </c>
      <c r="J663" s="50" t="e">
        <f>'Raw Data'!#REF!/J$1</f>
        <v>#REF!</v>
      </c>
      <c r="K663" s="50" t="e">
        <f>'Raw Data'!#REF!/K$1</f>
        <v>#REF!</v>
      </c>
      <c r="L663" s="50" t="e">
        <f>'Raw Data'!#REF!/L$1</f>
        <v>#REF!</v>
      </c>
      <c r="M663" s="50" t="e">
        <f>'Raw Data'!#REF!/M$1</f>
        <v>#REF!</v>
      </c>
      <c r="N663" s="50" t="e">
        <f>'Raw Data'!#REF!/N$1</f>
        <v>#REF!</v>
      </c>
      <c r="O663" s="50" t="e">
        <f>'Raw Data'!#REF!/O$1</f>
        <v>#REF!</v>
      </c>
      <c r="P663" s="50" t="str">
        <f t="shared" si="79"/>
        <v/>
      </c>
      <c r="Q663" s="50" t="e">
        <f t="shared" si="80"/>
        <v>#REF!</v>
      </c>
    </row>
    <row r="664" spans="1:17">
      <c r="A664" s="102" t="s">
        <v>210</v>
      </c>
      <c r="B664" s="101">
        <v>4</v>
      </c>
      <c r="C664" s="101">
        <v>2024</v>
      </c>
      <c r="D664" s="102" t="s">
        <v>211</v>
      </c>
      <c r="E664" s="102" t="s">
        <v>211</v>
      </c>
      <c r="F664" s="195">
        <v>45292</v>
      </c>
      <c r="G664" s="101">
        <f t="shared" si="78"/>
        <v>31</v>
      </c>
      <c r="H664" s="196">
        <f t="shared" si="81"/>
        <v>45313</v>
      </c>
      <c r="I664" s="141">
        <f>_xlfn.XLOOKUP(Table12[[#This Row],[Month Year]],'Modelling New'!D:D,'Modelling New'!N:N)</f>
        <v>10.507</v>
      </c>
      <c r="J664" s="50" t="e">
        <f>'Raw Data'!#REF!/J$1</f>
        <v>#REF!</v>
      </c>
      <c r="K664" s="50" t="e">
        <f>'Raw Data'!#REF!/K$1</f>
        <v>#REF!</v>
      </c>
      <c r="L664" s="50" t="e">
        <f>'Raw Data'!#REF!/L$1</f>
        <v>#REF!</v>
      </c>
      <c r="M664" s="50" t="e">
        <f>'Raw Data'!#REF!/M$1</f>
        <v>#REF!</v>
      </c>
      <c r="N664" s="50" t="e">
        <f>'Raw Data'!#REF!/N$1</f>
        <v>#REF!</v>
      </c>
      <c r="O664" s="50" t="e">
        <f>'Raw Data'!#REF!/O$1</f>
        <v>#REF!</v>
      </c>
      <c r="P664" s="50" t="str">
        <f t="shared" si="79"/>
        <v/>
      </c>
      <c r="Q664" s="50" t="e">
        <f t="shared" si="80"/>
        <v>#REF!</v>
      </c>
    </row>
    <row r="665" spans="1:17">
      <c r="A665" s="102" t="s">
        <v>210</v>
      </c>
      <c r="B665" s="101">
        <v>4</v>
      </c>
      <c r="C665" s="101">
        <v>2024</v>
      </c>
      <c r="D665" s="102" t="s">
        <v>211</v>
      </c>
      <c r="E665" s="102" t="s">
        <v>211</v>
      </c>
      <c r="F665" s="195">
        <v>45292</v>
      </c>
      <c r="G665" s="101">
        <f t="shared" ref="G665:G671" si="82">DAY(EOMONTH(F665,0))</f>
        <v>31</v>
      </c>
      <c r="H665" s="196">
        <f t="shared" si="81"/>
        <v>45314</v>
      </c>
      <c r="I665" s="141">
        <f>_xlfn.XLOOKUP(Table12[[#This Row],[Month Year]],'Modelling New'!D:D,'Modelling New'!N:N)</f>
        <v>10.507</v>
      </c>
      <c r="J665" s="50" t="e">
        <f>'Raw Data'!#REF!/J$1</f>
        <v>#REF!</v>
      </c>
      <c r="K665" s="50" t="e">
        <f>'Raw Data'!#REF!/K$1</f>
        <v>#REF!</v>
      </c>
      <c r="L665" s="50" t="e">
        <f>'Raw Data'!#REF!/L$1</f>
        <v>#REF!</v>
      </c>
      <c r="M665" s="50" t="e">
        <f>'Raw Data'!#REF!/M$1</f>
        <v>#REF!</v>
      </c>
      <c r="N665" s="50" t="e">
        <f>'Raw Data'!#REF!/N$1</f>
        <v>#REF!</v>
      </c>
      <c r="O665" s="50" t="e">
        <f>'Raw Data'!#REF!/O$1</f>
        <v>#REF!</v>
      </c>
      <c r="P665" s="50" t="str">
        <f t="shared" ref="P665:P672" si="83">IFERROR(AVERAGEIF(J665:O665,"&gt;"&amp;0,J665:O665),"")</f>
        <v/>
      </c>
      <c r="Q665" s="50" t="e">
        <f t="shared" ref="Q665:Q672" si="84">MAXA(J665:O665)</f>
        <v>#REF!</v>
      </c>
    </row>
    <row r="666" spans="1:17">
      <c r="A666" s="102" t="s">
        <v>210</v>
      </c>
      <c r="B666" s="101">
        <v>4</v>
      </c>
      <c r="C666" s="101">
        <v>2024</v>
      </c>
      <c r="D666" s="102" t="s">
        <v>211</v>
      </c>
      <c r="E666" s="102" t="s">
        <v>211</v>
      </c>
      <c r="F666" s="195">
        <v>45292</v>
      </c>
      <c r="G666" s="101">
        <f t="shared" si="82"/>
        <v>31</v>
      </c>
      <c r="H666" s="196">
        <f t="shared" si="81"/>
        <v>45315</v>
      </c>
      <c r="I666" s="141">
        <f>_xlfn.XLOOKUP(Table12[[#This Row],[Month Year]],'Modelling New'!D:D,'Modelling New'!N:N)</f>
        <v>10.507</v>
      </c>
      <c r="J666" s="50" t="e">
        <f>'Raw Data'!#REF!/J$1</f>
        <v>#REF!</v>
      </c>
      <c r="K666" s="50" t="e">
        <f>'Raw Data'!#REF!/K$1</f>
        <v>#REF!</v>
      </c>
      <c r="L666" s="50" t="e">
        <f>'Raw Data'!#REF!/L$1</f>
        <v>#REF!</v>
      </c>
      <c r="M666" s="50" t="e">
        <f>'Raw Data'!#REF!/M$1</f>
        <v>#REF!</v>
      </c>
      <c r="N666" s="50" t="e">
        <f>'Raw Data'!#REF!/N$1</f>
        <v>#REF!</v>
      </c>
      <c r="O666" s="50" t="e">
        <f>'Raw Data'!#REF!/O$1</f>
        <v>#REF!</v>
      </c>
      <c r="P666" s="50" t="str">
        <f t="shared" si="83"/>
        <v/>
      </c>
      <c r="Q666" s="50" t="e">
        <f t="shared" si="84"/>
        <v>#REF!</v>
      </c>
    </row>
    <row r="667" spans="1:17">
      <c r="A667" s="102" t="s">
        <v>210</v>
      </c>
      <c r="B667" s="101">
        <v>4</v>
      </c>
      <c r="C667" s="101">
        <v>2024</v>
      </c>
      <c r="D667" s="102" t="s">
        <v>211</v>
      </c>
      <c r="E667" s="102" t="s">
        <v>211</v>
      </c>
      <c r="F667" s="195">
        <v>45292</v>
      </c>
      <c r="G667" s="101">
        <f t="shared" si="82"/>
        <v>31</v>
      </c>
      <c r="H667" s="196">
        <f t="shared" si="81"/>
        <v>45316</v>
      </c>
      <c r="I667" s="141">
        <f>_xlfn.XLOOKUP(Table12[[#This Row],[Month Year]],'Modelling New'!D:D,'Modelling New'!N:N)</f>
        <v>10.507</v>
      </c>
      <c r="J667" s="50" t="e">
        <f>'Raw Data'!#REF!/J$1</f>
        <v>#REF!</v>
      </c>
      <c r="K667" s="50" t="e">
        <f>'Raw Data'!#REF!/K$1</f>
        <v>#REF!</v>
      </c>
      <c r="L667" s="50" t="e">
        <f>'Raw Data'!#REF!/L$1</f>
        <v>#REF!</v>
      </c>
      <c r="M667" s="50" t="e">
        <f>'Raw Data'!#REF!/M$1</f>
        <v>#REF!</v>
      </c>
      <c r="N667" s="50" t="e">
        <f>'Raw Data'!#REF!/N$1</f>
        <v>#REF!</v>
      </c>
      <c r="O667" s="50" t="e">
        <f>'Raw Data'!#REF!/O$1</f>
        <v>#REF!</v>
      </c>
      <c r="P667" s="50" t="str">
        <f t="shared" si="83"/>
        <v/>
      </c>
      <c r="Q667" s="50" t="e">
        <f t="shared" si="84"/>
        <v>#REF!</v>
      </c>
    </row>
    <row r="668" spans="1:17">
      <c r="A668" s="102" t="s">
        <v>210</v>
      </c>
      <c r="B668" s="101">
        <v>4</v>
      </c>
      <c r="C668" s="101">
        <v>2024</v>
      </c>
      <c r="D668" s="102" t="s">
        <v>211</v>
      </c>
      <c r="E668" s="102" t="s">
        <v>211</v>
      </c>
      <c r="F668" s="195">
        <v>45292</v>
      </c>
      <c r="G668" s="101">
        <f t="shared" si="82"/>
        <v>31</v>
      </c>
      <c r="H668" s="196">
        <f t="shared" si="81"/>
        <v>45317</v>
      </c>
      <c r="I668" s="141">
        <f>_xlfn.XLOOKUP(Table12[[#This Row],[Month Year]],'Modelling New'!D:D,'Modelling New'!N:N)</f>
        <v>10.507</v>
      </c>
      <c r="J668" s="50" t="e">
        <f>'Raw Data'!#REF!/J$1</f>
        <v>#REF!</v>
      </c>
      <c r="K668" s="50" t="e">
        <f>'Raw Data'!#REF!/K$1</f>
        <v>#REF!</v>
      </c>
      <c r="L668" s="50" t="e">
        <f>'Raw Data'!#REF!/L$1</f>
        <v>#REF!</v>
      </c>
      <c r="M668" s="50" t="e">
        <f>'Raw Data'!#REF!/M$1</f>
        <v>#REF!</v>
      </c>
      <c r="N668" s="50" t="e">
        <f>'Raw Data'!#REF!/N$1</f>
        <v>#REF!</v>
      </c>
      <c r="O668" s="50" t="e">
        <f>'Raw Data'!#REF!/O$1</f>
        <v>#REF!</v>
      </c>
      <c r="P668" s="50" t="str">
        <f t="shared" si="83"/>
        <v/>
      </c>
      <c r="Q668" s="50" t="e">
        <f t="shared" si="84"/>
        <v>#REF!</v>
      </c>
    </row>
    <row r="669" spans="1:17">
      <c r="A669" s="102" t="s">
        <v>210</v>
      </c>
      <c r="B669" s="101">
        <v>4</v>
      </c>
      <c r="C669" s="101">
        <v>2024</v>
      </c>
      <c r="D669" s="102" t="s">
        <v>211</v>
      </c>
      <c r="E669" s="102" t="s">
        <v>211</v>
      </c>
      <c r="F669" s="195">
        <v>45292</v>
      </c>
      <c r="G669" s="101">
        <f t="shared" si="82"/>
        <v>31</v>
      </c>
      <c r="H669" s="196">
        <f t="shared" si="81"/>
        <v>45318</v>
      </c>
      <c r="I669" s="141">
        <f>_xlfn.XLOOKUP(Table12[[#This Row],[Month Year]],'Modelling New'!D:D,'Modelling New'!N:N)</f>
        <v>10.507</v>
      </c>
      <c r="J669" s="50" t="e">
        <f>'Raw Data'!#REF!/J$1</f>
        <v>#REF!</v>
      </c>
      <c r="K669" s="50" t="e">
        <f>'Raw Data'!#REF!/K$1</f>
        <v>#REF!</v>
      </c>
      <c r="L669" s="50" t="e">
        <f>'Raw Data'!#REF!/L$1</f>
        <v>#REF!</v>
      </c>
      <c r="M669" s="50" t="e">
        <f>'Raw Data'!#REF!/M$1</f>
        <v>#REF!</v>
      </c>
      <c r="N669" s="50" t="e">
        <f>'Raw Data'!#REF!/N$1</f>
        <v>#REF!</v>
      </c>
      <c r="O669" s="50" t="e">
        <f>'Raw Data'!#REF!/O$1</f>
        <v>#REF!</v>
      </c>
      <c r="P669" s="50" t="str">
        <f t="shared" si="83"/>
        <v/>
      </c>
      <c r="Q669" s="50" t="e">
        <f t="shared" si="84"/>
        <v>#REF!</v>
      </c>
    </row>
    <row r="670" spans="1:17">
      <c r="A670" s="102" t="s">
        <v>210</v>
      </c>
      <c r="B670" s="101">
        <v>4</v>
      </c>
      <c r="C670" s="101">
        <v>2024</v>
      </c>
      <c r="D670" s="102" t="s">
        <v>211</v>
      </c>
      <c r="E670" s="102" t="s">
        <v>211</v>
      </c>
      <c r="F670" s="195">
        <v>45292</v>
      </c>
      <c r="G670" s="101">
        <f t="shared" si="82"/>
        <v>31</v>
      </c>
      <c r="H670" s="196">
        <f t="shared" si="81"/>
        <v>45319</v>
      </c>
      <c r="I670" s="141">
        <f>_xlfn.XLOOKUP(Table12[[#This Row],[Month Year]],'Modelling New'!D:D,'Modelling New'!N:N)</f>
        <v>10.507</v>
      </c>
      <c r="J670" s="50" t="e">
        <f>'Raw Data'!#REF!/J$1</f>
        <v>#REF!</v>
      </c>
      <c r="K670" s="50" t="e">
        <f>'Raw Data'!#REF!/K$1</f>
        <v>#REF!</v>
      </c>
      <c r="L670" s="50" t="e">
        <f>'Raw Data'!#REF!/L$1</f>
        <v>#REF!</v>
      </c>
      <c r="M670" s="50" t="e">
        <f>'Raw Data'!#REF!/M$1</f>
        <v>#REF!</v>
      </c>
      <c r="N670" s="50" t="e">
        <f>'Raw Data'!#REF!/N$1</f>
        <v>#REF!</v>
      </c>
      <c r="O670" s="50" t="e">
        <f>'Raw Data'!#REF!/O$1</f>
        <v>#REF!</v>
      </c>
      <c r="P670" s="50" t="str">
        <f t="shared" si="83"/>
        <v/>
      </c>
      <c r="Q670" s="50" t="e">
        <f t="shared" si="84"/>
        <v>#REF!</v>
      </c>
    </row>
    <row r="671" spans="1:17">
      <c r="A671" s="102" t="s">
        <v>210</v>
      </c>
      <c r="B671" s="101">
        <v>4</v>
      </c>
      <c r="C671" s="101">
        <v>2024</v>
      </c>
      <c r="D671" s="102" t="s">
        <v>211</v>
      </c>
      <c r="E671" s="102" t="s">
        <v>211</v>
      </c>
      <c r="F671" s="195">
        <v>45292</v>
      </c>
      <c r="G671" s="101">
        <f t="shared" si="82"/>
        <v>31</v>
      </c>
      <c r="H671" s="196">
        <f t="shared" si="81"/>
        <v>45320</v>
      </c>
      <c r="I671" s="141">
        <f>_xlfn.XLOOKUP(Table12[[#This Row],[Month Year]],'Modelling New'!D:D,'Modelling New'!N:N)</f>
        <v>10.507</v>
      </c>
      <c r="J671" s="50" t="e">
        <f>'Raw Data'!#REF!/J$1</f>
        <v>#REF!</v>
      </c>
      <c r="K671" s="50" t="e">
        <f>'Raw Data'!#REF!/K$1</f>
        <v>#REF!</v>
      </c>
      <c r="L671" s="50" t="e">
        <f>'Raw Data'!#REF!/L$1</f>
        <v>#REF!</v>
      </c>
      <c r="M671" s="50" t="e">
        <f>'Raw Data'!#REF!/M$1</f>
        <v>#REF!</v>
      </c>
      <c r="N671" s="50" t="e">
        <f>'Raw Data'!#REF!/N$1</f>
        <v>#REF!</v>
      </c>
      <c r="O671" s="50" t="e">
        <f>'Raw Data'!#REF!/O$1</f>
        <v>#REF!</v>
      </c>
      <c r="P671" s="50" t="str">
        <f t="shared" si="83"/>
        <v/>
      </c>
      <c r="Q671" s="50" t="e">
        <f t="shared" si="84"/>
        <v>#REF!</v>
      </c>
    </row>
    <row r="672" spans="1:17">
      <c r="A672" s="102" t="s">
        <v>210</v>
      </c>
      <c r="B672" s="101">
        <v>4</v>
      </c>
      <c r="C672" s="101">
        <v>2024</v>
      </c>
      <c r="D672" s="102" t="s">
        <v>211</v>
      </c>
      <c r="E672" s="102" t="s">
        <v>211</v>
      </c>
      <c r="F672" s="195">
        <v>45292</v>
      </c>
      <c r="G672" s="101">
        <f>DAY(EOMONTH(F672,0))</f>
        <v>31</v>
      </c>
      <c r="H672" s="196">
        <f>H671+1</f>
        <v>45321</v>
      </c>
      <c r="I672" s="141">
        <f>_xlfn.XLOOKUP(Table12[[#This Row],[Month Year]],'Modelling New'!D:D,'Modelling New'!N:N)</f>
        <v>10.507</v>
      </c>
      <c r="J672" s="50" t="e">
        <f>'Raw Data'!#REF!/J$1</f>
        <v>#REF!</v>
      </c>
      <c r="K672" s="50" t="e">
        <f>'Raw Data'!#REF!/K$1</f>
        <v>#REF!</v>
      </c>
      <c r="L672" s="50" t="e">
        <f>'Raw Data'!#REF!/L$1</f>
        <v>#REF!</v>
      </c>
      <c r="M672" s="50" t="e">
        <f>'Raw Data'!#REF!/M$1</f>
        <v>#REF!</v>
      </c>
      <c r="N672" s="50" t="e">
        <f>'Raw Data'!#REF!/N$1</f>
        <v>#REF!</v>
      </c>
      <c r="O672" s="50" t="e">
        <f>'Raw Data'!#REF!/O$1</f>
        <v>#REF!</v>
      </c>
      <c r="P672" s="50" t="str">
        <f t="shared" si="83"/>
        <v/>
      </c>
      <c r="Q672" s="50" t="e">
        <f t="shared" si="84"/>
        <v>#REF!</v>
      </c>
    </row>
    <row r="673" spans="1:17">
      <c r="A673" s="102" t="s">
        <v>210</v>
      </c>
      <c r="B673" s="101">
        <v>4</v>
      </c>
      <c r="C673" s="101">
        <v>2024</v>
      </c>
      <c r="D673" s="102" t="s">
        <v>211</v>
      </c>
      <c r="E673" s="102" t="s">
        <v>211</v>
      </c>
      <c r="F673" s="195">
        <v>45323</v>
      </c>
      <c r="G673" s="101">
        <f>DAY(EOMONTH(F673,0))</f>
        <v>29</v>
      </c>
      <c r="H673" s="196">
        <f>H672+1</f>
        <v>45322</v>
      </c>
      <c r="I673" s="141">
        <f>_xlfn.XLOOKUP(Table12[[#This Row],[Month Year]],'Modelling New'!D:D,'Modelling New'!N:N)</f>
        <v>10.507</v>
      </c>
      <c r="J673" s="50" t="e">
        <f>'Raw Data'!#REF!/J$1</f>
        <v>#REF!</v>
      </c>
      <c r="K673" s="50" t="e">
        <f>'Raw Data'!#REF!/K$1</f>
        <v>#REF!</v>
      </c>
      <c r="L673" s="50" t="e">
        <f>'Raw Data'!#REF!/L$1</f>
        <v>#REF!</v>
      </c>
      <c r="M673" s="50" t="e">
        <f>'Raw Data'!#REF!/M$1</f>
        <v>#REF!</v>
      </c>
      <c r="N673" s="50" t="e">
        <f>'Raw Data'!#REF!/N$1</f>
        <v>#REF!</v>
      </c>
      <c r="O673" s="50" t="e">
        <f>'Raw Data'!#REF!/O$1</f>
        <v>#REF!</v>
      </c>
      <c r="P673" s="50" t="str">
        <f>IFERROR(AVERAGEIF(J673:O673,"&gt;"&amp;0,J673:O673),"")</f>
        <v/>
      </c>
      <c r="Q673" s="50" t="e">
        <f>MAXA(J673:O673)</f>
        <v>#REF!</v>
      </c>
    </row>
    <row r="674" spans="1:17">
      <c r="A674" s="101" t="s">
        <v>210</v>
      </c>
      <c r="B674" s="101">
        <v>4</v>
      </c>
      <c r="C674" s="101">
        <v>2024</v>
      </c>
      <c r="D674" s="102" t="s">
        <v>211</v>
      </c>
      <c r="E674" s="102" t="s">
        <v>211</v>
      </c>
      <c r="F674" s="195">
        <v>45323</v>
      </c>
      <c r="G674" s="101">
        <f t="shared" ref="G674:G703" si="85">DAY(EOMONTH(F674,0))</f>
        <v>29</v>
      </c>
      <c r="H674" s="103">
        <f t="shared" ref="H674:H717" si="86">H673+1</f>
        <v>45323</v>
      </c>
      <c r="I674" s="141">
        <f>_xlfn.XLOOKUP(Table12[[#This Row],[Month Year]],'Modelling New'!D:D,'Modelling New'!N:N)</f>
        <v>10.507</v>
      </c>
      <c r="J674" s="50" t="e">
        <f>'Raw Data'!#REF!/J$1</f>
        <v>#REF!</v>
      </c>
      <c r="K674" s="50" t="e">
        <f>'Raw Data'!#REF!/K$1</f>
        <v>#REF!</v>
      </c>
      <c r="L674" s="50" t="e">
        <f>'Raw Data'!#REF!/L$1</f>
        <v>#REF!</v>
      </c>
      <c r="M674" s="50" t="e">
        <f>'Raw Data'!#REF!/M$1</f>
        <v>#REF!</v>
      </c>
      <c r="N674" s="50" t="e">
        <f>'Raw Data'!#REF!/N$1</f>
        <v>#REF!</v>
      </c>
      <c r="O674" s="50" t="e">
        <f>'Raw Data'!#REF!/O$1</f>
        <v>#REF!</v>
      </c>
      <c r="P674" s="50" t="str">
        <f t="shared" ref="P674:P703" si="87">IFERROR(AVERAGEIF(J674:O674,"&gt;"&amp;0,J674:O674),"")</f>
        <v/>
      </c>
      <c r="Q674" s="50" t="e">
        <f t="shared" ref="Q674:Q703" si="88">MAXA(J674:O674)</f>
        <v>#REF!</v>
      </c>
    </row>
    <row r="675" spans="1:17">
      <c r="A675" s="101" t="s">
        <v>210</v>
      </c>
      <c r="B675" s="101">
        <v>4</v>
      </c>
      <c r="C675" s="101">
        <v>2024</v>
      </c>
      <c r="D675" s="102" t="s">
        <v>211</v>
      </c>
      <c r="E675" s="102" t="s">
        <v>211</v>
      </c>
      <c r="F675" s="195">
        <v>45323</v>
      </c>
      <c r="G675" s="101">
        <f t="shared" si="85"/>
        <v>29</v>
      </c>
      <c r="H675" s="103">
        <f t="shared" si="86"/>
        <v>45324</v>
      </c>
      <c r="I675" s="141">
        <f>_xlfn.XLOOKUP(Table12[[#This Row],[Month Year]],'Modelling New'!D:D,'Modelling New'!N:N)</f>
        <v>10.507</v>
      </c>
      <c r="J675" s="50" t="e">
        <f>'Raw Data'!#REF!/J$1</f>
        <v>#REF!</v>
      </c>
      <c r="K675" s="50" t="e">
        <f>'Raw Data'!#REF!/K$1</f>
        <v>#REF!</v>
      </c>
      <c r="L675" s="50" t="e">
        <f>'Raw Data'!#REF!/L$1</f>
        <v>#REF!</v>
      </c>
      <c r="M675" s="50" t="e">
        <f>'Raw Data'!#REF!/M$1</f>
        <v>#REF!</v>
      </c>
      <c r="N675" s="50" t="e">
        <f>'Raw Data'!#REF!/N$1</f>
        <v>#REF!</v>
      </c>
      <c r="O675" s="50" t="e">
        <f>'Raw Data'!#REF!/O$1</f>
        <v>#REF!</v>
      </c>
      <c r="P675" s="50" t="str">
        <f t="shared" si="87"/>
        <v/>
      </c>
      <c r="Q675" s="50" t="e">
        <f t="shared" si="88"/>
        <v>#REF!</v>
      </c>
    </row>
    <row r="676" spans="1:17">
      <c r="A676" s="101" t="s">
        <v>210</v>
      </c>
      <c r="B676" s="101">
        <v>4</v>
      </c>
      <c r="C676" s="101">
        <v>2024</v>
      </c>
      <c r="D676" s="102" t="s">
        <v>211</v>
      </c>
      <c r="E676" s="102" t="s">
        <v>211</v>
      </c>
      <c r="F676" s="195">
        <v>45323</v>
      </c>
      <c r="G676" s="101">
        <f t="shared" si="85"/>
        <v>29</v>
      </c>
      <c r="H676" s="103">
        <f t="shared" si="86"/>
        <v>45325</v>
      </c>
      <c r="I676" s="141">
        <f>_xlfn.XLOOKUP(Table12[[#This Row],[Month Year]],'Modelling New'!D:D,'Modelling New'!N:N)</f>
        <v>10.507</v>
      </c>
      <c r="J676" s="50" t="e">
        <f>'Raw Data'!#REF!/J$1</f>
        <v>#REF!</v>
      </c>
      <c r="K676" s="50" t="e">
        <f>'Raw Data'!#REF!/K$1</f>
        <v>#REF!</v>
      </c>
      <c r="L676" s="50" t="e">
        <f>'Raw Data'!#REF!/L$1</f>
        <v>#REF!</v>
      </c>
      <c r="M676" s="50" t="e">
        <f>'Raw Data'!#REF!/M$1</f>
        <v>#REF!</v>
      </c>
      <c r="N676" s="50" t="e">
        <f>'Raw Data'!#REF!/N$1</f>
        <v>#REF!</v>
      </c>
      <c r="O676" s="50" t="e">
        <f>'Raw Data'!#REF!/O$1</f>
        <v>#REF!</v>
      </c>
      <c r="P676" s="50" t="str">
        <f t="shared" si="87"/>
        <v/>
      </c>
      <c r="Q676" s="50" t="e">
        <f t="shared" si="88"/>
        <v>#REF!</v>
      </c>
    </row>
    <row r="677" spans="1:17">
      <c r="A677" s="101" t="s">
        <v>210</v>
      </c>
      <c r="B677" s="101">
        <v>4</v>
      </c>
      <c r="C677" s="101">
        <v>2024</v>
      </c>
      <c r="D677" s="102" t="s">
        <v>211</v>
      </c>
      <c r="E677" s="102" t="s">
        <v>211</v>
      </c>
      <c r="F677" s="195">
        <v>45323</v>
      </c>
      <c r="G677" s="101">
        <f t="shared" si="85"/>
        <v>29</v>
      </c>
      <c r="H677" s="103">
        <f t="shared" si="86"/>
        <v>45326</v>
      </c>
      <c r="I677" s="141">
        <f>_xlfn.XLOOKUP(Table12[[#This Row],[Month Year]],'Modelling New'!D:D,'Modelling New'!N:N)</f>
        <v>10.507</v>
      </c>
      <c r="J677" s="50" t="e">
        <f>'Raw Data'!#REF!/J$1</f>
        <v>#REF!</v>
      </c>
      <c r="K677" s="50" t="e">
        <f>'Raw Data'!#REF!/K$1</f>
        <v>#REF!</v>
      </c>
      <c r="L677" s="50" t="e">
        <f>'Raw Data'!#REF!/L$1</f>
        <v>#REF!</v>
      </c>
      <c r="M677" s="50" t="e">
        <f>'Raw Data'!#REF!/M$1</f>
        <v>#REF!</v>
      </c>
      <c r="N677" s="50" t="e">
        <f>'Raw Data'!#REF!/N$1</f>
        <v>#REF!</v>
      </c>
      <c r="O677" s="50" t="e">
        <f>'Raw Data'!#REF!/O$1</f>
        <v>#REF!</v>
      </c>
      <c r="P677" s="50" t="str">
        <f t="shared" si="87"/>
        <v/>
      </c>
      <c r="Q677" s="50" t="e">
        <f t="shared" si="88"/>
        <v>#REF!</v>
      </c>
    </row>
    <row r="678" spans="1:17">
      <c r="A678" s="101" t="s">
        <v>210</v>
      </c>
      <c r="B678" s="101">
        <v>4</v>
      </c>
      <c r="C678" s="101">
        <v>2024</v>
      </c>
      <c r="D678" s="102" t="s">
        <v>211</v>
      </c>
      <c r="E678" s="102" t="s">
        <v>211</v>
      </c>
      <c r="F678" s="195">
        <v>45323</v>
      </c>
      <c r="G678" s="101">
        <f t="shared" si="85"/>
        <v>29</v>
      </c>
      <c r="H678" s="103">
        <f t="shared" si="86"/>
        <v>45327</v>
      </c>
      <c r="I678" s="141">
        <f>_xlfn.XLOOKUP(Table12[[#This Row],[Month Year]],'Modelling New'!D:D,'Modelling New'!N:N)</f>
        <v>10.507</v>
      </c>
      <c r="J678" s="50" t="e">
        <f>'Raw Data'!#REF!/J$1</f>
        <v>#REF!</v>
      </c>
      <c r="K678" s="50" t="e">
        <f>'Raw Data'!#REF!/K$1</f>
        <v>#REF!</v>
      </c>
      <c r="L678" s="50" t="e">
        <f>'Raw Data'!#REF!/L$1</f>
        <v>#REF!</v>
      </c>
      <c r="M678" s="50" t="e">
        <f>'Raw Data'!#REF!/M$1</f>
        <v>#REF!</v>
      </c>
      <c r="N678" s="50" t="e">
        <f>'Raw Data'!#REF!/N$1</f>
        <v>#REF!</v>
      </c>
      <c r="O678" s="50" t="e">
        <f>'Raw Data'!#REF!/O$1</f>
        <v>#REF!</v>
      </c>
      <c r="P678" s="50" t="str">
        <f t="shared" si="87"/>
        <v/>
      </c>
      <c r="Q678" s="50" t="e">
        <f t="shared" si="88"/>
        <v>#REF!</v>
      </c>
    </row>
    <row r="679" spans="1:17">
      <c r="A679" s="101" t="s">
        <v>210</v>
      </c>
      <c r="B679" s="101">
        <v>4</v>
      </c>
      <c r="C679" s="101">
        <v>2024</v>
      </c>
      <c r="D679" s="102" t="s">
        <v>211</v>
      </c>
      <c r="E679" s="102" t="s">
        <v>211</v>
      </c>
      <c r="F679" s="195">
        <v>45323</v>
      </c>
      <c r="G679" s="101">
        <f t="shared" si="85"/>
        <v>29</v>
      </c>
      <c r="H679" s="103">
        <f t="shared" si="86"/>
        <v>45328</v>
      </c>
      <c r="I679" s="141">
        <f>_xlfn.XLOOKUP(Table12[[#This Row],[Month Year]],'Modelling New'!D:D,'Modelling New'!N:N)</f>
        <v>10.507</v>
      </c>
      <c r="J679" s="50" t="e">
        <f>'Raw Data'!#REF!/J$1</f>
        <v>#REF!</v>
      </c>
      <c r="K679" s="50" t="e">
        <f>'Raw Data'!#REF!/K$1</f>
        <v>#REF!</v>
      </c>
      <c r="L679" s="50" t="e">
        <f>'Raw Data'!#REF!/L$1</f>
        <v>#REF!</v>
      </c>
      <c r="M679" s="50" t="e">
        <f>'Raw Data'!#REF!/M$1</f>
        <v>#REF!</v>
      </c>
      <c r="N679" s="50" t="e">
        <f>'Raw Data'!#REF!/N$1</f>
        <v>#REF!</v>
      </c>
      <c r="O679" s="50" t="e">
        <f>'Raw Data'!#REF!/O$1</f>
        <v>#REF!</v>
      </c>
      <c r="P679" s="50" t="str">
        <f t="shared" si="87"/>
        <v/>
      </c>
      <c r="Q679" s="50" t="e">
        <f t="shared" si="88"/>
        <v>#REF!</v>
      </c>
    </row>
    <row r="680" spans="1:17">
      <c r="A680" s="101" t="s">
        <v>210</v>
      </c>
      <c r="B680" s="101">
        <v>4</v>
      </c>
      <c r="C680" s="101">
        <v>2024</v>
      </c>
      <c r="D680" s="102" t="s">
        <v>211</v>
      </c>
      <c r="E680" s="102" t="s">
        <v>211</v>
      </c>
      <c r="F680" s="195">
        <v>45323</v>
      </c>
      <c r="G680" s="101">
        <f t="shared" si="85"/>
        <v>29</v>
      </c>
      <c r="H680" s="103">
        <f t="shared" si="86"/>
        <v>45329</v>
      </c>
      <c r="I680" s="141">
        <f>_xlfn.XLOOKUP(Table12[[#This Row],[Month Year]],'Modelling New'!D:D,'Modelling New'!N:N)</f>
        <v>10.507</v>
      </c>
      <c r="J680" s="50" t="e">
        <f>'Raw Data'!#REF!/J$1</f>
        <v>#REF!</v>
      </c>
      <c r="K680" s="50" t="e">
        <f>'Raw Data'!#REF!/K$1</f>
        <v>#REF!</v>
      </c>
      <c r="L680" s="50" t="e">
        <f>'Raw Data'!#REF!/L$1</f>
        <v>#REF!</v>
      </c>
      <c r="M680" s="50" t="e">
        <f>'Raw Data'!#REF!/M$1</f>
        <v>#REF!</v>
      </c>
      <c r="N680" s="50" t="e">
        <f>'Raw Data'!#REF!/N$1</f>
        <v>#REF!</v>
      </c>
      <c r="O680" s="50" t="e">
        <f>'Raw Data'!#REF!/O$1</f>
        <v>#REF!</v>
      </c>
      <c r="P680" s="50" t="str">
        <f t="shared" si="87"/>
        <v/>
      </c>
      <c r="Q680" s="50" t="e">
        <f t="shared" si="88"/>
        <v>#REF!</v>
      </c>
    </row>
    <row r="681" spans="1:17">
      <c r="A681" s="101" t="s">
        <v>210</v>
      </c>
      <c r="B681" s="101">
        <v>4</v>
      </c>
      <c r="C681" s="101">
        <v>2024</v>
      </c>
      <c r="D681" s="102" t="s">
        <v>211</v>
      </c>
      <c r="E681" s="102" t="s">
        <v>211</v>
      </c>
      <c r="F681" s="195">
        <v>45323</v>
      </c>
      <c r="G681" s="101">
        <f t="shared" si="85"/>
        <v>29</v>
      </c>
      <c r="H681" s="103">
        <f t="shared" si="86"/>
        <v>45330</v>
      </c>
      <c r="I681" s="141">
        <f>_xlfn.XLOOKUP(Table12[[#This Row],[Month Year]],'Modelling New'!D:D,'Modelling New'!N:N)</f>
        <v>10.507</v>
      </c>
      <c r="J681" s="50" t="e">
        <f>'Raw Data'!#REF!/J$1</f>
        <v>#REF!</v>
      </c>
      <c r="K681" s="50" t="e">
        <f>'Raw Data'!#REF!/K$1</f>
        <v>#REF!</v>
      </c>
      <c r="L681" s="50" t="e">
        <f>'Raw Data'!#REF!/L$1</f>
        <v>#REF!</v>
      </c>
      <c r="M681" s="50" t="e">
        <f>'Raw Data'!#REF!/M$1</f>
        <v>#REF!</v>
      </c>
      <c r="N681" s="50" t="e">
        <f>'Raw Data'!#REF!/N$1</f>
        <v>#REF!</v>
      </c>
      <c r="O681" s="50" t="e">
        <f>'Raw Data'!#REF!/O$1</f>
        <v>#REF!</v>
      </c>
      <c r="P681" s="50" t="str">
        <f t="shared" si="87"/>
        <v/>
      </c>
      <c r="Q681" s="50" t="e">
        <f t="shared" si="88"/>
        <v>#REF!</v>
      </c>
    </row>
    <row r="682" spans="1:17">
      <c r="A682" s="101" t="s">
        <v>210</v>
      </c>
      <c r="B682" s="101">
        <v>4</v>
      </c>
      <c r="C682" s="101">
        <v>2024</v>
      </c>
      <c r="D682" s="102" t="s">
        <v>211</v>
      </c>
      <c r="E682" s="102" t="s">
        <v>211</v>
      </c>
      <c r="F682" s="195">
        <v>45323</v>
      </c>
      <c r="G682" s="101">
        <f t="shared" si="85"/>
        <v>29</v>
      </c>
      <c r="H682" s="103">
        <f t="shared" si="86"/>
        <v>45331</v>
      </c>
      <c r="I682" s="141">
        <f>_xlfn.XLOOKUP(Table12[[#This Row],[Month Year]],'Modelling New'!D:D,'Modelling New'!N:N)</f>
        <v>10.507</v>
      </c>
      <c r="J682" s="50" t="e">
        <f>'Raw Data'!#REF!/J$1</f>
        <v>#REF!</v>
      </c>
      <c r="K682" s="50" t="e">
        <f>'Raw Data'!#REF!/K$1</f>
        <v>#REF!</v>
      </c>
      <c r="L682" s="50" t="e">
        <f>'Raw Data'!#REF!/L$1</f>
        <v>#REF!</v>
      </c>
      <c r="M682" s="50" t="e">
        <f>'Raw Data'!#REF!/M$1</f>
        <v>#REF!</v>
      </c>
      <c r="N682" s="50" t="e">
        <f>'Raw Data'!#REF!/N$1</f>
        <v>#REF!</v>
      </c>
      <c r="O682" s="50" t="e">
        <f>'Raw Data'!#REF!/O$1</f>
        <v>#REF!</v>
      </c>
      <c r="P682" s="50" t="str">
        <f t="shared" si="87"/>
        <v/>
      </c>
      <c r="Q682" s="50" t="e">
        <f t="shared" si="88"/>
        <v>#REF!</v>
      </c>
    </row>
    <row r="683" spans="1:17">
      <c r="A683" s="101" t="s">
        <v>210</v>
      </c>
      <c r="B683" s="101">
        <v>4</v>
      </c>
      <c r="C683" s="101">
        <v>2024</v>
      </c>
      <c r="D683" s="102" t="s">
        <v>211</v>
      </c>
      <c r="E683" s="102" t="s">
        <v>211</v>
      </c>
      <c r="F683" s="195">
        <v>45323</v>
      </c>
      <c r="G683" s="101">
        <f t="shared" si="85"/>
        <v>29</v>
      </c>
      <c r="H683" s="103">
        <f t="shared" si="86"/>
        <v>45332</v>
      </c>
      <c r="I683" s="141">
        <f>_xlfn.XLOOKUP(Table12[[#This Row],[Month Year]],'Modelling New'!D:D,'Modelling New'!N:N)</f>
        <v>10.507</v>
      </c>
      <c r="J683" s="50" t="e">
        <f>'Raw Data'!#REF!/J$1</f>
        <v>#REF!</v>
      </c>
      <c r="K683" s="50" t="e">
        <f>'Raw Data'!#REF!/K$1</f>
        <v>#REF!</v>
      </c>
      <c r="L683" s="50" t="e">
        <f>'Raw Data'!#REF!/L$1</f>
        <v>#REF!</v>
      </c>
      <c r="M683" s="50" t="e">
        <f>'Raw Data'!#REF!/M$1</f>
        <v>#REF!</v>
      </c>
      <c r="N683" s="50" t="e">
        <f>'Raw Data'!#REF!/N$1</f>
        <v>#REF!</v>
      </c>
      <c r="O683" s="50" t="e">
        <f>'Raw Data'!#REF!/O$1</f>
        <v>#REF!</v>
      </c>
      <c r="P683" s="50" t="str">
        <f t="shared" si="87"/>
        <v/>
      </c>
      <c r="Q683" s="50" t="e">
        <f t="shared" si="88"/>
        <v>#REF!</v>
      </c>
    </row>
    <row r="684" spans="1:17">
      <c r="A684" s="101" t="s">
        <v>210</v>
      </c>
      <c r="B684" s="101">
        <v>4</v>
      </c>
      <c r="C684" s="101">
        <v>2024</v>
      </c>
      <c r="D684" s="102" t="s">
        <v>211</v>
      </c>
      <c r="E684" s="102" t="s">
        <v>211</v>
      </c>
      <c r="F684" s="195">
        <v>45323</v>
      </c>
      <c r="G684" s="101">
        <f t="shared" si="85"/>
        <v>29</v>
      </c>
      <c r="H684" s="103">
        <f t="shared" si="86"/>
        <v>45333</v>
      </c>
      <c r="I684" s="141">
        <f>_xlfn.XLOOKUP(Table12[[#This Row],[Month Year]],'Modelling New'!D:D,'Modelling New'!N:N)</f>
        <v>10.507</v>
      </c>
      <c r="J684" s="50" t="e">
        <f>'Raw Data'!#REF!/J$1</f>
        <v>#REF!</v>
      </c>
      <c r="K684" s="50" t="e">
        <f>'Raw Data'!#REF!/K$1</f>
        <v>#REF!</v>
      </c>
      <c r="L684" s="50" t="e">
        <f>'Raw Data'!#REF!/L$1</f>
        <v>#REF!</v>
      </c>
      <c r="M684" s="50" t="e">
        <f>'Raw Data'!#REF!/M$1</f>
        <v>#REF!</v>
      </c>
      <c r="N684" s="50" t="e">
        <f>'Raw Data'!#REF!/N$1</f>
        <v>#REF!</v>
      </c>
      <c r="O684" s="50" t="e">
        <f>'Raw Data'!#REF!/O$1</f>
        <v>#REF!</v>
      </c>
      <c r="P684" s="50" t="str">
        <f t="shared" si="87"/>
        <v/>
      </c>
      <c r="Q684" s="50" t="e">
        <f t="shared" si="88"/>
        <v>#REF!</v>
      </c>
    </row>
    <row r="685" spans="1:17">
      <c r="A685" s="101" t="s">
        <v>210</v>
      </c>
      <c r="B685" s="101">
        <v>4</v>
      </c>
      <c r="C685" s="101">
        <v>2024</v>
      </c>
      <c r="D685" s="102" t="s">
        <v>211</v>
      </c>
      <c r="E685" s="102" t="s">
        <v>211</v>
      </c>
      <c r="F685" s="195">
        <v>45323</v>
      </c>
      <c r="G685" s="101">
        <f t="shared" si="85"/>
        <v>29</v>
      </c>
      <c r="H685" s="103">
        <f t="shared" si="86"/>
        <v>45334</v>
      </c>
      <c r="I685" s="141">
        <f>_xlfn.XLOOKUP(Table12[[#This Row],[Month Year]],'Modelling New'!D:D,'Modelling New'!N:N)</f>
        <v>10.507</v>
      </c>
      <c r="J685" s="50" t="e">
        <f>'Raw Data'!#REF!/J$1</f>
        <v>#REF!</v>
      </c>
      <c r="K685" s="50" t="e">
        <f>'Raw Data'!#REF!/K$1</f>
        <v>#REF!</v>
      </c>
      <c r="L685" s="50" t="e">
        <f>'Raw Data'!#REF!/L$1</f>
        <v>#REF!</v>
      </c>
      <c r="M685" s="50" t="e">
        <f>'Raw Data'!#REF!/M$1</f>
        <v>#REF!</v>
      </c>
      <c r="N685" s="50" t="e">
        <f>'Raw Data'!#REF!/N$1</f>
        <v>#REF!</v>
      </c>
      <c r="O685" s="50" t="e">
        <f>'Raw Data'!#REF!/O$1</f>
        <v>#REF!</v>
      </c>
      <c r="P685" s="50" t="str">
        <f t="shared" si="87"/>
        <v/>
      </c>
      <c r="Q685" s="50" t="e">
        <f t="shared" si="88"/>
        <v>#REF!</v>
      </c>
    </row>
    <row r="686" spans="1:17">
      <c r="A686" s="101" t="s">
        <v>210</v>
      </c>
      <c r="B686" s="101">
        <v>4</v>
      </c>
      <c r="C686" s="101">
        <v>2024</v>
      </c>
      <c r="D686" s="102" t="s">
        <v>211</v>
      </c>
      <c r="E686" s="102" t="s">
        <v>211</v>
      </c>
      <c r="F686" s="195">
        <v>45323</v>
      </c>
      <c r="G686" s="101">
        <f t="shared" si="85"/>
        <v>29</v>
      </c>
      <c r="H686" s="103">
        <f t="shared" si="86"/>
        <v>45335</v>
      </c>
      <c r="I686" s="141">
        <f>_xlfn.XLOOKUP(Table12[[#This Row],[Month Year]],'Modelling New'!D:D,'Modelling New'!N:N)</f>
        <v>10.507</v>
      </c>
      <c r="J686" s="50" t="e">
        <f>'Raw Data'!#REF!/J$1</f>
        <v>#REF!</v>
      </c>
      <c r="K686" s="50" t="e">
        <f>'Raw Data'!#REF!/K$1</f>
        <v>#REF!</v>
      </c>
      <c r="L686" s="50" t="e">
        <f>'Raw Data'!#REF!/L$1</f>
        <v>#REF!</v>
      </c>
      <c r="M686" s="50" t="e">
        <f>'Raw Data'!#REF!/M$1</f>
        <v>#REF!</v>
      </c>
      <c r="N686" s="50" t="e">
        <f>'Raw Data'!#REF!/N$1</f>
        <v>#REF!</v>
      </c>
      <c r="O686" s="50" t="e">
        <f>'Raw Data'!#REF!/O$1</f>
        <v>#REF!</v>
      </c>
      <c r="P686" s="50" t="str">
        <f t="shared" si="87"/>
        <v/>
      </c>
      <c r="Q686" s="50" t="e">
        <f t="shared" si="88"/>
        <v>#REF!</v>
      </c>
    </row>
    <row r="687" spans="1:17">
      <c r="A687" s="101" t="s">
        <v>210</v>
      </c>
      <c r="B687" s="101">
        <v>4</v>
      </c>
      <c r="C687" s="101">
        <v>2024</v>
      </c>
      <c r="D687" s="102" t="s">
        <v>211</v>
      </c>
      <c r="E687" s="102" t="s">
        <v>211</v>
      </c>
      <c r="F687" s="195">
        <v>45323</v>
      </c>
      <c r="G687" s="101">
        <f t="shared" si="85"/>
        <v>29</v>
      </c>
      <c r="H687" s="103">
        <f t="shared" si="86"/>
        <v>45336</v>
      </c>
      <c r="I687" s="141">
        <f>_xlfn.XLOOKUP(Table12[[#This Row],[Month Year]],'Modelling New'!D:D,'Modelling New'!N:N)</f>
        <v>10.507</v>
      </c>
      <c r="J687" s="50" t="e">
        <f>'Raw Data'!#REF!/J$1</f>
        <v>#REF!</v>
      </c>
      <c r="K687" s="50" t="e">
        <f>'Raw Data'!#REF!/K$1</f>
        <v>#REF!</v>
      </c>
      <c r="L687" s="50" t="e">
        <f>'Raw Data'!#REF!/L$1</f>
        <v>#REF!</v>
      </c>
      <c r="M687" s="50" t="e">
        <f>'Raw Data'!#REF!/M$1</f>
        <v>#REF!</v>
      </c>
      <c r="N687" s="50" t="e">
        <f>'Raw Data'!#REF!/N$1</f>
        <v>#REF!</v>
      </c>
      <c r="O687" s="50" t="e">
        <f>'Raw Data'!#REF!/O$1</f>
        <v>#REF!</v>
      </c>
      <c r="P687" s="50" t="str">
        <f t="shared" si="87"/>
        <v/>
      </c>
      <c r="Q687" s="50" t="e">
        <f t="shared" si="88"/>
        <v>#REF!</v>
      </c>
    </row>
    <row r="688" spans="1:17">
      <c r="A688" s="101" t="s">
        <v>210</v>
      </c>
      <c r="B688" s="101">
        <v>4</v>
      </c>
      <c r="C688" s="101">
        <v>2024</v>
      </c>
      <c r="D688" s="102" t="s">
        <v>211</v>
      </c>
      <c r="E688" s="102" t="s">
        <v>211</v>
      </c>
      <c r="F688" s="195">
        <v>45323</v>
      </c>
      <c r="G688" s="101">
        <f t="shared" si="85"/>
        <v>29</v>
      </c>
      <c r="H688" s="103">
        <f t="shared" si="86"/>
        <v>45337</v>
      </c>
      <c r="I688" s="141">
        <f>_xlfn.XLOOKUP(Table12[[#This Row],[Month Year]],'Modelling New'!D:D,'Modelling New'!N:N)</f>
        <v>10.507</v>
      </c>
      <c r="J688" s="50" t="e">
        <f>'Raw Data'!#REF!/J$1</f>
        <v>#REF!</v>
      </c>
      <c r="K688" s="50" t="e">
        <f>'Raw Data'!#REF!/K$1</f>
        <v>#REF!</v>
      </c>
      <c r="L688" s="50" t="e">
        <f>'Raw Data'!#REF!/L$1</f>
        <v>#REF!</v>
      </c>
      <c r="M688" s="50" t="e">
        <f>'Raw Data'!#REF!/M$1</f>
        <v>#REF!</v>
      </c>
      <c r="N688" s="50" t="e">
        <f>'Raw Data'!#REF!/N$1</f>
        <v>#REF!</v>
      </c>
      <c r="O688" s="50" t="e">
        <f>'Raw Data'!#REF!/O$1</f>
        <v>#REF!</v>
      </c>
      <c r="P688" s="50" t="str">
        <f t="shared" si="87"/>
        <v/>
      </c>
      <c r="Q688" s="50" t="e">
        <f t="shared" si="88"/>
        <v>#REF!</v>
      </c>
    </row>
    <row r="689" spans="1:17">
      <c r="A689" s="101" t="s">
        <v>210</v>
      </c>
      <c r="B689" s="101">
        <v>4</v>
      </c>
      <c r="C689" s="101">
        <v>2024</v>
      </c>
      <c r="D689" s="102" t="s">
        <v>211</v>
      </c>
      <c r="E689" s="102" t="s">
        <v>211</v>
      </c>
      <c r="F689" s="195">
        <v>45323</v>
      </c>
      <c r="G689" s="101">
        <f t="shared" si="85"/>
        <v>29</v>
      </c>
      <c r="H689" s="103">
        <f t="shared" si="86"/>
        <v>45338</v>
      </c>
      <c r="I689" s="141">
        <f>_xlfn.XLOOKUP(Table12[[#This Row],[Month Year]],'Modelling New'!D:D,'Modelling New'!N:N)</f>
        <v>10.507</v>
      </c>
      <c r="J689" s="50" t="e">
        <f>'Raw Data'!#REF!/J$1</f>
        <v>#REF!</v>
      </c>
      <c r="K689" s="50" t="e">
        <f>'Raw Data'!#REF!/K$1</f>
        <v>#REF!</v>
      </c>
      <c r="L689" s="50" t="e">
        <f>'Raw Data'!#REF!/L$1</f>
        <v>#REF!</v>
      </c>
      <c r="M689" s="50" t="e">
        <f>'Raw Data'!#REF!/M$1</f>
        <v>#REF!</v>
      </c>
      <c r="N689" s="50" t="e">
        <f>'Raw Data'!#REF!/N$1</f>
        <v>#REF!</v>
      </c>
      <c r="O689" s="50" t="e">
        <f>'Raw Data'!#REF!/O$1</f>
        <v>#REF!</v>
      </c>
      <c r="P689" s="50" t="str">
        <f t="shared" si="87"/>
        <v/>
      </c>
      <c r="Q689" s="50" t="e">
        <f t="shared" si="88"/>
        <v>#REF!</v>
      </c>
    </row>
    <row r="690" spans="1:17">
      <c r="A690" s="101" t="s">
        <v>210</v>
      </c>
      <c r="B690" s="101">
        <v>4</v>
      </c>
      <c r="C690" s="101">
        <v>2024</v>
      </c>
      <c r="D690" s="102" t="s">
        <v>211</v>
      </c>
      <c r="E690" s="102" t="s">
        <v>211</v>
      </c>
      <c r="F690" s="195">
        <v>45323</v>
      </c>
      <c r="G690" s="101">
        <f t="shared" si="85"/>
        <v>29</v>
      </c>
      <c r="H690" s="103">
        <f t="shared" si="86"/>
        <v>45339</v>
      </c>
      <c r="I690" s="141">
        <f>_xlfn.XLOOKUP(Table12[[#This Row],[Month Year]],'Modelling New'!D:D,'Modelling New'!N:N)</f>
        <v>10.507</v>
      </c>
      <c r="J690" s="50" t="e">
        <f>'Raw Data'!#REF!/J$1</f>
        <v>#REF!</v>
      </c>
      <c r="K690" s="50" t="e">
        <f>'Raw Data'!#REF!/K$1</f>
        <v>#REF!</v>
      </c>
      <c r="L690" s="50" t="e">
        <f>'Raw Data'!#REF!/L$1</f>
        <v>#REF!</v>
      </c>
      <c r="M690" s="50" t="e">
        <f>'Raw Data'!#REF!/M$1</f>
        <v>#REF!</v>
      </c>
      <c r="N690" s="50" t="e">
        <f>'Raw Data'!#REF!/N$1</f>
        <v>#REF!</v>
      </c>
      <c r="O690" s="50" t="e">
        <f>'Raw Data'!#REF!/O$1</f>
        <v>#REF!</v>
      </c>
      <c r="P690" s="50" t="str">
        <f t="shared" si="87"/>
        <v/>
      </c>
      <c r="Q690" s="50" t="e">
        <f t="shared" si="88"/>
        <v>#REF!</v>
      </c>
    </row>
    <row r="691" spans="1:17">
      <c r="A691" s="101" t="s">
        <v>210</v>
      </c>
      <c r="B691" s="101">
        <v>4</v>
      </c>
      <c r="C691" s="101">
        <v>2024</v>
      </c>
      <c r="D691" s="102" t="s">
        <v>211</v>
      </c>
      <c r="E691" s="102" t="s">
        <v>211</v>
      </c>
      <c r="F691" s="195">
        <v>45323</v>
      </c>
      <c r="G691" s="101">
        <f t="shared" si="85"/>
        <v>29</v>
      </c>
      <c r="H691" s="103">
        <f t="shared" si="86"/>
        <v>45340</v>
      </c>
      <c r="I691" s="141">
        <f>_xlfn.XLOOKUP(Table12[[#This Row],[Month Year]],'Modelling New'!D:D,'Modelling New'!N:N)</f>
        <v>10.507</v>
      </c>
      <c r="J691" s="50" t="e">
        <f>'Raw Data'!#REF!/J$1</f>
        <v>#REF!</v>
      </c>
      <c r="K691" s="50" t="e">
        <f>'Raw Data'!#REF!/K$1</f>
        <v>#REF!</v>
      </c>
      <c r="L691" s="50" t="e">
        <f>'Raw Data'!#REF!/L$1</f>
        <v>#REF!</v>
      </c>
      <c r="M691" s="50" t="e">
        <f>'Raw Data'!#REF!/M$1</f>
        <v>#REF!</v>
      </c>
      <c r="N691" s="50" t="e">
        <f>'Raw Data'!#REF!/N$1</f>
        <v>#REF!</v>
      </c>
      <c r="O691" s="50" t="e">
        <f>'Raw Data'!#REF!/O$1</f>
        <v>#REF!</v>
      </c>
      <c r="P691" s="50" t="str">
        <f t="shared" si="87"/>
        <v/>
      </c>
      <c r="Q691" s="50" t="e">
        <f t="shared" si="88"/>
        <v>#REF!</v>
      </c>
    </row>
    <row r="692" spans="1:17">
      <c r="A692" s="101" t="s">
        <v>210</v>
      </c>
      <c r="B692" s="101">
        <v>4</v>
      </c>
      <c r="C692" s="101">
        <v>2024</v>
      </c>
      <c r="D692" s="102" t="s">
        <v>211</v>
      </c>
      <c r="E692" s="102" t="s">
        <v>211</v>
      </c>
      <c r="F692" s="195">
        <v>45323</v>
      </c>
      <c r="G692" s="101">
        <f t="shared" si="85"/>
        <v>29</v>
      </c>
      <c r="H692" s="103">
        <f t="shared" si="86"/>
        <v>45341</v>
      </c>
      <c r="I692" s="141">
        <f>_xlfn.XLOOKUP(Table12[[#This Row],[Month Year]],'Modelling New'!D:D,'Modelling New'!N:N)</f>
        <v>10.507</v>
      </c>
      <c r="J692" s="50" t="e">
        <f>'Raw Data'!#REF!/J$1</f>
        <v>#REF!</v>
      </c>
      <c r="K692" s="50" t="e">
        <f>'Raw Data'!#REF!/K$1</f>
        <v>#REF!</v>
      </c>
      <c r="L692" s="50" t="e">
        <f>'Raw Data'!#REF!/L$1</f>
        <v>#REF!</v>
      </c>
      <c r="M692" s="50" t="e">
        <f>'Raw Data'!#REF!/M$1</f>
        <v>#REF!</v>
      </c>
      <c r="N692" s="50" t="e">
        <f>'Raw Data'!#REF!/N$1</f>
        <v>#REF!</v>
      </c>
      <c r="O692" s="50" t="e">
        <f>'Raw Data'!#REF!/O$1</f>
        <v>#REF!</v>
      </c>
      <c r="P692" s="50" t="str">
        <f t="shared" si="87"/>
        <v/>
      </c>
      <c r="Q692" s="50" t="e">
        <f t="shared" si="88"/>
        <v>#REF!</v>
      </c>
    </row>
    <row r="693" spans="1:17">
      <c r="A693" s="101" t="s">
        <v>210</v>
      </c>
      <c r="B693" s="101">
        <v>4</v>
      </c>
      <c r="C693" s="101">
        <v>2024</v>
      </c>
      <c r="D693" s="102" t="s">
        <v>211</v>
      </c>
      <c r="E693" s="102" t="s">
        <v>211</v>
      </c>
      <c r="F693" s="195">
        <v>45323</v>
      </c>
      <c r="G693" s="101">
        <f t="shared" si="85"/>
        <v>29</v>
      </c>
      <c r="H693" s="103">
        <f t="shared" si="86"/>
        <v>45342</v>
      </c>
      <c r="I693" s="141">
        <f>_xlfn.XLOOKUP(Table12[[#This Row],[Month Year]],'Modelling New'!D:D,'Modelling New'!N:N)</f>
        <v>10.507</v>
      </c>
      <c r="J693" s="50" t="e">
        <f>'Raw Data'!#REF!/J$1</f>
        <v>#REF!</v>
      </c>
      <c r="K693" s="50" t="e">
        <f>'Raw Data'!#REF!/K$1</f>
        <v>#REF!</v>
      </c>
      <c r="L693" s="50" t="e">
        <f>'Raw Data'!#REF!/L$1</f>
        <v>#REF!</v>
      </c>
      <c r="M693" s="50" t="e">
        <f>'Raw Data'!#REF!/M$1</f>
        <v>#REF!</v>
      </c>
      <c r="N693" s="50" t="e">
        <f>'Raw Data'!#REF!/N$1</f>
        <v>#REF!</v>
      </c>
      <c r="O693" s="50" t="e">
        <f>'Raw Data'!#REF!/O$1</f>
        <v>#REF!</v>
      </c>
      <c r="P693" s="50" t="str">
        <f t="shared" si="87"/>
        <v/>
      </c>
      <c r="Q693" s="50" t="e">
        <f t="shared" si="88"/>
        <v>#REF!</v>
      </c>
    </row>
    <row r="694" spans="1:17">
      <c r="A694" s="101" t="s">
        <v>210</v>
      </c>
      <c r="B694" s="101">
        <v>4</v>
      </c>
      <c r="C694" s="101">
        <v>2024</v>
      </c>
      <c r="D694" s="102" t="s">
        <v>211</v>
      </c>
      <c r="E694" s="102" t="s">
        <v>211</v>
      </c>
      <c r="F694" s="195">
        <v>45323</v>
      </c>
      <c r="G694" s="101">
        <f t="shared" si="85"/>
        <v>29</v>
      </c>
      <c r="H694" s="103">
        <f t="shared" si="86"/>
        <v>45343</v>
      </c>
      <c r="I694" s="141">
        <f>_xlfn.XLOOKUP(Table12[[#This Row],[Month Year]],'Modelling New'!D:D,'Modelling New'!N:N)</f>
        <v>10.507</v>
      </c>
      <c r="J694" s="50" t="e">
        <f>'Raw Data'!#REF!/J$1</f>
        <v>#REF!</v>
      </c>
      <c r="K694" s="50" t="e">
        <f>'Raw Data'!#REF!/K$1</f>
        <v>#REF!</v>
      </c>
      <c r="L694" s="50" t="e">
        <f>'Raw Data'!#REF!/L$1</f>
        <v>#REF!</v>
      </c>
      <c r="M694" s="50" t="e">
        <f>'Raw Data'!#REF!/M$1</f>
        <v>#REF!</v>
      </c>
      <c r="N694" s="50" t="e">
        <f>'Raw Data'!#REF!/N$1</f>
        <v>#REF!</v>
      </c>
      <c r="O694" s="50" t="e">
        <f>'Raw Data'!#REF!/O$1</f>
        <v>#REF!</v>
      </c>
      <c r="P694" s="50" t="str">
        <f t="shared" si="87"/>
        <v/>
      </c>
      <c r="Q694" s="50" t="e">
        <f t="shared" si="88"/>
        <v>#REF!</v>
      </c>
    </row>
    <row r="695" spans="1:17">
      <c r="A695" s="101" t="s">
        <v>210</v>
      </c>
      <c r="B695" s="101">
        <v>4</v>
      </c>
      <c r="C695" s="101">
        <v>2024</v>
      </c>
      <c r="D695" s="102" t="s">
        <v>211</v>
      </c>
      <c r="E695" s="102" t="s">
        <v>211</v>
      </c>
      <c r="F695" s="195">
        <v>45323</v>
      </c>
      <c r="G695" s="101">
        <f t="shared" si="85"/>
        <v>29</v>
      </c>
      <c r="H695" s="103">
        <f t="shared" si="86"/>
        <v>45344</v>
      </c>
      <c r="I695" s="141">
        <f>_xlfn.XLOOKUP(Table12[[#This Row],[Month Year]],'Modelling New'!D:D,'Modelling New'!N:N)</f>
        <v>10.507</v>
      </c>
      <c r="J695" s="50" t="e">
        <f>'Raw Data'!#REF!/J$1</f>
        <v>#REF!</v>
      </c>
      <c r="K695" s="50" t="e">
        <f>'Raw Data'!#REF!/K$1</f>
        <v>#REF!</v>
      </c>
      <c r="L695" s="50" t="e">
        <f>'Raw Data'!#REF!/L$1</f>
        <v>#REF!</v>
      </c>
      <c r="M695" s="50" t="e">
        <f>'Raw Data'!#REF!/M$1</f>
        <v>#REF!</v>
      </c>
      <c r="N695" s="50" t="e">
        <f>'Raw Data'!#REF!/N$1</f>
        <v>#REF!</v>
      </c>
      <c r="O695" s="50" t="e">
        <f>'Raw Data'!#REF!/O$1</f>
        <v>#REF!</v>
      </c>
      <c r="P695" s="50" t="str">
        <f t="shared" si="87"/>
        <v/>
      </c>
      <c r="Q695" s="50" t="e">
        <f t="shared" si="88"/>
        <v>#REF!</v>
      </c>
    </row>
    <row r="696" spans="1:17">
      <c r="A696" s="101" t="s">
        <v>210</v>
      </c>
      <c r="B696" s="101">
        <v>4</v>
      </c>
      <c r="C696" s="101">
        <v>2024</v>
      </c>
      <c r="D696" s="102" t="s">
        <v>211</v>
      </c>
      <c r="E696" s="102" t="s">
        <v>211</v>
      </c>
      <c r="F696" s="195">
        <v>45323</v>
      </c>
      <c r="G696" s="101">
        <f t="shared" si="85"/>
        <v>29</v>
      </c>
      <c r="H696" s="103">
        <f t="shared" si="86"/>
        <v>45345</v>
      </c>
      <c r="I696" s="141">
        <f>_xlfn.XLOOKUP(Table12[[#This Row],[Month Year]],'Modelling New'!D:D,'Modelling New'!N:N)</f>
        <v>10.507</v>
      </c>
      <c r="J696" s="50" t="e">
        <f>'Raw Data'!#REF!/J$1</f>
        <v>#REF!</v>
      </c>
      <c r="K696" s="50" t="e">
        <f>'Raw Data'!#REF!/K$1</f>
        <v>#REF!</v>
      </c>
      <c r="L696" s="50" t="e">
        <f>'Raw Data'!#REF!/L$1</f>
        <v>#REF!</v>
      </c>
      <c r="M696" s="50" t="e">
        <f>'Raw Data'!#REF!/M$1</f>
        <v>#REF!</v>
      </c>
      <c r="N696" s="50" t="e">
        <f>'Raw Data'!#REF!/N$1</f>
        <v>#REF!</v>
      </c>
      <c r="O696" s="50" t="e">
        <f>'Raw Data'!#REF!/O$1</f>
        <v>#REF!</v>
      </c>
      <c r="P696" s="50" t="str">
        <f t="shared" si="87"/>
        <v/>
      </c>
      <c r="Q696" s="50" t="e">
        <f t="shared" si="88"/>
        <v>#REF!</v>
      </c>
    </row>
    <row r="697" spans="1:17">
      <c r="A697" s="101" t="s">
        <v>210</v>
      </c>
      <c r="B697" s="101">
        <v>4</v>
      </c>
      <c r="C697" s="101">
        <v>2024</v>
      </c>
      <c r="D697" s="102" t="s">
        <v>211</v>
      </c>
      <c r="E697" s="102" t="s">
        <v>211</v>
      </c>
      <c r="F697" s="195">
        <v>45323</v>
      </c>
      <c r="G697" s="101">
        <f t="shared" si="85"/>
        <v>29</v>
      </c>
      <c r="H697" s="103">
        <f t="shared" si="86"/>
        <v>45346</v>
      </c>
      <c r="I697" s="141">
        <f>_xlfn.XLOOKUP(Table12[[#This Row],[Month Year]],'Modelling New'!D:D,'Modelling New'!N:N)</f>
        <v>10.507</v>
      </c>
      <c r="J697" s="50" t="e">
        <f>'Raw Data'!#REF!/J$1</f>
        <v>#REF!</v>
      </c>
      <c r="K697" s="50" t="e">
        <f>'Raw Data'!#REF!/K$1</f>
        <v>#REF!</v>
      </c>
      <c r="L697" s="50" t="e">
        <f>'Raw Data'!#REF!/L$1</f>
        <v>#REF!</v>
      </c>
      <c r="M697" s="50" t="e">
        <f>'Raw Data'!#REF!/M$1</f>
        <v>#REF!</v>
      </c>
      <c r="N697" s="50" t="e">
        <f>'Raw Data'!#REF!/N$1</f>
        <v>#REF!</v>
      </c>
      <c r="O697" s="50" t="e">
        <f>'Raw Data'!#REF!/O$1</f>
        <v>#REF!</v>
      </c>
      <c r="P697" s="50" t="str">
        <f t="shared" si="87"/>
        <v/>
      </c>
      <c r="Q697" s="50" t="e">
        <f t="shared" si="88"/>
        <v>#REF!</v>
      </c>
    </row>
    <row r="698" spans="1:17">
      <c r="A698" s="101" t="s">
        <v>210</v>
      </c>
      <c r="B698" s="101">
        <v>4</v>
      </c>
      <c r="C698" s="101">
        <v>2024</v>
      </c>
      <c r="D698" s="102" t="s">
        <v>211</v>
      </c>
      <c r="E698" s="102" t="s">
        <v>211</v>
      </c>
      <c r="F698" s="195">
        <v>45323</v>
      </c>
      <c r="G698" s="101">
        <f t="shared" si="85"/>
        <v>29</v>
      </c>
      <c r="H698" s="103">
        <f t="shared" si="86"/>
        <v>45347</v>
      </c>
      <c r="I698" s="141">
        <f>_xlfn.XLOOKUP(Table12[[#This Row],[Month Year]],'Modelling New'!D:D,'Modelling New'!N:N)</f>
        <v>10.507</v>
      </c>
      <c r="J698" s="50" t="e">
        <f>'Raw Data'!#REF!/J$1</f>
        <v>#REF!</v>
      </c>
      <c r="K698" s="50" t="e">
        <f>'Raw Data'!#REF!/K$1</f>
        <v>#REF!</v>
      </c>
      <c r="L698" s="50" t="e">
        <f>'Raw Data'!#REF!/L$1</f>
        <v>#REF!</v>
      </c>
      <c r="M698" s="50" t="e">
        <f>'Raw Data'!#REF!/M$1</f>
        <v>#REF!</v>
      </c>
      <c r="N698" s="50" t="e">
        <f>'Raw Data'!#REF!/N$1</f>
        <v>#REF!</v>
      </c>
      <c r="O698" s="50" t="e">
        <f>'Raw Data'!#REF!/O$1</f>
        <v>#REF!</v>
      </c>
      <c r="P698" s="50" t="str">
        <f t="shared" si="87"/>
        <v/>
      </c>
      <c r="Q698" s="50" t="e">
        <f t="shared" si="88"/>
        <v>#REF!</v>
      </c>
    </row>
    <row r="699" spans="1:17">
      <c r="A699" s="101" t="s">
        <v>210</v>
      </c>
      <c r="B699" s="101">
        <v>4</v>
      </c>
      <c r="C699" s="101">
        <v>2024</v>
      </c>
      <c r="D699" s="102" t="s">
        <v>211</v>
      </c>
      <c r="E699" s="102" t="s">
        <v>211</v>
      </c>
      <c r="F699" s="195">
        <v>45323</v>
      </c>
      <c r="G699" s="101">
        <f t="shared" si="85"/>
        <v>29</v>
      </c>
      <c r="H699" s="103">
        <f t="shared" si="86"/>
        <v>45348</v>
      </c>
      <c r="I699" s="141">
        <f>_xlfn.XLOOKUP(Table12[[#This Row],[Month Year]],'Modelling New'!D:D,'Modelling New'!N:N)</f>
        <v>10.507</v>
      </c>
      <c r="J699" s="50" t="e">
        <f>'Raw Data'!#REF!/J$1</f>
        <v>#REF!</v>
      </c>
      <c r="K699" s="50" t="e">
        <f>'Raw Data'!#REF!/K$1</f>
        <v>#REF!</v>
      </c>
      <c r="L699" s="50" t="e">
        <f>'Raw Data'!#REF!/L$1</f>
        <v>#REF!</v>
      </c>
      <c r="M699" s="50" t="e">
        <f>'Raw Data'!#REF!/M$1</f>
        <v>#REF!</v>
      </c>
      <c r="N699" s="50" t="e">
        <f>'Raw Data'!#REF!/N$1</f>
        <v>#REF!</v>
      </c>
      <c r="O699" s="50" t="e">
        <f>'Raw Data'!#REF!/O$1</f>
        <v>#REF!</v>
      </c>
      <c r="P699" s="50" t="str">
        <f t="shared" si="87"/>
        <v/>
      </c>
      <c r="Q699" s="50" t="e">
        <f t="shared" si="88"/>
        <v>#REF!</v>
      </c>
    </row>
    <row r="700" spans="1:17">
      <c r="A700" s="101" t="s">
        <v>210</v>
      </c>
      <c r="B700" s="101">
        <v>4</v>
      </c>
      <c r="C700" s="101">
        <v>2024</v>
      </c>
      <c r="D700" s="102" t="s">
        <v>211</v>
      </c>
      <c r="E700" s="102" t="s">
        <v>211</v>
      </c>
      <c r="F700" s="195">
        <v>45323</v>
      </c>
      <c r="G700" s="101">
        <f t="shared" si="85"/>
        <v>29</v>
      </c>
      <c r="H700" s="103">
        <f t="shared" si="86"/>
        <v>45349</v>
      </c>
      <c r="I700" s="141">
        <f>_xlfn.XLOOKUP(Table12[[#This Row],[Month Year]],'Modelling New'!D:D,'Modelling New'!N:N)</f>
        <v>10.507</v>
      </c>
      <c r="J700" s="50" t="e">
        <f>'Raw Data'!#REF!/J$1</f>
        <v>#REF!</v>
      </c>
      <c r="K700" s="50" t="e">
        <f>'Raw Data'!#REF!/K$1</f>
        <v>#REF!</v>
      </c>
      <c r="L700" s="50" t="e">
        <f>'Raw Data'!#REF!/L$1</f>
        <v>#REF!</v>
      </c>
      <c r="M700" s="50" t="e">
        <f>'Raw Data'!#REF!/M$1</f>
        <v>#REF!</v>
      </c>
      <c r="N700" s="50" t="e">
        <f>'Raw Data'!#REF!/N$1</f>
        <v>#REF!</v>
      </c>
      <c r="O700" s="50" t="e">
        <f>'Raw Data'!#REF!/O$1</f>
        <v>#REF!</v>
      </c>
      <c r="P700" s="50" t="str">
        <f t="shared" si="87"/>
        <v/>
      </c>
      <c r="Q700" s="50" t="e">
        <f t="shared" si="88"/>
        <v>#REF!</v>
      </c>
    </row>
    <row r="701" spans="1:17">
      <c r="A701" s="101" t="s">
        <v>210</v>
      </c>
      <c r="B701" s="101">
        <v>4</v>
      </c>
      <c r="C701" s="101">
        <v>2024</v>
      </c>
      <c r="D701" s="102" t="s">
        <v>211</v>
      </c>
      <c r="E701" s="102" t="s">
        <v>211</v>
      </c>
      <c r="F701" s="195">
        <v>45323</v>
      </c>
      <c r="G701" s="101">
        <f t="shared" si="85"/>
        <v>29</v>
      </c>
      <c r="H701" s="103">
        <f t="shared" si="86"/>
        <v>45350</v>
      </c>
      <c r="I701" s="141">
        <f>_xlfn.XLOOKUP(Table12[[#This Row],[Month Year]],'Modelling New'!D:D,'Modelling New'!N:N)</f>
        <v>10.507</v>
      </c>
      <c r="J701" s="50" t="e">
        <f>'Raw Data'!#REF!/J$1</f>
        <v>#REF!</v>
      </c>
      <c r="K701" s="50" t="e">
        <f>'Raw Data'!#REF!/K$1</f>
        <v>#REF!</v>
      </c>
      <c r="L701" s="50" t="e">
        <f>'Raw Data'!#REF!/L$1</f>
        <v>#REF!</v>
      </c>
      <c r="M701" s="50" t="e">
        <f>'Raw Data'!#REF!/M$1</f>
        <v>#REF!</v>
      </c>
      <c r="N701" s="50" t="e">
        <f>'Raw Data'!#REF!/N$1</f>
        <v>#REF!</v>
      </c>
      <c r="O701" s="50" t="e">
        <f>'Raw Data'!#REF!/O$1</f>
        <v>#REF!</v>
      </c>
      <c r="P701" s="50" t="str">
        <f t="shared" si="87"/>
        <v/>
      </c>
      <c r="Q701" s="50" t="e">
        <f t="shared" si="88"/>
        <v>#REF!</v>
      </c>
    </row>
    <row r="702" spans="1:17">
      <c r="A702" s="101" t="s">
        <v>210</v>
      </c>
      <c r="B702" s="101">
        <v>4</v>
      </c>
      <c r="C702" s="101">
        <v>2024</v>
      </c>
      <c r="D702" s="102" t="s">
        <v>211</v>
      </c>
      <c r="E702" s="102" t="s">
        <v>211</v>
      </c>
      <c r="F702" s="195">
        <v>45323</v>
      </c>
      <c r="G702" s="101">
        <f t="shared" si="85"/>
        <v>29</v>
      </c>
      <c r="H702" s="103">
        <f t="shared" si="86"/>
        <v>45351</v>
      </c>
      <c r="I702" s="141">
        <f>_xlfn.XLOOKUP(Table12[[#This Row],[Month Year]],'Modelling New'!D:D,'Modelling New'!N:N)</f>
        <v>10.507</v>
      </c>
      <c r="J702" s="50" t="e">
        <f>'Raw Data'!#REF!/J$1</f>
        <v>#REF!</v>
      </c>
      <c r="K702" s="50" t="e">
        <f>'Raw Data'!#REF!/K$1</f>
        <v>#REF!</v>
      </c>
      <c r="L702" s="50" t="e">
        <f>'Raw Data'!#REF!/L$1</f>
        <v>#REF!</v>
      </c>
      <c r="M702" s="50" t="e">
        <f>'Raw Data'!#REF!/M$1</f>
        <v>#REF!</v>
      </c>
      <c r="N702" s="50" t="e">
        <f>'Raw Data'!#REF!/N$1</f>
        <v>#REF!</v>
      </c>
      <c r="O702" s="50" t="e">
        <f>'Raw Data'!#REF!/O$1</f>
        <v>#REF!</v>
      </c>
      <c r="P702" s="50" t="str">
        <f t="shared" si="87"/>
        <v/>
      </c>
      <c r="Q702" s="50" t="e">
        <f t="shared" si="88"/>
        <v>#REF!</v>
      </c>
    </row>
    <row r="703" spans="1:17">
      <c r="A703" s="102" t="s">
        <v>210</v>
      </c>
      <c r="B703" s="101">
        <v>4</v>
      </c>
      <c r="C703" s="101">
        <v>2024</v>
      </c>
      <c r="D703" s="102" t="s">
        <v>211</v>
      </c>
      <c r="E703" s="102" t="s">
        <v>211</v>
      </c>
      <c r="F703" s="195">
        <v>45323</v>
      </c>
      <c r="G703" s="102">
        <f t="shared" si="85"/>
        <v>29</v>
      </c>
      <c r="H703" s="196">
        <f t="shared" si="86"/>
        <v>45352</v>
      </c>
      <c r="I703" s="197">
        <f>_xlfn.XLOOKUP(Table12[[#This Row],[Month Year]],'Modelling New'!D:D,'Modelling New'!N:N)</f>
        <v>10.507</v>
      </c>
      <c r="J703" s="50" t="e">
        <f>'Raw Data'!#REF!/J$1</f>
        <v>#REF!</v>
      </c>
      <c r="K703" s="50" t="e">
        <f>'Raw Data'!#REF!/K$1</f>
        <v>#REF!</v>
      </c>
      <c r="L703" s="50" t="e">
        <f>'Raw Data'!#REF!/L$1</f>
        <v>#REF!</v>
      </c>
      <c r="M703" s="50" t="e">
        <f>'Raw Data'!#REF!/M$1</f>
        <v>#REF!</v>
      </c>
      <c r="N703" s="50" t="e">
        <f>'Raw Data'!#REF!/N$1</f>
        <v>#REF!</v>
      </c>
      <c r="O703" s="50" t="e">
        <f>'Raw Data'!#REF!/O$1</f>
        <v>#REF!</v>
      </c>
      <c r="P703" s="50" t="str">
        <f t="shared" si="87"/>
        <v/>
      </c>
      <c r="Q703" s="50" t="e">
        <f t="shared" si="88"/>
        <v>#REF!</v>
      </c>
    </row>
    <row r="704" spans="1:17">
      <c r="A704" s="102" t="s">
        <v>210</v>
      </c>
      <c r="B704" s="101">
        <v>4</v>
      </c>
      <c r="C704" s="101">
        <v>2024</v>
      </c>
      <c r="D704" s="102" t="s">
        <v>211</v>
      </c>
      <c r="E704" s="102" t="s">
        <v>211</v>
      </c>
      <c r="F704" s="195">
        <v>45352</v>
      </c>
      <c r="G704" s="102">
        <f t="shared" ref="G704:G716" si="89">DAY(EOMONTH(F704,0))</f>
        <v>31</v>
      </c>
      <c r="H704" s="196">
        <f t="shared" si="86"/>
        <v>45353</v>
      </c>
      <c r="I704" s="197">
        <f>_xlfn.XLOOKUP(Table12[[#This Row],[Month Year]],'Modelling New'!D:D,'Modelling New'!N:N)</f>
        <v>10.507</v>
      </c>
      <c r="J704" s="50" t="e">
        <f>'Raw Data'!#REF!/J$1</f>
        <v>#REF!</v>
      </c>
      <c r="K704" s="50" t="e">
        <f>'Raw Data'!#REF!/K$1</f>
        <v>#REF!</v>
      </c>
      <c r="L704" s="50" t="e">
        <f>'Raw Data'!#REF!/L$1</f>
        <v>#REF!</v>
      </c>
      <c r="M704" s="50" t="e">
        <f>'Raw Data'!#REF!/M$1</f>
        <v>#REF!</v>
      </c>
      <c r="N704" s="50" t="e">
        <f>'Raw Data'!#REF!/N$1</f>
        <v>#REF!</v>
      </c>
      <c r="O704" s="50" t="e">
        <f>'Raw Data'!#REF!/O$1</f>
        <v>#REF!</v>
      </c>
      <c r="P704" s="50" t="str">
        <f t="shared" ref="P704:P716" si="90">IFERROR(AVERAGEIF(J704:O704,"&gt;"&amp;0,J704:O704),"")</f>
        <v/>
      </c>
      <c r="Q704" s="50" t="e">
        <f t="shared" ref="Q704:Q716" si="91">MAXA(J704:O704)</f>
        <v>#REF!</v>
      </c>
    </row>
    <row r="705" spans="1:17">
      <c r="A705" s="102" t="s">
        <v>210</v>
      </c>
      <c r="B705" s="101">
        <v>4</v>
      </c>
      <c r="C705" s="101">
        <v>2024</v>
      </c>
      <c r="D705" s="102" t="s">
        <v>211</v>
      </c>
      <c r="E705" s="102" t="s">
        <v>211</v>
      </c>
      <c r="F705" s="195">
        <v>45352</v>
      </c>
      <c r="G705" s="102">
        <f t="shared" si="89"/>
        <v>31</v>
      </c>
      <c r="H705" s="196">
        <f t="shared" si="86"/>
        <v>45354</v>
      </c>
      <c r="I705" s="197">
        <f>_xlfn.XLOOKUP(Table12[[#This Row],[Month Year]],'Modelling New'!D:D,'Modelling New'!N:N)</f>
        <v>10.507</v>
      </c>
      <c r="J705" s="50" t="e">
        <f>'Raw Data'!#REF!/J$1</f>
        <v>#REF!</v>
      </c>
      <c r="K705" s="50" t="e">
        <f>'Raw Data'!#REF!/K$1</f>
        <v>#REF!</v>
      </c>
      <c r="L705" s="50" t="e">
        <f>'Raw Data'!#REF!/L$1</f>
        <v>#REF!</v>
      </c>
      <c r="M705" s="50" t="e">
        <f>'Raw Data'!#REF!/M$1</f>
        <v>#REF!</v>
      </c>
      <c r="N705" s="50" t="e">
        <f>'Raw Data'!#REF!/N$1</f>
        <v>#REF!</v>
      </c>
      <c r="O705" s="50" t="e">
        <f>'Raw Data'!#REF!/O$1</f>
        <v>#REF!</v>
      </c>
      <c r="P705" s="50" t="str">
        <f t="shared" si="90"/>
        <v/>
      </c>
      <c r="Q705" s="50" t="e">
        <f t="shared" si="91"/>
        <v>#REF!</v>
      </c>
    </row>
    <row r="706" spans="1:17">
      <c r="A706" s="102" t="s">
        <v>210</v>
      </c>
      <c r="B706" s="101">
        <v>4</v>
      </c>
      <c r="C706" s="101">
        <v>2024</v>
      </c>
      <c r="D706" s="102" t="s">
        <v>211</v>
      </c>
      <c r="E706" s="102" t="s">
        <v>211</v>
      </c>
      <c r="F706" s="195">
        <v>45352</v>
      </c>
      <c r="G706" s="102">
        <f t="shared" si="89"/>
        <v>31</v>
      </c>
      <c r="H706" s="196">
        <f t="shared" si="86"/>
        <v>45355</v>
      </c>
      <c r="I706" s="197">
        <f>_xlfn.XLOOKUP(Table12[[#This Row],[Month Year]],'Modelling New'!D:D,'Modelling New'!N:N)</f>
        <v>10.507</v>
      </c>
      <c r="J706" s="50" t="e">
        <f>'Raw Data'!#REF!/J$1</f>
        <v>#REF!</v>
      </c>
      <c r="K706" s="50" t="e">
        <f>'Raw Data'!#REF!/K$1</f>
        <v>#REF!</v>
      </c>
      <c r="L706" s="50" t="e">
        <f>'Raw Data'!#REF!/L$1</f>
        <v>#REF!</v>
      </c>
      <c r="M706" s="50" t="e">
        <f>'Raw Data'!#REF!/M$1</f>
        <v>#REF!</v>
      </c>
      <c r="N706" s="50" t="e">
        <f>'Raw Data'!#REF!/N$1</f>
        <v>#REF!</v>
      </c>
      <c r="O706" s="50" t="e">
        <f>'Raw Data'!#REF!/O$1</f>
        <v>#REF!</v>
      </c>
      <c r="P706" s="50" t="str">
        <f t="shared" si="90"/>
        <v/>
      </c>
      <c r="Q706" s="50" t="e">
        <f t="shared" si="91"/>
        <v>#REF!</v>
      </c>
    </row>
    <row r="707" spans="1:17">
      <c r="A707" s="102" t="s">
        <v>210</v>
      </c>
      <c r="B707" s="101">
        <v>4</v>
      </c>
      <c r="C707" s="101">
        <v>2024</v>
      </c>
      <c r="D707" s="102" t="s">
        <v>211</v>
      </c>
      <c r="E707" s="102" t="s">
        <v>211</v>
      </c>
      <c r="F707" s="195">
        <v>45352</v>
      </c>
      <c r="G707" s="102">
        <f t="shared" si="89"/>
        <v>31</v>
      </c>
      <c r="H707" s="196">
        <f t="shared" si="86"/>
        <v>45356</v>
      </c>
      <c r="I707" s="197">
        <f>_xlfn.XLOOKUP(Table12[[#This Row],[Month Year]],'Modelling New'!D:D,'Modelling New'!N:N)</f>
        <v>10.507</v>
      </c>
      <c r="J707" s="50" t="e">
        <f>'Raw Data'!#REF!/J$1</f>
        <v>#REF!</v>
      </c>
      <c r="K707" s="50" t="e">
        <f>'Raw Data'!#REF!/K$1</f>
        <v>#REF!</v>
      </c>
      <c r="L707" s="50" t="e">
        <f>'Raw Data'!#REF!/L$1</f>
        <v>#REF!</v>
      </c>
      <c r="M707" s="50" t="e">
        <f>'Raw Data'!#REF!/M$1</f>
        <v>#REF!</v>
      </c>
      <c r="N707" s="50" t="e">
        <f>'Raw Data'!#REF!/N$1</f>
        <v>#REF!</v>
      </c>
      <c r="O707" s="50" t="e">
        <f>'Raw Data'!#REF!/O$1</f>
        <v>#REF!</v>
      </c>
      <c r="P707" s="50" t="str">
        <f t="shared" si="90"/>
        <v/>
      </c>
      <c r="Q707" s="50" t="e">
        <f t="shared" si="91"/>
        <v>#REF!</v>
      </c>
    </row>
    <row r="708" spans="1:17">
      <c r="A708" s="102" t="s">
        <v>210</v>
      </c>
      <c r="B708" s="101">
        <v>4</v>
      </c>
      <c r="C708" s="101">
        <v>2024</v>
      </c>
      <c r="D708" s="102" t="s">
        <v>211</v>
      </c>
      <c r="E708" s="102" t="s">
        <v>211</v>
      </c>
      <c r="F708" s="195">
        <v>45352</v>
      </c>
      <c r="G708" s="102">
        <f t="shared" si="89"/>
        <v>31</v>
      </c>
      <c r="H708" s="196">
        <f t="shared" si="86"/>
        <v>45357</v>
      </c>
      <c r="I708" s="197">
        <f>_xlfn.XLOOKUP(Table12[[#This Row],[Month Year]],'Modelling New'!D:D,'Modelling New'!N:N)</f>
        <v>10.507</v>
      </c>
      <c r="J708" s="50" t="e">
        <f>'Raw Data'!#REF!/J$1</f>
        <v>#REF!</v>
      </c>
      <c r="K708" s="50" t="e">
        <f>'Raw Data'!#REF!/K$1</f>
        <v>#REF!</v>
      </c>
      <c r="L708" s="50" t="e">
        <f>'Raw Data'!#REF!/L$1</f>
        <v>#REF!</v>
      </c>
      <c r="M708" s="50" t="e">
        <f>'Raw Data'!#REF!/M$1</f>
        <v>#REF!</v>
      </c>
      <c r="N708" s="50" t="e">
        <f>'Raw Data'!#REF!/N$1</f>
        <v>#REF!</v>
      </c>
      <c r="O708" s="50" t="e">
        <f>'Raw Data'!#REF!/O$1</f>
        <v>#REF!</v>
      </c>
      <c r="P708" s="50" t="str">
        <f t="shared" si="90"/>
        <v/>
      </c>
      <c r="Q708" s="50" t="e">
        <f t="shared" si="91"/>
        <v>#REF!</v>
      </c>
    </row>
    <row r="709" spans="1:17">
      <c r="A709" s="102" t="s">
        <v>210</v>
      </c>
      <c r="B709" s="101">
        <v>4</v>
      </c>
      <c r="C709" s="101">
        <v>2024</v>
      </c>
      <c r="D709" s="102" t="s">
        <v>211</v>
      </c>
      <c r="E709" s="102" t="s">
        <v>211</v>
      </c>
      <c r="F709" s="195">
        <v>45352</v>
      </c>
      <c r="G709" s="102">
        <f t="shared" si="89"/>
        <v>31</v>
      </c>
      <c r="H709" s="196">
        <f t="shared" si="86"/>
        <v>45358</v>
      </c>
      <c r="I709" s="197">
        <f>_xlfn.XLOOKUP(Table12[[#This Row],[Month Year]],'Modelling New'!D:D,'Modelling New'!N:N)</f>
        <v>10.507</v>
      </c>
      <c r="J709" s="50" t="e">
        <f>'Raw Data'!#REF!/J$1</f>
        <v>#REF!</v>
      </c>
      <c r="K709" s="50" t="e">
        <f>'Raw Data'!#REF!/K$1</f>
        <v>#REF!</v>
      </c>
      <c r="L709" s="50" t="e">
        <f>'Raw Data'!#REF!/L$1</f>
        <v>#REF!</v>
      </c>
      <c r="M709" s="50" t="e">
        <f>'Raw Data'!#REF!/M$1</f>
        <v>#REF!</v>
      </c>
      <c r="N709" s="50" t="e">
        <f>'Raw Data'!#REF!/N$1</f>
        <v>#REF!</v>
      </c>
      <c r="O709" s="50" t="e">
        <f>'Raw Data'!#REF!/O$1</f>
        <v>#REF!</v>
      </c>
      <c r="P709" s="50" t="str">
        <f t="shared" si="90"/>
        <v/>
      </c>
      <c r="Q709" s="50" t="e">
        <f t="shared" si="91"/>
        <v>#REF!</v>
      </c>
    </row>
    <row r="710" spans="1:17">
      <c r="A710" s="102" t="s">
        <v>210</v>
      </c>
      <c r="B710" s="101">
        <v>4</v>
      </c>
      <c r="C710" s="101">
        <v>2024</v>
      </c>
      <c r="D710" s="102" t="s">
        <v>211</v>
      </c>
      <c r="E710" s="102" t="s">
        <v>211</v>
      </c>
      <c r="F710" s="195">
        <v>45352</v>
      </c>
      <c r="G710" s="102">
        <f t="shared" si="89"/>
        <v>31</v>
      </c>
      <c r="H710" s="196">
        <f t="shared" si="86"/>
        <v>45359</v>
      </c>
      <c r="I710" s="197">
        <f>_xlfn.XLOOKUP(Table12[[#This Row],[Month Year]],'Modelling New'!D:D,'Modelling New'!N:N)</f>
        <v>10.507</v>
      </c>
      <c r="J710" s="50" t="e">
        <f>'Raw Data'!#REF!/J$1</f>
        <v>#REF!</v>
      </c>
      <c r="K710" s="50" t="e">
        <f>'Raw Data'!#REF!/K$1</f>
        <v>#REF!</v>
      </c>
      <c r="L710" s="50" t="e">
        <f>'Raw Data'!#REF!/L$1</f>
        <v>#REF!</v>
      </c>
      <c r="M710" s="50" t="e">
        <f>'Raw Data'!#REF!/M$1</f>
        <v>#REF!</v>
      </c>
      <c r="N710" s="50" t="e">
        <f>'Raw Data'!#REF!/N$1</f>
        <v>#REF!</v>
      </c>
      <c r="O710" s="50" t="e">
        <f>'Raw Data'!#REF!/O$1</f>
        <v>#REF!</v>
      </c>
      <c r="P710" s="50" t="str">
        <f t="shared" si="90"/>
        <v/>
      </c>
      <c r="Q710" s="50" t="e">
        <f t="shared" si="91"/>
        <v>#REF!</v>
      </c>
    </row>
    <row r="711" spans="1:17">
      <c r="A711" s="102" t="s">
        <v>210</v>
      </c>
      <c r="B711" s="101">
        <v>4</v>
      </c>
      <c r="C711" s="101">
        <v>2024</v>
      </c>
      <c r="D711" s="102" t="s">
        <v>211</v>
      </c>
      <c r="E711" s="102" t="s">
        <v>211</v>
      </c>
      <c r="F711" s="195">
        <v>45352</v>
      </c>
      <c r="G711" s="102">
        <f t="shared" si="89"/>
        <v>31</v>
      </c>
      <c r="H711" s="196">
        <f t="shared" si="86"/>
        <v>45360</v>
      </c>
      <c r="I711" s="197">
        <f>_xlfn.XLOOKUP(Table12[[#This Row],[Month Year]],'Modelling New'!D:D,'Modelling New'!N:N)</f>
        <v>10.507</v>
      </c>
      <c r="J711" s="50" t="e">
        <f>'Raw Data'!#REF!/J$1</f>
        <v>#REF!</v>
      </c>
      <c r="K711" s="50" t="e">
        <f>'Raw Data'!#REF!/K$1</f>
        <v>#REF!</v>
      </c>
      <c r="L711" s="50" t="e">
        <f>'Raw Data'!#REF!/L$1</f>
        <v>#REF!</v>
      </c>
      <c r="M711" s="50" t="e">
        <f>'Raw Data'!#REF!/M$1</f>
        <v>#REF!</v>
      </c>
      <c r="N711" s="50" t="e">
        <f>'Raw Data'!#REF!/N$1</f>
        <v>#REF!</v>
      </c>
      <c r="O711" s="50" t="e">
        <f>'Raw Data'!#REF!/O$1</f>
        <v>#REF!</v>
      </c>
      <c r="P711" s="50" t="str">
        <f t="shared" si="90"/>
        <v/>
      </c>
      <c r="Q711" s="50" t="e">
        <f t="shared" si="91"/>
        <v>#REF!</v>
      </c>
    </row>
    <row r="712" spans="1:17">
      <c r="A712" s="102" t="s">
        <v>210</v>
      </c>
      <c r="B712" s="101">
        <v>4</v>
      </c>
      <c r="C712" s="101">
        <v>2024</v>
      </c>
      <c r="D712" s="102" t="s">
        <v>211</v>
      </c>
      <c r="E712" s="102" t="s">
        <v>211</v>
      </c>
      <c r="F712" s="195">
        <v>45352</v>
      </c>
      <c r="G712" s="102">
        <f t="shared" si="89"/>
        <v>31</v>
      </c>
      <c r="H712" s="196">
        <f t="shared" si="86"/>
        <v>45361</v>
      </c>
      <c r="I712" s="197">
        <f>_xlfn.XLOOKUP(Table12[[#This Row],[Month Year]],'Modelling New'!D:D,'Modelling New'!N:N)</f>
        <v>10.507</v>
      </c>
      <c r="J712" s="50" t="e">
        <f>'Raw Data'!#REF!/J$1</f>
        <v>#REF!</v>
      </c>
      <c r="K712" s="50" t="e">
        <f>'Raw Data'!#REF!/K$1</f>
        <v>#REF!</v>
      </c>
      <c r="L712" s="50" t="e">
        <f>'Raw Data'!#REF!/L$1</f>
        <v>#REF!</v>
      </c>
      <c r="M712" s="50" t="e">
        <f>'Raw Data'!#REF!/M$1</f>
        <v>#REF!</v>
      </c>
      <c r="N712" s="50" t="e">
        <f>'Raw Data'!#REF!/N$1</f>
        <v>#REF!</v>
      </c>
      <c r="O712" s="50" t="e">
        <f>'Raw Data'!#REF!/O$1</f>
        <v>#REF!</v>
      </c>
      <c r="P712" s="50" t="str">
        <f t="shared" si="90"/>
        <v/>
      </c>
      <c r="Q712" s="50" t="e">
        <f t="shared" si="91"/>
        <v>#REF!</v>
      </c>
    </row>
    <row r="713" spans="1:17">
      <c r="A713" s="102" t="s">
        <v>210</v>
      </c>
      <c r="B713" s="101">
        <v>4</v>
      </c>
      <c r="C713" s="101">
        <v>2024</v>
      </c>
      <c r="D713" s="102" t="s">
        <v>211</v>
      </c>
      <c r="E713" s="102" t="s">
        <v>211</v>
      </c>
      <c r="F713" s="195">
        <v>45352</v>
      </c>
      <c r="G713" s="102">
        <f t="shared" si="89"/>
        <v>31</v>
      </c>
      <c r="H713" s="196">
        <f t="shared" si="86"/>
        <v>45362</v>
      </c>
      <c r="I713" s="197">
        <f>_xlfn.XLOOKUP(Table12[[#This Row],[Month Year]],'Modelling New'!D:D,'Modelling New'!N:N)</f>
        <v>10.507</v>
      </c>
      <c r="J713" s="50" t="e">
        <f>'Raw Data'!#REF!/J$1</f>
        <v>#REF!</v>
      </c>
      <c r="K713" s="50" t="e">
        <f>'Raw Data'!#REF!/K$1</f>
        <v>#REF!</v>
      </c>
      <c r="L713" s="50" t="e">
        <f>'Raw Data'!#REF!/L$1</f>
        <v>#REF!</v>
      </c>
      <c r="M713" s="50" t="e">
        <f>'Raw Data'!#REF!/M$1</f>
        <v>#REF!</v>
      </c>
      <c r="N713" s="50" t="e">
        <f>'Raw Data'!#REF!/N$1</f>
        <v>#REF!</v>
      </c>
      <c r="O713" s="50" t="e">
        <f>'Raw Data'!#REF!/O$1</f>
        <v>#REF!</v>
      </c>
      <c r="P713" s="50" t="str">
        <f t="shared" si="90"/>
        <v/>
      </c>
      <c r="Q713" s="50" t="e">
        <f t="shared" si="91"/>
        <v>#REF!</v>
      </c>
    </row>
    <row r="714" spans="1:17">
      <c r="A714" s="102" t="s">
        <v>210</v>
      </c>
      <c r="B714" s="101">
        <v>4</v>
      </c>
      <c r="C714" s="101">
        <v>2024</v>
      </c>
      <c r="D714" s="102" t="s">
        <v>211</v>
      </c>
      <c r="E714" s="102" t="s">
        <v>211</v>
      </c>
      <c r="F714" s="195">
        <v>45352</v>
      </c>
      <c r="G714" s="102">
        <f t="shared" si="89"/>
        <v>31</v>
      </c>
      <c r="H714" s="196">
        <f t="shared" si="86"/>
        <v>45363</v>
      </c>
      <c r="I714" s="197">
        <f>_xlfn.XLOOKUP(Table12[[#This Row],[Month Year]],'Modelling New'!D:D,'Modelling New'!N:N)</f>
        <v>10.507</v>
      </c>
      <c r="J714" s="50" t="e">
        <f>'Raw Data'!#REF!/J$1</f>
        <v>#REF!</v>
      </c>
      <c r="K714" s="50" t="e">
        <f>'Raw Data'!#REF!/K$1</f>
        <v>#REF!</v>
      </c>
      <c r="L714" s="50" t="e">
        <f>'Raw Data'!#REF!/L$1</f>
        <v>#REF!</v>
      </c>
      <c r="M714" s="50" t="e">
        <f>'Raw Data'!#REF!/M$1</f>
        <v>#REF!</v>
      </c>
      <c r="N714" s="50" t="e">
        <f>'Raw Data'!#REF!/N$1</f>
        <v>#REF!</v>
      </c>
      <c r="O714" s="50" t="e">
        <f>'Raw Data'!#REF!/O$1</f>
        <v>#REF!</v>
      </c>
      <c r="P714" s="50" t="str">
        <f t="shared" si="90"/>
        <v/>
      </c>
      <c r="Q714" s="50" t="e">
        <f t="shared" si="91"/>
        <v>#REF!</v>
      </c>
    </row>
    <row r="715" spans="1:17">
      <c r="A715" s="102" t="s">
        <v>210</v>
      </c>
      <c r="B715" s="101">
        <v>4</v>
      </c>
      <c r="C715" s="101">
        <v>2024</v>
      </c>
      <c r="D715" s="102" t="s">
        <v>211</v>
      </c>
      <c r="E715" s="102" t="s">
        <v>211</v>
      </c>
      <c r="F715" s="195">
        <v>45352</v>
      </c>
      <c r="G715" s="102">
        <f t="shared" si="89"/>
        <v>31</v>
      </c>
      <c r="H715" s="196">
        <f t="shared" si="86"/>
        <v>45364</v>
      </c>
      <c r="I715" s="197">
        <f>_xlfn.XLOOKUP(Table12[[#This Row],[Month Year]],'Modelling New'!D:D,'Modelling New'!N:N)</f>
        <v>10.507</v>
      </c>
      <c r="J715" s="50" t="e">
        <f>'Raw Data'!#REF!/J$1</f>
        <v>#REF!</v>
      </c>
      <c r="K715" s="50" t="e">
        <f>'Raw Data'!#REF!/K$1</f>
        <v>#REF!</v>
      </c>
      <c r="L715" s="50" t="e">
        <f>'Raw Data'!#REF!/L$1</f>
        <v>#REF!</v>
      </c>
      <c r="M715" s="50" t="e">
        <f>'Raw Data'!#REF!/M$1</f>
        <v>#REF!</v>
      </c>
      <c r="N715" s="50" t="e">
        <f>'Raw Data'!#REF!/N$1</f>
        <v>#REF!</v>
      </c>
      <c r="O715" s="50" t="e">
        <f>'Raw Data'!#REF!/O$1</f>
        <v>#REF!</v>
      </c>
      <c r="P715" s="50" t="str">
        <f t="shared" si="90"/>
        <v/>
      </c>
      <c r="Q715" s="50" t="e">
        <f t="shared" si="91"/>
        <v>#REF!</v>
      </c>
    </row>
    <row r="716" spans="1:17">
      <c r="A716" s="102" t="s">
        <v>210</v>
      </c>
      <c r="B716" s="101">
        <v>4</v>
      </c>
      <c r="C716" s="101">
        <v>2024</v>
      </c>
      <c r="D716" s="102" t="s">
        <v>211</v>
      </c>
      <c r="E716" s="102" t="s">
        <v>211</v>
      </c>
      <c r="F716" s="195">
        <v>45352</v>
      </c>
      <c r="G716" s="102">
        <f t="shared" si="89"/>
        <v>31</v>
      </c>
      <c r="H716" s="196">
        <f t="shared" si="86"/>
        <v>45365</v>
      </c>
      <c r="I716" s="197">
        <f>_xlfn.XLOOKUP(Table12[[#This Row],[Month Year]],'Modelling New'!D:D,'Modelling New'!N:N)</f>
        <v>10.507</v>
      </c>
      <c r="J716" s="50" t="e">
        <f>'Raw Data'!#REF!/J$1</f>
        <v>#REF!</v>
      </c>
      <c r="K716" s="50" t="e">
        <f>'Raw Data'!#REF!/K$1</f>
        <v>#REF!</v>
      </c>
      <c r="L716" s="50" t="e">
        <f>'Raw Data'!#REF!/L$1</f>
        <v>#REF!</v>
      </c>
      <c r="M716" s="50" t="e">
        <f>'Raw Data'!#REF!/M$1</f>
        <v>#REF!</v>
      </c>
      <c r="N716" s="50" t="e">
        <f>'Raw Data'!#REF!/N$1</f>
        <v>#REF!</v>
      </c>
      <c r="O716" s="50" t="e">
        <f>'Raw Data'!#REF!/O$1</f>
        <v>#REF!</v>
      </c>
      <c r="P716" s="50" t="str">
        <f t="shared" si="90"/>
        <v/>
      </c>
      <c r="Q716" s="50" t="e">
        <f t="shared" si="91"/>
        <v>#REF!</v>
      </c>
    </row>
    <row r="717" spans="1:17">
      <c r="A717" s="101" t="s">
        <v>210</v>
      </c>
      <c r="B717" s="101">
        <v>4</v>
      </c>
      <c r="C717" s="101">
        <v>2024</v>
      </c>
      <c r="D717" s="101" t="s">
        <v>211</v>
      </c>
      <c r="E717" s="101" t="s">
        <v>211</v>
      </c>
      <c r="F717" s="195">
        <v>45352</v>
      </c>
      <c r="G717" s="101">
        <f t="shared" ref="G717" si="92">DAY(EOMONTH(F717,0))</f>
        <v>31</v>
      </c>
      <c r="H717" s="103">
        <f t="shared" si="86"/>
        <v>45366</v>
      </c>
      <c r="I717" s="141">
        <f>_xlfn.XLOOKUP(Table12[[#This Row],[Month Year]],'Modelling New'!D:D,'Modelling New'!N:N)</f>
        <v>10.507</v>
      </c>
      <c r="J717" s="50" t="e">
        <f>'Raw Data'!#REF!/J$1</f>
        <v>#REF!</v>
      </c>
      <c r="K717" s="50" t="e">
        <f>'Raw Data'!#REF!/K$1</f>
        <v>#REF!</v>
      </c>
      <c r="L717" s="50" t="e">
        <f>'Raw Data'!#REF!/L$1</f>
        <v>#REF!</v>
      </c>
      <c r="M717" s="50" t="e">
        <f>'Raw Data'!#REF!/M$1</f>
        <v>#REF!</v>
      </c>
      <c r="N717" s="50" t="e">
        <f>'Raw Data'!#REF!/N$1</f>
        <v>#REF!</v>
      </c>
      <c r="O717" s="50" t="e">
        <f>'Raw Data'!#REF!/O$1</f>
        <v>#REF!</v>
      </c>
      <c r="P717" s="50" t="str">
        <f>IFERROR(AVERAGEIF(J717:O717,"&gt;"&amp;0,J717:O717),"")</f>
        <v/>
      </c>
      <c r="Q717" s="50" t="e">
        <f>MAXA(J717:O717)</f>
        <v>#REF!</v>
      </c>
    </row>
    <row r="718" spans="1:17">
      <c r="A718" s="102" t="s">
        <v>210</v>
      </c>
      <c r="B718" s="101">
        <v>4</v>
      </c>
      <c r="C718" s="101">
        <v>2024</v>
      </c>
      <c r="D718" s="101" t="s">
        <v>211</v>
      </c>
      <c r="E718" s="101" t="s">
        <v>211</v>
      </c>
      <c r="F718" s="195">
        <v>45352</v>
      </c>
      <c r="G718" s="101">
        <f t="shared" ref="G718:G724" si="93">DAY(EOMONTH(F718,0))</f>
        <v>31</v>
      </c>
      <c r="H718" s="103">
        <f t="shared" ref="H718:H781" si="94">H717+1</f>
        <v>45367</v>
      </c>
      <c r="I718" s="141">
        <f>_xlfn.XLOOKUP(Table12[[#This Row],[Month Year]],'Modelling New'!D:D,'Modelling New'!N:N)</f>
        <v>10.507</v>
      </c>
      <c r="J718" s="50" t="e">
        <f>'Raw Data'!#REF!/J$1</f>
        <v>#REF!</v>
      </c>
      <c r="K718" s="50" t="e">
        <f>'Raw Data'!#REF!/K$1</f>
        <v>#REF!</v>
      </c>
      <c r="L718" s="50" t="e">
        <f>'Raw Data'!#REF!/L$1</f>
        <v>#REF!</v>
      </c>
      <c r="M718" s="50" t="e">
        <f>'Raw Data'!#REF!/M$1</f>
        <v>#REF!</v>
      </c>
      <c r="N718" s="50" t="e">
        <f>'Raw Data'!#REF!/N$1</f>
        <v>#REF!</v>
      </c>
      <c r="O718" s="50" t="e">
        <f>'Raw Data'!#REF!/O$1</f>
        <v>#REF!</v>
      </c>
      <c r="P718" s="50" t="str">
        <f t="shared" ref="P718:P724" si="95">IFERROR(AVERAGEIF(J718:O718,"&gt;"&amp;0,J718:O718),"")</f>
        <v/>
      </c>
      <c r="Q718" s="50" t="e">
        <f t="shared" ref="Q718:Q724" si="96">MAXA(J718:O718)</f>
        <v>#REF!</v>
      </c>
    </row>
    <row r="719" spans="1:17">
      <c r="A719" s="102" t="s">
        <v>210</v>
      </c>
      <c r="B719" s="101">
        <v>4</v>
      </c>
      <c r="C719" s="101">
        <v>2024</v>
      </c>
      <c r="D719" s="101" t="s">
        <v>211</v>
      </c>
      <c r="E719" s="101" t="s">
        <v>211</v>
      </c>
      <c r="F719" s="195">
        <v>45352</v>
      </c>
      <c r="G719" s="101">
        <f t="shared" si="93"/>
        <v>31</v>
      </c>
      <c r="H719" s="103">
        <f t="shared" si="94"/>
        <v>45368</v>
      </c>
      <c r="I719" s="141">
        <f>_xlfn.XLOOKUP(Table12[[#This Row],[Month Year]],'Modelling New'!D:D,'Modelling New'!N:N)</f>
        <v>10.507</v>
      </c>
      <c r="J719" s="50" t="e">
        <f>'Raw Data'!#REF!/J$1</f>
        <v>#REF!</v>
      </c>
      <c r="K719" s="50" t="e">
        <f>'Raw Data'!#REF!/K$1</f>
        <v>#REF!</v>
      </c>
      <c r="L719" s="50" t="e">
        <f>'Raw Data'!#REF!/L$1</f>
        <v>#REF!</v>
      </c>
      <c r="M719" s="50" t="e">
        <f>'Raw Data'!#REF!/M$1</f>
        <v>#REF!</v>
      </c>
      <c r="N719" s="50" t="e">
        <f>'Raw Data'!#REF!/N$1</f>
        <v>#REF!</v>
      </c>
      <c r="O719" s="50" t="e">
        <f>'Raw Data'!#REF!/O$1</f>
        <v>#REF!</v>
      </c>
      <c r="P719" s="50" t="str">
        <f t="shared" si="95"/>
        <v/>
      </c>
      <c r="Q719" s="50" t="e">
        <f t="shared" si="96"/>
        <v>#REF!</v>
      </c>
    </row>
    <row r="720" spans="1:17">
      <c r="A720" s="101" t="s">
        <v>210</v>
      </c>
      <c r="B720" s="101">
        <v>4</v>
      </c>
      <c r="C720" s="101">
        <v>2024</v>
      </c>
      <c r="D720" s="101" t="s">
        <v>211</v>
      </c>
      <c r="E720" s="101" t="s">
        <v>211</v>
      </c>
      <c r="F720" s="195">
        <v>45352</v>
      </c>
      <c r="G720" s="101">
        <f t="shared" si="93"/>
        <v>31</v>
      </c>
      <c r="H720" s="103">
        <f t="shared" si="94"/>
        <v>45369</v>
      </c>
      <c r="I720" s="141">
        <f>_xlfn.XLOOKUP(Table12[[#This Row],[Month Year]],'Modelling New'!D:D,'Modelling New'!N:N)</f>
        <v>10.507</v>
      </c>
      <c r="J720" s="50" t="e">
        <f>'Raw Data'!#REF!/J$1</f>
        <v>#REF!</v>
      </c>
      <c r="K720" s="50" t="e">
        <f>'Raw Data'!#REF!/K$1</f>
        <v>#REF!</v>
      </c>
      <c r="L720" s="50" t="e">
        <f>'Raw Data'!#REF!/L$1</f>
        <v>#REF!</v>
      </c>
      <c r="M720" s="50" t="e">
        <f>'Raw Data'!#REF!/M$1</f>
        <v>#REF!</v>
      </c>
      <c r="N720" s="50" t="e">
        <f>'Raw Data'!#REF!/N$1</f>
        <v>#REF!</v>
      </c>
      <c r="O720" s="50" t="e">
        <f>'Raw Data'!#REF!/O$1</f>
        <v>#REF!</v>
      </c>
      <c r="P720" s="50" t="str">
        <f t="shared" si="95"/>
        <v/>
      </c>
      <c r="Q720" s="50" t="e">
        <f t="shared" si="96"/>
        <v>#REF!</v>
      </c>
    </row>
    <row r="721" spans="1:17">
      <c r="A721" s="102" t="s">
        <v>210</v>
      </c>
      <c r="B721" s="101">
        <v>4</v>
      </c>
      <c r="C721" s="101">
        <v>2024</v>
      </c>
      <c r="D721" s="101" t="s">
        <v>211</v>
      </c>
      <c r="E721" s="101" t="s">
        <v>211</v>
      </c>
      <c r="F721" s="195">
        <v>45352</v>
      </c>
      <c r="G721" s="101">
        <f t="shared" si="93"/>
        <v>31</v>
      </c>
      <c r="H721" s="103">
        <f t="shared" si="94"/>
        <v>45370</v>
      </c>
      <c r="I721" s="141">
        <f>_xlfn.XLOOKUP(Table12[[#This Row],[Month Year]],'Modelling New'!D:D,'Modelling New'!N:N)</f>
        <v>10.507</v>
      </c>
      <c r="J721" s="50" t="e">
        <f>'Raw Data'!#REF!/J$1</f>
        <v>#REF!</v>
      </c>
      <c r="K721" s="50" t="e">
        <f>'Raw Data'!#REF!/K$1</f>
        <v>#REF!</v>
      </c>
      <c r="L721" s="50" t="e">
        <f>'Raw Data'!#REF!/L$1</f>
        <v>#REF!</v>
      </c>
      <c r="M721" s="50" t="e">
        <f>'Raw Data'!#REF!/M$1</f>
        <v>#REF!</v>
      </c>
      <c r="N721" s="50" t="e">
        <f>'Raw Data'!#REF!/N$1</f>
        <v>#REF!</v>
      </c>
      <c r="O721" s="50" t="e">
        <f>'Raw Data'!#REF!/O$1</f>
        <v>#REF!</v>
      </c>
      <c r="P721" s="50" t="str">
        <f t="shared" si="95"/>
        <v/>
      </c>
      <c r="Q721" s="50" t="e">
        <f t="shared" si="96"/>
        <v>#REF!</v>
      </c>
    </row>
    <row r="722" spans="1:17">
      <c r="A722" s="102" t="s">
        <v>210</v>
      </c>
      <c r="B722" s="101">
        <v>4</v>
      </c>
      <c r="C722" s="101">
        <v>2024</v>
      </c>
      <c r="D722" s="101" t="s">
        <v>211</v>
      </c>
      <c r="E722" s="101" t="s">
        <v>211</v>
      </c>
      <c r="F722" s="195">
        <v>45352</v>
      </c>
      <c r="G722" s="101">
        <f t="shared" si="93"/>
        <v>31</v>
      </c>
      <c r="H722" s="103">
        <f t="shared" si="94"/>
        <v>45371</v>
      </c>
      <c r="I722" s="141">
        <f>_xlfn.XLOOKUP(Table12[[#This Row],[Month Year]],'Modelling New'!D:D,'Modelling New'!N:N)</f>
        <v>10.507</v>
      </c>
      <c r="J722" s="50" t="e">
        <f>'Raw Data'!#REF!/J$1</f>
        <v>#REF!</v>
      </c>
      <c r="K722" s="50" t="e">
        <f>'Raw Data'!#REF!/K$1</f>
        <v>#REF!</v>
      </c>
      <c r="L722" s="50" t="e">
        <f>'Raw Data'!#REF!/L$1</f>
        <v>#REF!</v>
      </c>
      <c r="M722" s="50" t="e">
        <f>'Raw Data'!#REF!/M$1</f>
        <v>#REF!</v>
      </c>
      <c r="N722" s="50" t="e">
        <f>'Raw Data'!#REF!/N$1</f>
        <v>#REF!</v>
      </c>
      <c r="O722" s="50" t="e">
        <f>'Raw Data'!#REF!/O$1</f>
        <v>#REF!</v>
      </c>
      <c r="P722" s="50" t="str">
        <f t="shared" si="95"/>
        <v/>
      </c>
      <c r="Q722" s="50" t="e">
        <f t="shared" si="96"/>
        <v>#REF!</v>
      </c>
    </row>
    <row r="723" spans="1:17">
      <c r="A723" s="101" t="s">
        <v>210</v>
      </c>
      <c r="B723" s="101">
        <v>4</v>
      </c>
      <c r="C723" s="101">
        <v>2024</v>
      </c>
      <c r="D723" s="101" t="s">
        <v>211</v>
      </c>
      <c r="E723" s="101" t="s">
        <v>211</v>
      </c>
      <c r="F723" s="195">
        <v>45352</v>
      </c>
      <c r="G723" s="101">
        <f t="shared" si="93"/>
        <v>31</v>
      </c>
      <c r="H723" s="103">
        <f t="shared" si="94"/>
        <v>45372</v>
      </c>
      <c r="I723" s="141">
        <f>_xlfn.XLOOKUP(Table12[[#This Row],[Month Year]],'Modelling New'!D:D,'Modelling New'!N:N)</f>
        <v>10.507</v>
      </c>
      <c r="J723" s="50" t="e">
        <f>'Raw Data'!#REF!/J$1</f>
        <v>#REF!</v>
      </c>
      <c r="K723" s="50" t="e">
        <f>'Raw Data'!#REF!/K$1</f>
        <v>#REF!</v>
      </c>
      <c r="L723" s="50" t="e">
        <f>'Raw Data'!#REF!/L$1</f>
        <v>#REF!</v>
      </c>
      <c r="M723" s="50" t="e">
        <f>'Raw Data'!#REF!/M$1</f>
        <v>#REF!</v>
      </c>
      <c r="N723" s="50" t="e">
        <f>'Raw Data'!#REF!/N$1</f>
        <v>#REF!</v>
      </c>
      <c r="O723" s="50" t="e">
        <f>'Raw Data'!#REF!/O$1</f>
        <v>#REF!</v>
      </c>
      <c r="P723" s="50" t="str">
        <f t="shared" si="95"/>
        <v/>
      </c>
      <c r="Q723" s="50" t="e">
        <f t="shared" si="96"/>
        <v>#REF!</v>
      </c>
    </row>
    <row r="724" spans="1:17">
      <c r="A724" s="102" t="s">
        <v>210</v>
      </c>
      <c r="B724" s="101">
        <v>4</v>
      </c>
      <c r="C724" s="101">
        <v>2024</v>
      </c>
      <c r="D724" s="101" t="s">
        <v>211</v>
      </c>
      <c r="E724" s="101" t="s">
        <v>211</v>
      </c>
      <c r="F724" s="195">
        <v>45352</v>
      </c>
      <c r="G724" s="101">
        <f t="shared" si="93"/>
        <v>31</v>
      </c>
      <c r="H724" s="103">
        <f t="shared" si="94"/>
        <v>45373</v>
      </c>
      <c r="I724" s="141">
        <f>_xlfn.XLOOKUP(Table12[[#This Row],[Month Year]],'Modelling New'!D:D,'Modelling New'!N:N)</f>
        <v>10.507</v>
      </c>
      <c r="J724" s="50" t="e">
        <f>'Raw Data'!#REF!/J$1</f>
        <v>#REF!</v>
      </c>
      <c r="K724" s="50" t="e">
        <f>'Raw Data'!#REF!/K$1</f>
        <v>#REF!</v>
      </c>
      <c r="L724" s="50" t="e">
        <f>'Raw Data'!#REF!/L$1</f>
        <v>#REF!</v>
      </c>
      <c r="M724" s="50" t="e">
        <f>'Raw Data'!#REF!/M$1</f>
        <v>#REF!</v>
      </c>
      <c r="N724" s="50" t="e">
        <f>'Raw Data'!#REF!/N$1</f>
        <v>#REF!</v>
      </c>
      <c r="O724" s="50" t="e">
        <f>'Raw Data'!#REF!/O$1</f>
        <v>#REF!</v>
      </c>
      <c r="P724" s="50" t="str">
        <f t="shared" si="95"/>
        <v/>
      </c>
      <c r="Q724" s="50" t="e">
        <f t="shared" si="96"/>
        <v>#REF!</v>
      </c>
    </row>
    <row r="725" spans="1:17">
      <c r="A725" s="102" t="s">
        <v>210</v>
      </c>
      <c r="B725" s="101">
        <v>4</v>
      </c>
      <c r="C725" s="101">
        <v>2024</v>
      </c>
      <c r="D725" s="101" t="s">
        <v>211</v>
      </c>
      <c r="E725" s="101" t="s">
        <v>211</v>
      </c>
      <c r="F725" s="195">
        <v>45352</v>
      </c>
      <c r="G725" s="101">
        <f t="shared" ref="G725:G729" si="97">DAY(EOMONTH(F725,0))</f>
        <v>31</v>
      </c>
      <c r="H725" s="103">
        <f t="shared" si="94"/>
        <v>45374</v>
      </c>
      <c r="I725" s="141">
        <f>_xlfn.XLOOKUP(Table12[[#This Row],[Month Year]],'Modelling New'!D:D,'Modelling New'!N:N)</f>
        <v>10.507</v>
      </c>
      <c r="J725" s="50" t="e">
        <f>'Raw Data'!#REF!/J$1</f>
        <v>#REF!</v>
      </c>
      <c r="K725" s="50" t="e">
        <f>'Raw Data'!#REF!/K$1</f>
        <v>#REF!</v>
      </c>
      <c r="L725" s="50" t="e">
        <f>'Raw Data'!#REF!/L$1</f>
        <v>#REF!</v>
      </c>
      <c r="M725" s="50" t="e">
        <f>'Raw Data'!#REF!/M$1</f>
        <v>#REF!</v>
      </c>
      <c r="N725" s="50" t="e">
        <f>'Raw Data'!#REF!/N$1</f>
        <v>#REF!</v>
      </c>
      <c r="O725" s="50" t="e">
        <f>'Raw Data'!#REF!/O$1</f>
        <v>#REF!</v>
      </c>
      <c r="P725" s="50" t="str">
        <f t="shared" ref="P725:P729" si="98">IFERROR(AVERAGEIF(J725:O725,"&gt;"&amp;0,J725:O725),"")</f>
        <v/>
      </c>
      <c r="Q725" s="50" t="e">
        <f t="shared" ref="Q725:Q729" si="99">MAXA(J725:O725)</f>
        <v>#REF!</v>
      </c>
    </row>
    <row r="726" spans="1:17">
      <c r="A726" s="101" t="s">
        <v>210</v>
      </c>
      <c r="B726" s="101">
        <v>4</v>
      </c>
      <c r="C726" s="101">
        <v>2024</v>
      </c>
      <c r="D726" s="101" t="s">
        <v>211</v>
      </c>
      <c r="E726" s="101" t="s">
        <v>211</v>
      </c>
      <c r="F726" s="195">
        <v>45352</v>
      </c>
      <c r="G726" s="101">
        <f t="shared" si="97"/>
        <v>31</v>
      </c>
      <c r="H726" s="103">
        <f t="shared" si="94"/>
        <v>45375</v>
      </c>
      <c r="I726" s="141">
        <f>_xlfn.XLOOKUP(Table12[[#This Row],[Month Year]],'Modelling New'!D:D,'Modelling New'!N:N)</f>
        <v>10.507</v>
      </c>
      <c r="J726" s="50" t="e">
        <f>'Raw Data'!#REF!/J$1</f>
        <v>#REF!</v>
      </c>
      <c r="K726" s="50" t="e">
        <f>'Raw Data'!#REF!/K$1</f>
        <v>#REF!</v>
      </c>
      <c r="L726" s="50" t="e">
        <f>'Raw Data'!#REF!/L$1</f>
        <v>#REF!</v>
      </c>
      <c r="M726" s="50" t="e">
        <f>'Raw Data'!#REF!/M$1</f>
        <v>#REF!</v>
      </c>
      <c r="N726" s="50" t="e">
        <f>'Raw Data'!#REF!/N$1</f>
        <v>#REF!</v>
      </c>
      <c r="O726" s="50" t="e">
        <f>'Raw Data'!#REF!/O$1</f>
        <v>#REF!</v>
      </c>
      <c r="P726" s="50" t="str">
        <f t="shared" si="98"/>
        <v/>
      </c>
      <c r="Q726" s="50" t="e">
        <f t="shared" si="99"/>
        <v>#REF!</v>
      </c>
    </row>
    <row r="727" spans="1:17">
      <c r="A727" s="101" t="s">
        <v>210</v>
      </c>
      <c r="B727" s="101">
        <v>4</v>
      </c>
      <c r="C727" s="101">
        <v>2024</v>
      </c>
      <c r="D727" s="101" t="s">
        <v>211</v>
      </c>
      <c r="E727" s="101" t="s">
        <v>211</v>
      </c>
      <c r="F727" s="195">
        <v>45352</v>
      </c>
      <c r="G727" s="101">
        <f t="shared" si="97"/>
        <v>31</v>
      </c>
      <c r="H727" s="103">
        <f t="shared" si="94"/>
        <v>45376</v>
      </c>
      <c r="I727" s="141">
        <f>_xlfn.XLOOKUP(Table12[[#This Row],[Month Year]],'Modelling New'!D:D,'Modelling New'!N:N)</f>
        <v>10.507</v>
      </c>
      <c r="J727" s="50" t="e">
        <f>'Raw Data'!#REF!/J$1</f>
        <v>#REF!</v>
      </c>
      <c r="K727" s="50" t="e">
        <f>'Raw Data'!#REF!/K$1</f>
        <v>#REF!</v>
      </c>
      <c r="L727" s="50" t="e">
        <f>'Raw Data'!#REF!/L$1</f>
        <v>#REF!</v>
      </c>
      <c r="M727" s="50" t="e">
        <f>'Raw Data'!#REF!/M$1</f>
        <v>#REF!</v>
      </c>
      <c r="N727" s="50" t="e">
        <f>'Raw Data'!#REF!/N$1</f>
        <v>#REF!</v>
      </c>
      <c r="O727" s="50" t="e">
        <f>'Raw Data'!#REF!/O$1</f>
        <v>#REF!</v>
      </c>
      <c r="P727" s="50" t="str">
        <f t="shared" si="98"/>
        <v/>
      </c>
      <c r="Q727" s="50" t="e">
        <f t="shared" si="99"/>
        <v>#REF!</v>
      </c>
    </row>
    <row r="728" spans="1:17">
      <c r="A728" s="101" t="s">
        <v>210</v>
      </c>
      <c r="B728" s="101">
        <v>4</v>
      </c>
      <c r="C728" s="101">
        <v>2024</v>
      </c>
      <c r="D728" s="101" t="s">
        <v>211</v>
      </c>
      <c r="E728" s="101" t="s">
        <v>211</v>
      </c>
      <c r="F728" s="195">
        <v>45352</v>
      </c>
      <c r="G728" s="101">
        <f t="shared" si="97"/>
        <v>31</v>
      </c>
      <c r="H728" s="103">
        <f t="shared" si="94"/>
        <v>45377</v>
      </c>
      <c r="I728" s="141">
        <f>_xlfn.XLOOKUP(Table12[[#This Row],[Month Year]],'Modelling New'!D:D,'Modelling New'!N:N)</f>
        <v>10.507</v>
      </c>
      <c r="J728" s="50" t="e">
        <f>'Raw Data'!#REF!/J$1</f>
        <v>#REF!</v>
      </c>
      <c r="K728" s="50" t="e">
        <f>'Raw Data'!#REF!/K$1</f>
        <v>#REF!</v>
      </c>
      <c r="L728" s="50" t="e">
        <f>'Raw Data'!#REF!/L$1</f>
        <v>#REF!</v>
      </c>
      <c r="M728" s="50" t="e">
        <f>'Raw Data'!#REF!/M$1</f>
        <v>#REF!</v>
      </c>
      <c r="N728" s="50" t="e">
        <f>'Raw Data'!#REF!/N$1</f>
        <v>#REF!</v>
      </c>
      <c r="O728" s="50" t="e">
        <f>'Raw Data'!#REF!/O$1</f>
        <v>#REF!</v>
      </c>
      <c r="P728" s="50" t="str">
        <f t="shared" si="98"/>
        <v/>
      </c>
      <c r="Q728" s="50" t="e">
        <f t="shared" si="99"/>
        <v>#REF!</v>
      </c>
    </row>
    <row r="729" spans="1:17">
      <c r="A729" s="101" t="s">
        <v>210</v>
      </c>
      <c r="B729" s="101">
        <v>4</v>
      </c>
      <c r="C729" s="101">
        <v>2024</v>
      </c>
      <c r="D729" s="101" t="s">
        <v>211</v>
      </c>
      <c r="E729" s="101" t="s">
        <v>211</v>
      </c>
      <c r="F729" s="195">
        <v>45352</v>
      </c>
      <c r="G729" s="101">
        <f t="shared" si="97"/>
        <v>31</v>
      </c>
      <c r="H729" s="103">
        <f t="shared" si="94"/>
        <v>45378</v>
      </c>
      <c r="I729" s="141">
        <f>_xlfn.XLOOKUP(Table12[[#This Row],[Month Year]],'Modelling New'!D:D,'Modelling New'!N:N)</f>
        <v>10.507</v>
      </c>
      <c r="J729" s="50" t="e">
        <f>'Raw Data'!#REF!/J$1</f>
        <v>#REF!</v>
      </c>
      <c r="K729" s="50" t="e">
        <f>'Raw Data'!#REF!/K$1</f>
        <v>#REF!</v>
      </c>
      <c r="L729" s="50" t="e">
        <f>'Raw Data'!#REF!/L$1</f>
        <v>#REF!</v>
      </c>
      <c r="M729" s="50" t="e">
        <f>'Raw Data'!#REF!/M$1</f>
        <v>#REF!</v>
      </c>
      <c r="N729" s="50" t="e">
        <f>'Raw Data'!#REF!/N$1</f>
        <v>#REF!</v>
      </c>
      <c r="O729" s="50" t="e">
        <f>'Raw Data'!#REF!/O$1</f>
        <v>#REF!</v>
      </c>
      <c r="P729" s="50" t="str">
        <f t="shared" si="98"/>
        <v/>
      </c>
      <c r="Q729" s="50" t="e">
        <f t="shared" si="99"/>
        <v>#REF!</v>
      </c>
    </row>
    <row r="730" spans="1:17">
      <c r="A730" s="101" t="s">
        <v>210</v>
      </c>
      <c r="B730" s="101">
        <v>4</v>
      </c>
      <c r="C730" s="101">
        <v>2024</v>
      </c>
      <c r="D730" s="101" t="s">
        <v>211</v>
      </c>
      <c r="E730" s="101" t="s">
        <v>211</v>
      </c>
      <c r="F730" s="195">
        <v>45352</v>
      </c>
      <c r="G730" s="101">
        <f t="shared" ref="G730:G745" si="100">DAY(EOMONTH(F730,0))</f>
        <v>31</v>
      </c>
      <c r="H730" s="103">
        <f t="shared" si="94"/>
        <v>45379</v>
      </c>
      <c r="I730" s="141">
        <f>_xlfn.XLOOKUP(Table12[[#This Row],[Month Year]],'Modelling New'!D:D,'Modelling New'!N:N)</f>
        <v>10.507</v>
      </c>
      <c r="J730" s="50" t="e">
        <f>'Raw Data'!#REF!/J$1</f>
        <v>#REF!</v>
      </c>
      <c r="K730" s="50" t="e">
        <f>'Raw Data'!#REF!/K$1</f>
        <v>#REF!</v>
      </c>
      <c r="L730" s="50" t="e">
        <f>'Raw Data'!#REF!/L$1</f>
        <v>#REF!</v>
      </c>
      <c r="M730" s="50" t="e">
        <f>'Raw Data'!#REF!/M$1</f>
        <v>#REF!</v>
      </c>
      <c r="N730" s="50" t="e">
        <f>'Raw Data'!#REF!/N$1</f>
        <v>#REF!</v>
      </c>
      <c r="O730" s="50" t="e">
        <f>'Raw Data'!#REF!/O$1</f>
        <v>#REF!</v>
      </c>
      <c r="P730" s="50" t="str">
        <f t="shared" ref="P730:P745" si="101">IFERROR(AVERAGEIF(J730:O730,"&gt;"&amp;0,J730:O730),"")</f>
        <v/>
      </c>
      <c r="Q730" s="50" t="e">
        <f t="shared" ref="Q730:Q745" si="102">MAXA(J730:O730)</f>
        <v>#REF!</v>
      </c>
    </row>
    <row r="731" spans="1:17">
      <c r="A731" s="101" t="s">
        <v>210</v>
      </c>
      <c r="B731" s="101">
        <v>4</v>
      </c>
      <c r="C731" s="101">
        <v>2024</v>
      </c>
      <c r="D731" s="101" t="s">
        <v>211</v>
      </c>
      <c r="E731" s="101" t="s">
        <v>211</v>
      </c>
      <c r="F731" s="195">
        <v>45352</v>
      </c>
      <c r="G731" s="101">
        <f t="shared" si="100"/>
        <v>31</v>
      </c>
      <c r="H731" s="103">
        <f t="shared" si="94"/>
        <v>45380</v>
      </c>
      <c r="I731" s="141">
        <f>_xlfn.XLOOKUP(Table12[[#This Row],[Month Year]],'Modelling New'!D:D,'Modelling New'!N:N)</f>
        <v>10.507</v>
      </c>
      <c r="J731" s="50" t="e">
        <f>'Raw Data'!#REF!/J$1</f>
        <v>#REF!</v>
      </c>
      <c r="K731" s="50" t="e">
        <f>'Raw Data'!#REF!/K$1</f>
        <v>#REF!</v>
      </c>
      <c r="L731" s="50" t="e">
        <f>'Raw Data'!#REF!/L$1</f>
        <v>#REF!</v>
      </c>
      <c r="M731" s="50" t="e">
        <f>'Raw Data'!#REF!/M$1</f>
        <v>#REF!</v>
      </c>
      <c r="N731" s="50" t="e">
        <f>'Raw Data'!#REF!/N$1</f>
        <v>#REF!</v>
      </c>
      <c r="O731" s="50" t="e">
        <f>'Raw Data'!#REF!/O$1</f>
        <v>#REF!</v>
      </c>
      <c r="P731" s="50" t="str">
        <f t="shared" si="101"/>
        <v/>
      </c>
      <c r="Q731" s="50" t="e">
        <f t="shared" si="102"/>
        <v>#REF!</v>
      </c>
    </row>
    <row r="732" spans="1:17">
      <c r="A732" s="101" t="s">
        <v>210</v>
      </c>
      <c r="B732" s="101">
        <v>4</v>
      </c>
      <c r="C732" s="101">
        <v>2024</v>
      </c>
      <c r="D732" s="101" t="s">
        <v>211</v>
      </c>
      <c r="E732" s="101" t="s">
        <v>211</v>
      </c>
      <c r="F732" s="195">
        <v>45352</v>
      </c>
      <c r="G732" s="101">
        <f t="shared" si="100"/>
        <v>31</v>
      </c>
      <c r="H732" s="103">
        <f t="shared" si="94"/>
        <v>45381</v>
      </c>
      <c r="I732" s="141">
        <f>_xlfn.XLOOKUP(Table12[[#This Row],[Month Year]],'Modelling New'!D:D,'Modelling New'!N:N)</f>
        <v>10.507</v>
      </c>
      <c r="J732" s="50" t="e">
        <f>'Raw Data'!#REF!/J$1</f>
        <v>#REF!</v>
      </c>
      <c r="K732" s="50" t="e">
        <f>'Raw Data'!#REF!/K$1</f>
        <v>#REF!</v>
      </c>
      <c r="L732" s="50" t="e">
        <f>'Raw Data'!#REF!/L$1</f>
        <v>#REF!</v>
      </c>
      <c r="M732" s="50" t="e">
        <f>'Raw Data'!#REF!/M$1</f>
        <v>#REF!</v>
      </c>
      <c r="N732" s="50" t="e">
        <f>'Raw Data'!#REF!/N$1</f>
        <v>#REF!</v>
      </c>
      <c r="O732" s="50" t="e">
        <f>'Raw Data'!#REF!/O$1</f>
        <v>#REF!</v>
      </c>
      <c r="P732" s="50" t="str">
        <f t="shared" si="101"/>
        <v/>
      </c>
      <c r="Q732" s="50" t="e">
        <f t="shared" si="102"/>
        <v>#REF!</v>
      </c>
    </row>
    <row r="733" spans="1:17">
      <c r="A733" s="101" t="s">
        <v>210</v>
      </c>
      <c r="B733" s="101">
        <v>4</v>
      </c>
      <c r="C733" s="101">
        <v>2024</v>
      </c>
      <c r="D733" s="101" t="s">
        <v>211</v>
      </c>
      <c r="E733" s="101" t="s">
        <v>211</v>
      </c>
      <c r="F733" s="195">
        <v>45352</v>
      </c>
      <c r="G733" s="101">
        <f t="shared" si="100"/>
        <v>31</v>
      </c>
      <c r="H733" s="103">
        <f t="shared" si="94"/>
        <v>45382</v>
      </c>
      <c r="I733" s="141">
        <f>_xlfn.XLOOKUP(Table12[[#This Row],[Month Year]],'Modelling New'!D:D,'Modelling New'!N:N)</f>
        <v>10.507</v>
      </c>
      <c r="J733" s="50" t="e">
        <f>'Raw Data'!#REF!/J$1</f>
        <v>#REF!</v>
      </c>
      <c r="K733" s="50" t="e">
        <f>'Raw Data'!#REF!/K$1</f>
        <v>#REF!</v>
      </c>
      <c r="L733" s="50" t="e">
        <f>'Raw Data'!#REF!/L$1</f>
        <v>#REF!</v>
      </c>
      <c r="M733" s="50" t="e">
        <f>'Raw Data'!#REF!/M$1</f>
        <v>#REF!</v>
      </c>
      <c r="N733" s="50" t="e">
        <f>'Raw Data'!#REF!/N$1</f>
        <v>#REF!</v>
      </c>
      <c r="O733" s="50" t="e">
        <f>'Raw Data'!#REF!/O$1</f>
        <v>#REF!</v>
      </c>
      <c r="P733" s="50" t="str">
        <f t="shared" si="101"/>
        <v/>
      </c>
      <c r="Q733" s="50" t="e">
        <f t="shared" si="102"/>
        <v>#REF!</v>
      </c>
    </row>
    <row r="734" spans="1:17">
      <c r="A734" s="101" t="s">
        <v>210</v>
      </c>
      <c r="B734" s="101">
        <v>4</v>
      </c>
      <c r="C734" s="101">
        <v>2024</v>
      </c>
      <c r="D734" s="101" t="s">
        <v>211</v>
      </c>
      <c r="E734" s="101" t="s">
        <v>211</v>
      </c>
      <c r="F734" s="195">
        <v>45383</v>
      </c>
      <c r="G734" s="101">
        <f t="shared" si="100"/>
        <v>30</v>
      </c>
      <c r="H734" s="103">
        <f t="shared" si="94"/>
        <v>45383</v>
      </c>
      <c r="I734" s="141">
        <f>_xlfn.XLOOKUP(Table12[[#This Row],[Month Year]],'Modelling New'!D:D,'Modelling New'!N:N)</f>
        <v>10.507</v>
      </c>
      <c r="J734" s="50" t="e">
        <f>'Raw Data'!#REF!/J$1</f>
        <v>#REF!</v>
      </c>
      <c r="K734" s="50" t="e">
        <f>'Raw Data'!#REF!/K$1</f>
        <v>#REF!</v>
      </c>
      <c r="L734" s="50" t="e">
        <f>'Raw Data'!#REF!/L$1</f>
        <v>#REF!</v>
      </c>
      <c r="M734" s="50" t="e">
        <f>'Raw Data'!#REF!/M$1</f>
        <v>#REF!</v>
      </c>
      <c r="N734" s="50" t="e">
        <f>'Raw Data'!#REF!/N$1</f>
        <v>#REF!</v>
      </c>
      <c r="O734" s="50" t="e">
        <f>'Raw Data'!#REF!/O$1</f>
        <v>#REF!</v>
      </c>
      <c r="P734" s="50" t="str">
        <f t="shared" si="101"/>
        <v/>
      </c>
      <c r="Q734" s="50" t="e">
        <f t="shared" si="102"/>
        <v>#REF!</v>
      </c>
    </row>
    <row r="735" spans="1:17">
      <c r="A735" s="101" t="s">
        <v>210</v>
      </c>
      <c r="B735" s="101">
        <v>4</v>
      </c>
      <c r="C735" s="101">
        <v>2024</v>
      </c>
      <c r="D735" s="101" t="s">
        <v>211</v>
      </c>
      <c r="E735" s="101" t="s">
        <v>211</v>
      </c>
      <c r="F735" s="195">
        <v>45383</v>
      </c>
      <c r="G735" s="101">
        <f t="shared" si="100"/>
        <v>30</v>
      </c>
      <c r="H735" s="103">
        <f t="shared" si="94"/>
        <v>45384</v>
      </c>
      <c r="I735" s="141">
        <f>_xlfn.XLOOKUP(Table12[[#This Row],[Month Year]],'Modelling New'!D:D,'Modelling New'!N:N)</f>
        <v>10.507</v>
      </c>
      <c r="J735" s="50" t="e">
        <f>'Raw Data'!#REF!/J$1</f>
        <v>#REF!</v>
      </c>
      <c r="K735" s="50" t="e">
        <f>'Raw Data'!#REF!/K$1</f>
        <v>#REF!</v>
      </c>
      <c r="L735" s="50" t="e">
        <f>'Raw Data'!#REF!/L$1</f>
        <v>#REF!</v>
      </c>
      <c r="M735" s="50" t="e">
        <f>'Raw Data'!#REF!/M$1</f>
        <v>#REF!</v>
      </c>
      <c r="N735" s="50" t="e">
        <f>'Raw Data'!#REF!/N$1</f>
        <v>#REF!</v>
      </c>
      <c r="O735" s="50" t="e">
        <f>'Raw Data'!#REF!/O$1</f>
        <v>#REF!</v>
      </c>
      <c r="P735" s="50" t="str">
        <f t="shared" si="101"/>
        <v/>
      </c>
      <c r="Q735" s="50" t="e">
        <f t="shared" si="102"/>
        <v>#REF!</v>
      </c>
    </row>
    <row r="736" spans="1:17">
      <c r="A736" s="101" t="s">
        <v>210</v>
      </c>
      <c r="B736" s="101">
        <v>4</v>
      </c>
      <c r="C736" s="101">
        <v>2024</v>
      </c>
      <c r="D736" s="101" t="s">
        <v>211</v>
      </c>
      <c r="E736" s="101" t="s">
        <v>211</v>
      </c>
      <c r="F736" s="195">
        <v>45383</v>
      </c>
      <c r="G736" s="101">
        <f t="shared" si="100"/>
        <v>30</v>
      </c>
      <c r="H736" s="103">
        <f t="shared" si="94"/>
        <v>45385</v>
      </c>
      <c r="I736" s="141">
        <f>_xlfn.XLOOKUP(Table12[[#This Row],[Month Year]],'Modelling New'!D:D,'Modelling New'!N:N)</f>
        <v>10.507</v>
      </c>
      <c r="J736" s="50" t="e">
        <f>'Raw Data'!#REF!/J$1</f>
        <v>#REF!</v>
      </c>
      <c r="K736" s="50" t="e">
        <f>'Raw Data'!#REF!/K$1</f>
        <v>#REF!</v>
      </c>
      <c r="L736" s="50" t="e">
        <f>'Raw Data'!#REF!/L$1</f>
        <v>#REF!</v>
      </c>
      <c r="M736" s="50" t="e">
        <f>'Raw Data'!#REF!/M$1</f>
        <v>#REF!</v>
      </c>
      <c r="N736" s="50" t="e">
        <f>'Raw Data'!#REF!/N$1</f>
        <v>#REF!</v>
      </c>
      <c r="O736" s="50" t="e">
        <f>'Raw Data'!#REF!/O$1</f>
        <v>#REF!</v>
      </c>
      <c r="P736" s="50" t="str">
        <f t="shared" si="101"/>
        <v/>
      </c>
      <c r="Q736" s="50" t="e">
        <f t="shared" si="102"/>
        <v>#REF!</v>
      </c>
    </row>
    <row r="737" spans="1:17">
      <c r="A737" s="101" t="s">
        <v>210</v>
      </c>
      <c r="B737" s="101">
        <v>4</v>
      </c>
      <c r="C737" s="101">
        <v>2024</v>
      </c>
      <c r="D737" s="101" t="s">
        <v>211</v>
      </c>
      <c r="E737" s="101" t="s">
        <v>211</v>
      </c>
      <c r="F737" s="195">
        <v>45383</v>
      </c>
      <c r="G737" s="101">
        <f t="shared" si="100"/>
        <v>30</v>
      </c>
      <c r="H737" s="103">
        <f t="shared" si="94"/>
        <v>45386</v>
      </c>
      <c r="I737" s="141">
        <f>_xlfn.XLOOKUP(Table12[[#This Row],[Month Year]],'Modelling New'!D:D,'Modelling New'!N:N)</f>
        <v>10.507</v>
      </c>
      <c r="J737" s="50" t="e">
        <f>'Raw Data'!#REF!/J$1</f>
        <v>#REF!</v>
      </c>
      <c r="K737" s="50" t="e">
        <f>'Raw Data'!#REF!/K$1</f>
        <v>#REF!</v>
      </c>
      <c r="L737" s="50" t="e">
        <f>'Raw Data'!#REF!/L$1</f>
        <v>#REF!</v>
      </c>
      <c r="M737" s="50" t="e">
        <f>'Raw Data'!#REF!/M$1</f>
        <v>#REF!</v>
      </c>
      <c r="N737" s="50" t="e">
        <f>'Raw Data'!#REF!/N$1</f>
        <v>#REF!</v>
      </c>
      <c r="O737" s="50" t="e">
        <f>'Raw Data'!#REF!/O$1</f>
        <v>#REF!</v>
      </c>
      <c r="P737" s="50" t="str">
        <f t="shared" si="101"/>
        <v/>
      </c>
      <c r="Q737" s="50" t="e">
        <f t="shared" si="102"/>
        <v>#REF!</v>
      </c>
    </row>
    <row r="738" spans="1:17">
      <c r="A738" s="101" t="s">
        <v>210</v>
      </c>
      <c r="B738" s="101">
        <v>4</v>
      </c>
      <c r="C738" s="101">
        <v>2024</v>
      </c>
      <c r="D738" s="101" t="s">
        <v>211</v>
      </c>
      <c r="E738" s="101" t="s">
        <v>211</v>
      </c>
      <c r="F738" s="195">
        <v>45383</v>
      </c>
      <c r="G738" s="101">
        <f t="shared" si="100"/>
        <v>30</v>
      </c>
      <c r="H738" s="103">
        <f t="shared" si="94"/>
        <v>45387</v>
      </c>
      <c r="I738" s="141">
        <f>_xlfn.XLOOKUP(Table12[[#This Row],[Month Year]],'Modelling New'!D:D,'Modelling New'!N:N)</f>
        <v>10.507</v>
      </c>
      <c r="J738" s="50" t="e">
        <f>'Raw Data'!#REF!/J$1</f>
        <v>#REF!</v>
      </c>
      <c r="K738" s="50" t="e">
        <f>'Raw Data'!#REF!/K$1</f>
        <v>#REF!</v>
      </c>
      <c r="L738" s="50" t="e">
        <f>'Raw Data'!#REF!/L$1</f>
        <v>#REF!</v>
      </c>
      <c r="M738" s="50" t="e">
        <f>'Raw Data'!#REF!/M$1</f>
        <v>#REF!</v>
      </c>
      <c r="N738" s="50" t="e">
        <f>'Raw Data'!#REF!/N$1</f>
        <v>#REF!</v>
      </c>
      <c r="O738" s="50" t="e">
        <f>'Raw Data'!#REF!/O$1</f>
        <v>#REF!</v>
      </c>
      <c r="P738" s="50" t="str">
        <f t="shared" si="101"/>
        <v/>
      </c>
      <c r="Q738" s="50" t="e">
        <f t="shared" si="102"/>
        <v>#REF!</v>
      </c>
    </row>
    <row r="739" spans="1:17">
      <c r="A739" s="101" t="s">
        <v>210</v>
      </c>
      <c r="B739" s="101">
        <v>4</v>
      </c>
      <c r="C739" s="101">
        <v>2024</v>
      </c>
      <c r="D739" s="101" t="s">
        <v>211</v>
      </c>
      <c r="E739" s="101" t="s">
        <v>211</v>
      </c>
      <c r="F739" s="195">
        <v>45383</v>
      </c>
      <c r="G739" s="101">
        <f t="shared" si="100"/>
        <v>30</v>
      </c>
      <c r="H739" s="103">
        <f t="shared" si="94"/>
        <v>45388</v>
      </c>
      <c r="I739" s="141">
        <f>_xlfn.XLOOKUP(Table12[[#This Row],[Month Year]],'Modelling New'!D:D,'Modelling New'!N:N)</f>
        <v>10.507</v>
      </c>
      <c r="J739" s="50" t="e">
        <f>'Raw Data'!#REF!/J$1</f>
        <v>#REF!</v>
      </c>
      <c r="K739" s="50" t="e">
        <f>'Raw Data'!#REF!/K$1</f>
        <v>#REF!</v>
      </c>
      <c r="L739" s="50" t="e">
        <f>'Raw Data'!#REF!/L$1</f>
        <v>#REF!</v>
      </c>
      <c r="M739" s="50" t="e">
        <f>'Raw Data'!#REF!/M$1</f>
        <v>#REF!</v>
      </c>
      <c r="N739" s="50" t="e">
        <f>'Raw Data'!#REF!/N$1</f>
        <v>#REF!</v>
      </c>
      <c r="O739" s="50" t="e">
        <f>'Raw Data'!#REF!/O$1</f>
        <v>#REF!</v>
      </c>
      <c r="P739" s="50" t="str">
        <f t="shared" si="101"/>
        <v/>
      </c>
      <c r="Q739" s="50" t="e">
        <f t="shared" si="102"/>
        <v>#REF!</v>
      </c>
    </row>
    <row r="740" spans="1:17">
      <c r="A740" s="101" t="s">
        <v>218</v>
      </c>
      <c r="B740" s="101">
        <v>4</v>
      </c>
      <c r="C740" s="101">
        <v>2024</v>
      </c>
      <c r="D740" s="101" t="s">
        <v>211</v>
      </c>
      <c r="E740" s="101" t="s">
        <v>211</v>
      </c>
      <c r="F740" s="195">
        <v>45383</v>
      </c>
      <c r="G740" s="101">
        <f t="shared" si="100"/>
        <v>30</v>
      </c>
      <c r="H740" s="103">
        <f t="shared" si="94"/>
        <v>45389</v>
      </c>
      <c r="I740" s="141">
        <f>_xlfn.XLOOKUP(Table12[[#This Row],[Month Year]],'Modelling New'!D:D,'Modelling New'!N:N)</f>
        <v>10.507</v>
      </c>
      <c r="J740" s="50" t="e">
        <f>'Raw Data'!#REF!/J$1</f>
        <v>#REF!</v>
      </c>
      <c r="K740" s="50" t="e">
        <f>'Raw Data'!#REF!/K$1</f>
        <v>#REF!</v>
      </c>
      <c r="L740" s="50" t="e">
        <f>'Raw Data'!#REF!/L$1</f>
        <v>#REF!</v>
      </c>
      <c r="M740" s="50" t="e">
        <f>'Raw Data'!#REF!/M$1</f>
        <v>#REF!</v>
      </c>
      <c r="N740" s="50" t="e">
        <f>'Raw Data'!#REF!/N$1</f>
        <v>#REF!</v>
      </c>
      <c r="O740" s="50" t="e">
        <f>'Raw Data'!#REF!/O$1</f>
        <v>#REF!</v>
      </c>
      <c r="P740" s="50" t="str">
        <f t="shared" si="101"/>
        <v/>
      </c>
      <c r="Q740" s="50" t="e">
        <f t="shared" si="102"/>
        <v>#REF!</v>
      </c>
    </row>
    <row r="741" spans="1:17">
      <c r="A741" s="101" t="s">
        <v>212</v>
      </c>
      <c r="B741" s="101">
        <v>4</v>
      </c>
      <c r="C741" s="101">
        <v>2024</v>
      </c>
      <c r="D741" s="101" t="s">
        <v>211</v>
      </c>
      <c r="E741" s="101" t="s">
        <v>211</v>
      </c>
      <c r="F741" s="195">
        <v>45383</v>
      </c>
      <c r="G741" s="101">
        <f t="shared" si="100"/>
        <v>30</v>
      </c>
      <c r="H741" s="103">
        <f t="shared" si="94"/>
        <v>45390</v>
      </c>
      <c r="I741" s="141">
        <f>_xlfn.XLOOKUP(Table12[[#This Row],[Month Year]],'Modelling New'!D:D,'Modelling New'!N:N)</f>
        <v>10.507</v>
      </c>
      <c r="J741" s="50" t="e">
        <f>'Raw Data'!#REF!/J$1</f>
        <v>#REF!</v>
      </c>
      <c r="K741" s="50" t="e">
        <f>'Raw Data'!#REF!/K$1</f>
        <v>#REF!</v>
      </c>
      <c r="L741" s="50" t="e">
        <f>'Raw Data'!#REF!/L$1</f>
        <v>#REF!</v>
      </c>
      <c r="M741" s="50" t="e">
        <f>'Raw Data'!#REF!/M$1</f>
        <v>#REF!</v>
      </c>
      <c r="N741" s="50" t="e">
        <f>'Raw Data'!#REF!/N$1</f>
        <v>#REF!</v>
      </c>
      <c r="O741" s="50" t="e">
        <f>'Raw Data'!#REF!/O$1</f>
        <v>#REF!</v>
      </c>
      <c r="P741" s="50" t="str">
        <f t="shared" si="101"/>
        <v/>
      </c>
      <c r="Q741" s="50" t="e">
        <f t="shared" si="102"/>
        <v>#REF!</v>
      </c>
    </row>
    <row r="742" spans="1:17">
      <c r="A742" s="101" t="s">
        <v>212</v>
      </c>
      <c r="B742" s="101">
        <v>4</v>
      </c>
      <c r="C742" s="101">
        <v>2024</v>
      </c>
      <c r="D742" s="101" t="s">
        <v>211</v>
      </c>
      <c r="E742" s="101" t="s">
        <v>211</v>
      </c>
      <c r="F742" s="195">
        <v>45383</v>
      </c>
      <c r="G742" s="101">
        <f t="shared" si="100"/>
        <v>30</v>
      </c>
      <c r="H742" s="103">
        <f t="shared" si="94"/>
        <v>45391</v>
      </c>
      <c r="I742" s="141">
        <f>_xlfn.XLOOKUP(Table12[[#This Row],[Month Year]],'Modelling New'!D:D,'Modelling New'!N:N)</f>
        <v>10.507</v>
      </c>
      <c r="J742" s="50" t="e">
        <f>'Raw Data'!#REF!/J$1</f>
        <v>#REF!</v>
      </c>
      <c r="K742" s="50" t="e">
        <f>'Raw Data'!#REF!/K$1</f>
        <v>#REF!</v>
      </c>
      <c r="L742" s="50" t="e">
        <f>'Raw Data'!#REF!/L$1</f>
        <v>#REF!</v>
      </c>
      <c r="M742" s="50" t="e">
        <f>'Raw Data'!#REF!/M$1</f>
        <v>#REF!</v>
      </c>
      <c r="N742" s="50" t="e">
        <f>'Raw Data'!#REF!/N$1</f>
        <v>#REF!</v>
      </c>
      <c r="O742" s="50" t="e">
        <f>'Raw Data'!#REF!/O$1</f>
        <v>#REF!</v>
      </c>
      <c r="P742" s="50" t="str">
        <f t="shared" si="101"/>
        <v/>
      </c>
      <c r="Q742" s="50" t="e">
        <f t="shared" si="102"/>
        <v>#REF!</v>
      </c>
    </row>
    <row r="743" spans="1:17">
      <c r="A743" s="101" t="s">
        <v>212</v>
      </c>
      <c r="B743" s="101">
        <v>4</v>
      </c>
      <c r="C743" s="101">
        <v>2024</v>
      </c>
      <c r="D743" s="101" t="s">
        <v>211</v>
      </c>
      <c r="E743" s="101" t="s">
        <v>211</v>
      </c>
      <c r="F743" s="195">
        <v>45383</v>
      </c>
      <c r="G743" s="101">
        <f t="shared" si="100"/>
        <v>30</v>
      </c>
      <c r="H743" s="103">
        <f t="shared" si="94"/>
        <v>45392</v>
      </c>
      <c r="I743" s="141">
        <f>_xlfn.XLOOKUP(Table12[[#This Row],[Month Year]],'Modelling New'!D:D,'Modelling New'!N:N)</f>
        <v>10.507</v>
      </c>
      <c r="J743" s="50" t="e">
        <f>'Raw Data'!#REF!/J$1</f>
        <v>#REF!</v>
      </c>
      <c r="K743" s="50" t="e">
        <f>'Raw Data'!#REF!/K$1</f>
        <v>#REF!</v>
      </c>
      <c r="L743" s="50" t="e">
        <f>'Raw Data'!#REF!/L$1</f>
        <v>#REF!</v>
      </c>
      <c r="M743" s="50" t="e">
        <f>'Raw Data'!#REF!/M$1</f>
        <v>#REF!</v>
      </c>
      <c r="N743" s="50" t="e">
        <f>'Raw Data'!#REF!/N$1</f>
        <v>#REF!</v>
      </c>
      <c r="O743" s="50" t="e">
        <f>'Raw Data'!#REF!/O$1</f>
        <v>#REF!</v>
      </c>
      <c r="P743" s="50" t="str">
        <f t="shared" si="101"/>
        <v/>
      </c>
      <c r="Q743" s="50" t="e">
        <f t="shared" si="102"/>
        <v>#REF!</v>
      </c>
    </row>
    <row r="744" spans="1:17">
      <c r="A744" s="101" t="s">
        <v>212</v>
      </c>
      <c r="B744" s="101">
        <v>4</v>
      </c>
      <c r="C744" s="101">
        <v>2024</v>
      </c>
      <c r="D744" s="101" t="s">
        <v>211</v>
      </c>
      <c r="E744" s="101" t="s">
        <v>211</v>
      </c>
      <c r="F744" s="195">
        <v>45383</v>
      </c>
      <c r="G744" s="101">
        <f t="shared" si="100"/>
        <v>30</v>
      </c>
      <c r="H744" s="103">
        <f t="shared" si="94"/>
        <v>45393</v>
      </c>
      <c r="I744" s="141">
        <f>_xlfn.XLOOKUP(Table12[[#This Row],[Month Year]],'Modelling New'!D:D,'Modelling New'!N:N)</f>
        <v>10.507</v>
      </c>
      <c r="J744" s="50" t="e">
        <f>'Raw Data'!#REF!/J$1</f>
        <v>#REF!</v>
      </c>
      <c r="K744" s="50" t="e">
        <f>'Raw Data'!#REF!/K$1</f>
        <v>#REF!</v>
      </c>
      <c r="L744" s="50" t="e">
        <f>'Raw Data'!#REF!/L$1</f>
        <v>#REF!</v>
      </c>
      <c r="M744" s="50" t="e">
        <f>'Raw Data'!#REF!/M$1</f>
        <v>#REF!</v>
      </c>
      <c r="N744" s="50" t="e">
        <f>'Raw Data'!#REF!/N$1</f>
        <v>#REF!</v>
      </c>
      <c r="O744" s="50" t="e">
        <f>'Raw Data'!#REF!/O$1</f>
        <v>#REF!</v>
      </c>
      <c r="P744" s="50" t="str">
        <f t="shared" si="101"/>
        <v/>
      </c>
      <c r="Q744" s="50" t="e">
        <f t="shared" si="102"/>
        <v>#REF!</v>
      </c>
    </row>
    <row r="745" spans="1:17">
      <c r="A745" s="101" t="s">
        <v>212</v>
      </c>
      <c r="B745" s="101">
        <v>4</v>
      </c>
      <c r="C745" s="101">
        <v>2024</v>
      </c>
      <c r="D745" s="101" t="s">
        <v>211</v>
      </c>
      <c r="E745" s="101" t="s">
        <v>211</v>
      </c>
      <c r="F745" s="195">
        <v>45383</v>
      </c>
      <c r="G745" s="101">
        <f t="shared" si="100"/>
        <v>30</v>
      </c>
      <c r="H745" s="103">
        <f t="shared" si="94"/>
        <v>45394</v>
      </c>
      <c r="I745" s="141">
        <f>_xlfn.XLOOKUP(Table12[[#This Row],[Month Year]],'Modelling New'!D:D,'Modelling New'!N:N)</f>
        <v>10.507</v>
      </c>
      <c r="J745" s="50" t="e">
        <f>'Raw Data'!#REF!/J$1</f>
        <v>#REF!</v>
      </c>
      <c r="K745" s="50" t="e">
        <f>'Raw Data'!#REF!/K$1</f>
        <v>#REF!</v>
      </c>
      <c r="L745" s="50" t="e">
        <f>'Raw Data'!#REF!/L$1</f>
        <v>#REF!</v>
      </c>
      <c r="M745" s="50" t="e">
        <f>'Raw Data'!#REF!/M$1</f>
        <v>#REF!</v>
      </c>
      <c r="N745" s="50" t="e">
        <f>'Raw Data'!#REF!/N$1</f>
        <v>#REF!</v>
      </c>
      <c r="O745" s="50" t="e">
        <f>'Raw Data'!#REF!/O$1</f>
        <v>#REF!</v>
      </c>
      <c r="P745" s="50" t="str">
        <f t="shared" si="101"/>
        <v/>
      </c>
      <c r="Q745" s="50" t="e">
        <f t="shared" si="102"/>
        <v>#REF!</v>
      </c>
    </row>
    <row r="746" spans="1:17">
      <c r="A746" s="101" t="s">
        <v>212</v>
      </c>
      <c r="B746" s="101">
        <v>4</v>
      </c>
      <c r="C746" s="101">
        <v>2024</v>
      </c>
      <c r="D746" s="101" t="s">
        <v>211</v>
      </c>
      <c r="E746" s="101" t="s">
        <v>211</v>
      </c>
      <c r="F746" s="194">
        <v>45383</v>
      </c>
      <c r="G746" s="101">
        <f t="shared" ref="G746" si="103">DAY(EOMONTH(F746,0))</f>
        <v>30</v>
      </c>
      <c r="H746" s="103">
        <f t="shared" si="94"/>
        <v>45395</v>
      </c>
      <c r="I746" s="141">
        <f>_xlfn.XLOOKUP(Table12[[#This Row],[Month Year]],'Modelling New'!D:D,'Modelling New'!N:N)</f>
        <v>10.507</v>
      </c>
      <c r="J746" s="50" t="e">
        <f>'Raw Data'!#REF!/J$1</f>
        <v>#REF!</v>
      </c>
      <c r="K746" s="50" t="e">
        <f>'Raw Data'!#REF!/K$1</f>
        <v>#REF!</v>
      </c>
      <c r="L746" s="50" t="e">
        <f>'Raw Data'!#REF!/L$1</f>
        <v>#REF!</v>
      </c>
      <c r="M746" s="50" t="e">
        <f>'Raw Data'!#REF!/M$1</f>
        <v>#REF!</v>
      </c>
      <c r="N746" s="50" t="e">
        <f>'Raw Data'!#REF!/N$1</f>
        <v>#REF!</v>
      </c>
      <c r="O746" s="50" t="e">
        <f>'Raw Data'!#REF!/O$1</f>
        <v>#REF!</v>
      </c>
      <c r="P746" s="50" t="str">
        <f>IFERROR(AVERAGEIF(J746:O746,"&gt;"&amp;0,J746:O746),"")</f>
        <v/>
      </c>
      <c r="Q746" s="50" t="e">
        <f>MAXA(J746:O746)</f>
        <v>#REF!</v>
      </c>
    </row>
    <row r="747" spans="1:17">
      <c r="A747" s="101" t="s">
        <v>212</v>
      </c>
      <c r="B747" s="101">
        <v>4</v>
      </c>
      <c r="C747" s="101">
        <v>2024</v>
      </c>
      <c r="D747" s="101" t="s">
        <v>211</v>
      </c>
      <c r="E747" s="101" t="s">
        <v>211</v>
      </c>
      <c r="F747" s="194">
        <v>45383</v>
      </c>
      <c r="G747" s="101">
        <f t="shared" ref="G747:G756" si="104">DAY(EOMONTH(F747,0))</f>
        <v>30</v>
      </c>
      <c r="H747" s="103">
        <f t="shared" si="94"/>
        <v>45396</v>
      </c>
      <c r="I747" s="141">
        <f>_xlfn.XLOOKUP(Table12[[#This Row],[Month Year]],'Modelling New'!D:D,'Modelling New'!N:N)</f>
        <v>10.507</v>
      </c>
      <c r="J747" s="50" t="e">
        <f>'Raw Data'!#REF!/J$1</f>
        <v>#REF!</v>
      </c>
      <c r="K747" s="50" t="e">
        <f>'Raw Data'!#REF!/K$1</f>
        <v>#REF!</v>
      </c>
      <c r="L747" s="50" t="e">
        <f>'Raw Data'!#REF!/L$1</f>
        <v>#REF!</v>
      </c>
      <c r="M747" s="50" t="e">
        <f>'Raw Data'!#REF!/M$1</f>
        <v>#REF!</v>
      </c>
      <c r="N747" s="50" t="e">
        <f>'Raw Data'!#REF!/N$1</f>
        <v>#REF!</v>
      </c>
      <c r="O747" s="50" t="e">
        <f>'Raw Data'!#REF!/O$1</f>
        <v>#REF!</v>
      </c>
      <c r="P747" s="50" t="str">
        <f t="shared" ref="P747:P756" si="105">IFERROR(AVERAGEIF(J747:O747,"&gt;"&amp;0,J747:O747),"")</f>
        <v/>
      </c>
      <c r="Q747" s="50" t="e">
        <f t="shared" ref="Q747:Q756" si="106">MAXA(J747:O747)</f>
        <v>#REF!</v>
      </c>
    </row>
    <row r="748" spans="1:17">
      <c r="A748" s="101" t="s">
        <v>212</v>
      </c>
      <c r="B748" s="101">
        <v>4</v>
      </c>
      <c r="C748" s="101">
        <v>2024</v>
      </c>
      <c r="D748" s="101" t="s">
        <v>211</v>
      </c>
      <c r="E748" s="101" t="s">
        <v>211</v>
      </c>
      <c r="F748" s="194">
        <v>45383</v>
      </c>
      <c r="G748" s="101">
        <f t="shared" si="104"/>
        <v>30</v>
      </c>
      <c r="H748" s="103">
        <f t="shared" si="94"/>
        <v>45397</v>
      </c>
      <c r="I748" s="141">
        <f>_xlfn.XLOOKUP(Table12[[#This Row],[Month Year]],'Modelling New'!D:D,'Modelling New'!N:N)</f>
        <v>10.507</v>
      </c>
      <c r="J748" s="50" t="e">
        <f>'Raw Data'!#REF!/J$1</f>
        <v>#REF!</v>
      </c>
      <c r="K748" s="50" t="e">
        <f>'Raw Data'!#REF!/K$1</f>
        <v>#REF!</v>
      </c>
      <c r="L748" s="50" t="e">
        <f>'Raw Data'!#REF!/L$1</f>
        <v>#REF!</v>
      </c>
      <c r="M748" s="50" t="e">
        <f>'Raw Data'!#REF!/M$1</f>
        <v>#REF!</v>
      </c>
      <c r="N748" s="50" t="e">
        <f>'Raw Data'!#REF!/N$1</f>
        <v>#REF!</v>
      </c>
      <c r="O748" s="50" t="e">
        <f>'Raw Data'!#REF!/O$1</f>
        <v>#REF!</v>
      </c>
      <c r="P748" s="50" t="str">
        <f t="shared" si="105"/>
        <v/>
      </c>
      <c r="Q748" s="50" t="e">
        <f t="shared" si="106"/>
        <v>#REF!</v>
      </c>
    </row>
    <row r="749" spans="1:17">
      <c r="A749" s="101" t="s">
        <v>212</v>
      </c>
      <c r="B749" s="101">
        <v>4</v>
      </c>
      <c r="C749" s="101">
        <v>2024</v>
      </c>
      <c r="D749" s="101" t="s">
        <v>211</v>
      </c>
      <c r="E749" s="101" t="s">
        <v>211</v>
      </c>
      <c r="F749" s="194">
        <v>45383</v>
      </c>
      <c r="G749" s="101">
        <f t="shared" si="104"/>
        <v>30</v>
      </c>
      <c r="H749" s="103">
        <f t="shared" si="94"/>
        <v>45398</v>
      </c>
      <c r="I749" s="141">
        <f>_xlfn.XLOOKUP(Table12[[#This Row],[Month Year]],'Modelling New'!D:D,'Modelling New'!N:N)</f>
        <v>10.507</v>
      </c>
      <c r="J749" s="50" t="e">
        <f>'Raw Data'!#REF!/J$1</f>
        <v>#REF!</v>
      </c>
      <c r="K749" s="50" t="e">
        <f>'Raw Data'!#REF!/K$1</f>
        <v>#REF!</v>
      </c>
      <c r="L749" s="50" t="e">
        <f>'Raw Data'!#REF!/L$1</f>
        <v>#REF!</v>
      </c>
      <c r="M749" s="50" t="e">
        <f>'Raw Data'!#REF!/M$1</f>
        <v>#REF!</v>
      </c>
      <c r="N749" s="50" t="e">
        <f>'Raw Data'!#REF!/N$1</f>
        <v>#REF!</v>
      </c>
      <c r="O749" s="50" t="e">
        <f>'Raw Data'!#REF!/O$1</f>
        <v>#REF!</v>
      </c>
      <c r="P749" s="50" t="str">
        <f t="shared" si="105"/>
        <v/>
      </c>
      <c r="Q749" s="50" t="e">
        <f t="shared" si="106"/>
        <v>#REF!</v>
      </c>
    </row>
    <row r="750" spans="1:17">
      <c r="A750" s="101" t="s">
        <v>212</v>
      </c>
      <c r="B750" s="101">
        <v>4</v>
      </c>
      <c r="C750" s="101">
        <v>2024</v>
      </c>
      <c r="D750" s="101" t="s">
        <v>211</v>
      </c>
      <c r="E750" s="101" t="s">
        <v>211</v>
      </c>
      <c r="F750" s="194">
        <v>45383</v>
      </c>
      <c r="G750" s="101">
        <f t="shared" si="104"/>
        <v>30</v>
      </c>
      <c r="H750" s="103">
        <f t="shared" si="94"/>
        <v>45399</v>
      </c>
      <c r="I750" s="141">
        <f>_xlfn.XLOOKUP(Table12[[#This Row],[Month Year]],'Modelling New'!D:D,'Modelling New'!N:N)</f>
        <v>10.507</v>
      </c>
      <c r="J750" s="50" t="e">
        <f>'Raw Data'!#REF!/J$1</f>
        <v>#REF!</v>
      </c>
      <c r="K750" s="50" t="e">
        <f>'Raw Data'!#REF!/K$1</f>
        <v>#REF!</v>
      </c>
      <c r="L750" s="50" t="e">
        <f>'Raw Data'!#REF!/L$1</f>
        <v>#REF!</v>
      </c>
      <c r="M750" s="50" t="e">
        <f>'Raw Data'!#REF!/M$1</f>
        <v>#REF!</v>
      </c>
      <c r="N750" s="50" t="e">
        <f>'Raw Data'!#REF!/N$1</f>
        <v>#REF!</v>
      </c>
      <c r="O750" s="50" t="e">
        <f>'Raw Data'!#REF!/O$1</f>
        <v>#REF!</v>
      </c>
      <c r="P750" s="50" t="str">
        <f t="shared" si="105"/>
        <v/>
      </c>
      <c r="Q750" s="50" t="e">
        <f t="shared" si="106"/>
        <v>#REF!</v>
      </c>
    </row>
    <row r="751" spans="1:17">
      <c r="A751" s="101" t="s">
        <v>212</v>
      </c>
      <c r="B751" s="101">
        <v>4</v>
      </c>
      <c r="C751" s="101">
        <v>2024</v>
      </c>
      <c r="D751" s="101" t="s">
        <v>211</v>
      </c>
      <c r="E751" s="101" t="s">
        <v>211</v>
      </c>
      <c r="F751" s="194">
        <v>45383</v>
      </c>
      <c r="G751" s="101">
        <f t="shared" si="104"/>
        <v>30</v>
      </c>
      <c r="H751" s="103">
        <f t="shared" si="94"/>
        <v>45400</v>
      </c>
      <c r="I751" s="141">
        <f>_xlfn.XLOOKUP(Table12[[#This Row],[Month Year]],'Modelling New'!D:D,'Modelling New'!N:N)</f>
        <v>10.507</v>
      </c>
      <c r="J751" s="50" t="e">
        <f>'Raw Data'!#REF!/J$1</f>
        <v>#REF!</v>
      </c>
      <c r="K751" s="50" t="e">
        <f>'Raw Data'!#REF!/K$1</f>
        <v>#REF!</v>
      </c>
      <c r="L751" s="50" t="e">
        <f>'Raw Data'!#REF!/L$1</f>
        <v>#REF!</v>
      </c>
      <c r="M751" s="50" t="e">
        <f>'Raw Data'!#REF!/M$1</f>
        <v>#REF!</v>
      </c>
      <c r="N751" s="50" t="e">
        <f>'Raw Data'!#REF!/N$1</f>
        <v>#REF!</v>
      </c>
      <c r="O751" s="50" t="e">
        <f>'Raw Data'!#REF!/O$1</f>
        <v>#REF!</v>
      </c>
      <c r="P751" s="50" t="str">
        <f t="shared" si="105"/>
        <v/>
      </c>
      <c r="Q751" s="50" t="e">
        <f t="shared" si="106"/>
        <v>#REF!</v>
      </c>
    </row>
    <row r="752" spans="1:17">
      <c r="A752" s="101" t="s">
        <v>212</v>
      </c>
      <c r="B752" s="101">
        <v>4</v>
      </c>
      <c r="C752" s="101">
        <v>2024</v>
      </c>
      <c r="D752" s="101" t="s">
        <v>211</v>
      </c>
      <c r="E752" s="101" t="s">
        <v>211</v>
      </c>
      <c r="F752" s="194">
        <v>45383</v>
      </c>
      <c r="G752" s="101">
        <f t="shared" si="104"/>
        <v>30</v>
      </c>
      <c r="H752" s="103">
        <f t="shared" si="94"/>
        <v>45401</v>
      </c>
      <c r="I752" s="141">
        <f>_xlfn.XLOOKUP(Table12[[#This Row],[Month Year]],'Modelling New'!D:D,'Modelling New'!N:N)</f>
        <v>10.507</v>
      </c>
      <c r="J752" s="50" t="e">
        <f>'Raw Data'!#REF!/J$1</f>
        <v>#REF!</v>
      </c>
      <c r="K752" s="50" t="e">
        <f>'Raw Data'!#REF!/K$1</f>
        <v>#REF!</v>
      </c>
      <c r="L752" s="50" t="e">
        <f>'Raw Data'!#REF!/L$1</f>
        <v>#REF!</v>
      </c>
      <c r="M752" s="50" t="e">
        <f>'Raw Data'!#REF!/M$1</f>
        <v>#REF!</v>
      </c>
      <c r="N752" s="50" t="e">
        <f>'Raw Data'!#REF!/N$1</f>
        <v>#REF!</v>
      </c>
      <c r="O752" s="50" t="e">
        <f>'Raw Data'!#REF!/O$1</f>
        <v>#REF!</v>
      </c>
      <c r="P752" s="50" t="str">
        <f t="shared" si="105"/>
        <v/>
      </c>
      <c r="Q752" s="50" t="e">
        <f t="shared" si="106"/>
        <v>#REF!</v>
      </c>
    </row>
    <row r="753" spans="1:17">
      <c r="A753" s="101" t="s">
        <v>212</v>
      </c>
      <c r="B753" s="101">
        <v>4</v>
      </c>
      <c r="C753" s="101">
        <v>2024</v>
      </c>
      <c r="D753" s="101" t="s">
        <v>211</v>
      </c>
      <c r="E753" s="101" t="s">
        <v>211</v>
      </c>
      <c r="F753" s="194">
        <v>45383</v>
      </c>
      <c r="G753" s="101">
        <f t="shared" si="104"/>
        <v>30</v>
      </c>
      <c r="H753" s="103">
        <f t="shared" si="94"/>
        <v>45402</v>
      </c>
      <c r="I753" s="141">
        <f>_xlfn.XLOOKUP(Table12[[#This Row],[Month Year]],'Modelling New'!D:D,'Modelling New'!N:N)</f>
        <v>10.507</v>
      </c>
      <c r="J753" s="50" t="e">
        <f>'Raw Data'!#REF!/J$1</f>
        <v>#REF!</v>
      </c>
      <c r="K753" s="50" t="e">
        <f>'Raw Data'!#REF!/K$1</f>
        <v>#REF!</v>
      </c>
      <c r="L753" s="50" t="e">
        <f>'Raw Data'!#REF!/L$1</f>
        <v>#REF!</v>
      </c>
      <c r="M753" s="50" t="e">
        <f>'Raw Data'!#REF!/M$1</f>
        <v>#REF!</v>
      </c>
      <c r="N753" s="50" t="e">
        <f>'Raw Data'!#REF!/N$1</f>
        <v>#REF!</v>
      </c>
      <c r="O753" s="50" t="e">
        <f>'Raw Data'!#REF!/O$1</f>
        <v>#REF!</v>
      </c>
      <c r="P753" s="50" t="str">
        <f t="shared" si="105"/>
        <v/>
      </c>
      <c r="Q753" s="50" t="e">
        <f t="shared" si="106"/>
        <v>#REF!</v>
      </c>
    </row>
    <row r="754" spans="1:17">
      <c r="A754" s="101" t="s">
        <v>212</v>
      </c>
      <c r="B754" s="101">
        <v>4</v>
      </c>
      <c r="C754" s="101">
        <v>2024</v>
      </c>
      <c r="D754" s="101" t="s">
        <v>211</v>
      </c>
      <c r="E754" s="101" t="s">
        <v>211</v>
      </c>
      <c r="F754" s="194">
        <v>45383</v>
      </c>
      <c r="G754" s="101">
        <f t="shared" si="104"/>
        <v>30</v>
      </c>
      <c r="H754" s="103">
        <f t="shared" si="94"/>
        <v>45403</v>
      </c>
      <c r="I754" s="141">
        <f>_xlfn.XLOOKUP(Table12[[#This Row],[Month Year]],'Modelling New'!D:D,'Modelling New'!N:N)</f>
        <v>10.507</v>
      </c>
      <c r="J754" s="50" t="e">
        <f>'Raw Data'!#REF!/J$1</f>
        <v>#REF!</v>
      </c>
      <c r="K754" s="50" t="e">
        <f>'Raw Data'!#REF!/K$1</f>
        <v>#REF!</v>
      </c>
      <c r="L754" s="50" t="e">
        <f>'Raw Data'!#REF!/L$1</f>
        <v>#REF!</v>
      </c>
      <c r="M754" s="50" t="e">
        <f>'Raw Data'!#REF!/M$1</f>
        <v>#REF!</v>
      </c>
      <c r="N754" s="50" t="e">
        <f>'Raw Data'!#REF!/N$1</f>
        <v>#REF!</v>
      </c>
      <c r="O754" s="50" t="e">
        <f>'Raw Data'!#REF!/O$1</f>
        <v>#REF!</v>
      </c>
      <c r="P754" s="50" t="str">
        <f t="shared" si="105"/>
        <v/>
      </c>
      <c r="Q754" s="50" t="e">
        <f t="shared" si="106"/>
        <v>#REF!</v>
      </c>
    </row>
    <row r="755" spans="1:17">
      <c r="A755" s="101" t="s">
        <v>212</v>
      </c>
      <c r="B755" s="101">
        <v>4</v>
      </c>
      <c r="C755" s="101">
        <v>2024</v>
      </c>
      <c r="D755" s="101" t="s">
        <v>211</v>
      </c>
      <c r="E755" s="101" t="s">
        <v>211</v>
      </c>
      <c r="F755" s="194">
        <v>45383</v>
      </c>
      <c r="G755" s="101">
        <f t="shared" si="104"/>
        <v>30</v>
      </c>
      <c r="H755" s="103">
        <f t="shared" si="94"/>
        <v>45404</v>
      </c>
      <c r="I755" s="141">
        <f>_xlfn.XLOOKUP(Table12[[#This Row],[Month Year]],'Modelling New'!D:D,'Modelling New'!N:N)</f>
        <v>10.507</v>
      </c>
      <c r="J755" s="50" t="e">
        <f>'Raw Data'!#REF!/J$1</f>
        <v>#REF!</v>
      </c>
      <c r="K755" s="50" t="e">
        <f>'Raw Data'!#REF!/K$1</f>
        <v>#REF!</v>
      </c>
      <c r="L755" s="50" t="e">
        <f>'Raw Data'!#REF!/L$1</f>
        <v>#REF!</v>
      </c>
      <c r="M755" s="50" t="e">
        <f>'Raw Data'!#REF!/M$1</f>
        <v>#REF!</v>
      </c>
      <c r="N755" s="50" t="e">
        <f>'Raw Data'!#REF!/N$1</f>
        <v>#REF!</v>
      </c>
      <c r="O755" s="50" t="e">
        <f>'Raw Data'!#REF!/O$1</f>
        <v>#REF!</v>
      </c>
      <c r="P755" s="50" t="str">
        <f t="shared" si="105"/>
        <v/>
      </c>
      <c r="Q755" s="50" t="e">
        <f t="shared" si="106"/>
        <v>#REF!</v>
      </c>
    </row>
    <row r="756" spans="1:17">
      <c r="A756" s="101" t="s">
        <v>212</v>
      </c>
      <c r="B756" s="101">
        <v>4</v>
      </c>
      <c r="C756" s="101">
        <v>2024</v>
      </c>
      <c r="D756" s="101" t="s">
        <v>211</v>
      </c>
      <c r="E756" s="101" t="s">
        <v>211</v>
      </c>
      <c r="F756" s="194">
        <v>45383</v>
      </c>
      <c r="G756" s="101">
        <f t="shared" si="104"/>
        <v>30</v>
      </c>
      <c r="H756" s="103">
        <f t="shared" si="94"/>
        <v>45405</v>
      </c>
      <c r="I756" s="141">
        <f>_xlfn.XLOOKUP(Table12[[#This Row],[Month Year]],'Modelling New'!D:D,'Modelling New'!N:N)</f>
        <v>10.507</v>
      </c>
      <c r="J756" s="50" t="e">
        <f>'Raw Data'!#REF!/J$1</f>
        <v>#REF!</v>
      </c>
      <c r="K756" s="50" t="e">
        <f>'Raw Data'!#REF!/K$1</f>
        <v>#REF!</v>
      </c>
      <c r="L756" s="50" t="e">
        <f>'Raw Data'!#REF!/L$1</f>
        <v>#REF!</v>
      </c>
      <c r="M756" s="50" t="e">
        <f>'Raw Data'!#REF!/M$1</f>
        <v>#REF!</v>
      </c>
      <c r="N756" s="50" t="e">
        <f>'Raw Data'!#REF!/N$1</f>
        <v>#REF!</v>
      </c>
      <c r="O756" s="50" t="e">
        <f>'Raw Data'!#REF!/O$1</f>
        <v>#REF!</v>
      </c>
      <c r="P756" s="50" t="str">
        <f t="shared" si="105"/>
        <v/>
      </c>
      <c r="Q756" s="50" t="e">
        <f t="shared" si="106"/>
        <v>#REF!</v>
      </c>
    </row>
    <row r="757" spans="1:17">
      <c r="A757" s="101" t="s">
        <v>212</v>
      </c>
      <c r="B757" s="101">
        <v>4</v>
      </c>
      <c r="C757" s="101">
        <v>2024</v>
      </c>
      <c r="D757" s="101" t="s">
        <v>211</v>
      </c>
      <c r="E757" s="101" t="s">
        <v>211</v>
      </c>
      <c r="F757" s="194">
        <v>45383</v>
      </c>
      <c r="G757" s="101">
        <f t="shared" ref="G757:G770" si="107">DAY(EOMONTH(F757,0))</f>
        <v>30</v>
      </c>
      <c r="H757" s="103">
        <f t="shared" si="94"/>
        <v>45406</v>
      </c>
      <c r="I757" s="141">
        <f>_xlfn.XLOOKUP(Table12[[#This Row],[Month Year]],'Modelling New'!D:D,'Modelling New'!N:N)</f>
        <v>10.507</v>
      </c>
      <c r="J757" s="50" t="e">
        <f>'Raw Data'!#REF!/J$1</f>
        <v>#REF!</v>
      </c>
      <c r="K757" s="50" t="e">
        <f>'Raw Data'!#REF!/K$1</f>
        <v>#REF!</v>
      </c>
      <c r="L757" s="50" t="e">
        <f>'Raw Data'!#REF!/L$1</f>
        <v>#REF!</v>
      </c>
      <c r="M757" s="50" t="e">
        <f>'Raw Data'!#REF!/M$1</f>
        <v>#REF!</v>
      </c>
      <c r="N757" s="50" t="e">
        <f>'Raw Data'!#REF!/N$1</f>
        <v>#REF!</v>
      </c>
      <c r="O757" s="50" t="e">
        <f>'Raw Data'!#REF!/O$1</f>
        <v>#REF!</v>
      </c>
      <c r="P757" s="50" t="str">
        <f t="shared" ref="P757:P770" si="108">IFERROR(AVERAGEIF(J757:O757,"&gt;"&amp;0,J757:O757),"")</f>
        <v/>
      </c>
      <c r="Q757" s="50" t="e">
        <f t="shared" ref="Q757:Q770" si="109">MAXA(J757:O757)</f>
        <v>#REF!</v>
      </c>
    </row>
    <row r="758" spans="1:17">
      <c r="A758" s="101" t="s">
        <v>212</v>
      </c>
      <c r="B758" s="101">
        <v>4</v>
      </c>
      <c r="C758" s="101">
        <v>2024</v>
      </c>
      <c r="D758" s="101" t="s">
        <v>211</v>
      </c>
      <c r="E758" s="101" t="s">
        <v>211</v>
      </c>
      <c r="F758" s="194">
        <v>45383</v>
      </c>
      <c r="G758" s="101">
        <f t="shared" si="107"/>
        <v>30</v>
      </c>
      <c r="H758" s="103">
        <f t="shared" si="94"/>
        <v>45407</v>
      </c>
      <c r="I758" s="141">
        <f>_xlfn.XLOOKUP(Table12[[#This Row],[Month Year]],'Modelling New'!D:D,'Modelling New'!N:N)</f>
        <v>10.507</v>
      </c>
      <c r="J758" s="50" t="e">
        <f>'Raw Data'!#REF!/J$1</f>
        <v>#REF!</v>
      </c>
      <c r="K758" s="50" t="e">
        <f>'Raw Data'!#REF!/K$1</f>
        <v>#REF!</v>
      </c>
      <c r="L758" s="50" t="e">
        <f>'Raw Data'!#REF!/L$1</f>
        <v>#REF!</v>
      </c>
      <c r="M758" s="50" t="e">
        <f>'Raw Data'!#REF!/M$1</f>
        <v>#REF!</v>
      </c>
      <c r="N758" s="50" t="e">
        <f>'Raw Data'!#REF!/N$1</f>
        <v>#REF!</v>
      </c>
      <c r="O758" s="50" t="e">
        <f>'Raw Data'!#REF!/O$1</f>
        <v>#REF!</v>
      </c>
      <c r="P758" s="50" t="str">
        <f t="shared" si="108"/>
        <v/>
      </c>
      <c r="Q758" s="50" t="e">
        <f t="shared" si="109"/>
        <v>#REF!</v>
      </c>
    </row>
    <row r="759" spans="1:17">
      <c r="A759" s="101" t="s">
        <v>212</v>
      </c>
      <c r="B759" s="101">
        <v>4</v>
      </c>
      <c r="C759" s="101">
        <v>2024</v>
      </c>
      <c r="D759" s="101" t="s">
        <v>211</v>
      </c>
      <c r="E759" s="101" t="s">
        <v>211</v>
      </c>
      <c r="F759" s="194">
        <v>45383</v>
      </c>
      <c r="G759" s="101">
        <f t="shared" si="107"/>
        <v>30</v>
      </c>
      <c r="H759" s="103">
        <f t="shared" si="94"/>
        <v>45408</v>
      </c>
      <c r="I759" s="141">
        <f>_xlfn.XLOOKUP(Table12[[#This Row],[Month Year]],'Modelling New'!D:D,'Modelling New'!N:N)</f>
        <v>10.507</v>
      </c>
      <c r="J759" s="50" t="e">
        <f>'Raw Data'!#REF!/J$1</f>
        <v>#REF!</v>
      </c>
      <c r="K759" s="50" t="e">
        <f>'Raw Data'!#REF!/K$1</f>
        <v>#REF!</v>
      </c>
      <c r="L759" s="50" t="e">
        <f>'Raw Data'!#REF!/L$1</f>
        <v>#REF!</v>
      </c>
      <c r="M759" s="50" t="e">
        <f>'Raw Data'!#REF!/M$1</f>
        <v>#REF!</v>
      </c>
      <c r="N759" s="50" t="e">
        <f>'Raw Data'!#REF!/N$1</f>
        <v>#REF!</v>
      </c>
      <c r="O759" s="50" t="e">
        <f>'Raw Data'!#REF!/O$1</f>
        <v>#REF!</v>
      </c>
      <c r="P759" s="50" t="str">
        <f t="shared" si="108"/>
        <v/>
      </c>
      <c r="Q759" s="50" t="e">
        <f t="shared" si="109"/>
        <v>#REF!</v>
      </c>
    </row>
    <row r="760" spans="1:17">
      <c r="A760" s="101" t="s">
        <v>212</v>
      </c>
      <c r="B760" s="101">
        <v>4</v>
      </c>
      <c r="C760" s="101">
        <v>2024</v>
      </c>
      <c r="D760" s="101" t="s">
        <v>211</v>
      </c>
      <c r="E760" s="101" t="s">
        <v>211</v>
      </c>
      <c r="F760" s="194">
        <v>45383</v>
      </c>
      <c r="G760" s="101">
        <f t="shared" si="107"/>
        <v>30</v>
      </c>
      <c r="H760" s="103">
        <f t="shared" si="94"/>
        <v>45409</v>
      </c>
      <c r="I760" s="141">
        <f>_xlfn.XLOOKUP(Table12[[#This Row],[Month Year]],'Modelling New'!D:D,'Modelling New'!N:N)</f>
        <v>10.507</v>
      </c>
      <c r="J760" s="50" t="e">
        <f>'Raw Data'!#REF!/J$1</f>
        <v>#REF!</v>
      </c>
      <c r="K760" s="50" t="e">
        <f>'Raw Data'!#REF!/K$1</f>
        <v>#REF!</v>
      </c>
      <c r="L760" s="50" t="e">
        <f>'Raw Data'!#REF!/L$1</f>
        <v>#REF!</v>
      </c>
      <c r="M760" s="50" t="e">
        <f>'Raw Data'!#REF!/M$1</f>
        <v>#REF!</v>
      </c>
      <c r="N760" s="50" t="e">
        <f>'Raw Data'!#REF!/N$1</f>
        <v>#REF!</v>
      </c>
      <c r="O760" s="50" t="e">
        <f>'Raw Data'!#REF!/O$1</f>
        <v>#REF!</v>
      </c>
      <c r="P760" s="50" t="str">
        <f t="shared" si="108"/>
        <v/>
      </c>
      <c r="Q760" s="50" t="e">
        <f t="shared" si="109"/>
        <v>#REF!</v>
      </c>
    </row>
    <row r="761" spans="1:17">
      <c r="A761" s="101" t="s">
        <v>212</v>
      </c>
      <c r="B761" s="101">
        <v>4</v>
      </c>
      <c r="C761" s="101">
        <v>2024</v>
      </c>
      <c r="D761" s="101" t="s">
        <v>211</v>
      </c>
      <c r="E761" s="101" t="s">
        <v>211</v>
      </c>
      <c r="F761" s="194">
        <v>45383</v>
      </c>
      <c r="G761" s="101">
        <f t="shared" si="107"/>
        <v>30</v>
      </c>
      <c r="H761" s="103">
        <f t="shared" si="94"/>
        <v>45410</v>
      </c>
      <c r="I761" s="141">
        <f>_xlfn.XLOOKUP(Table12[[#This Row],[Month Year]],'Modelling New'!D:D,'Modelling New'!N:N)</f>
        <v>10.507</v>
      </c>
      <c r="J761" s="50" t="e">
        <f>'Raw Data'!#REF!/J$1</f>
        <v>#REF!</v>
      </c>
      <c r="K761" s="50" t="e">
        <f>'Raw Data'!#REF!/K$1</f>
        <v>#REF!</v>
      </c>
      <c r="L761" s="50" t="e">
        <f>'Raw Data'!#REF!/L$1</f>
        <v>#REF!</v>
      </c>
      <c r="M761" s="50" t="e">
        <f>'Raw Data'!#REF!/M$1</f>
        <v>#REF!</v>
      </c>
      <c r="N761" s="50" t="e">
        <f>'Raw Data'!#REF!/N$1</f>
        <v>#REF!</v>
      </c>
      <c r="O761" s="50" t="e">
        <f>'Raw Data'!#REF!/O$1</f>
        <v>#REF!</v>
      </c>
      <c r="P761" s="50" t="str">
        <f t="shared" si="108"/>
        <v/>
      </c>
      <c r="Q761" s="50" t="e">
        <f t="shared" si="109"/>
        <v>#REF!</v>
      </c>
    </row>
    <row r="762" spans="1:17">
      <c r="A762" s="101" t="s">
        <v>212</v>
      </c>
      <c r="B762" s="101">
        <v>4</v>
      </c>
      <c r="C762" s="101">
        <v>2024</v>
      </c>
      <c r="D762" s="101" t="s">
        <v>211</v>
      </c>
      <c r="E762" s="101" t="s">
        <v>211</v>
      </c>
      <c r="F762" s="194">
        <v>45383</v>
      </c>
      <c r="G762" s="101">
        <f t="shared" si="107"/>
        <v>30</v>
      </c>
      <c r="H762" s="103">
        <f t="shared" si="94"/>
        <v>45411</v>
      </c>
      <c r="I762" s="141">
        <f>_xlfn.XLOOKUP(Table12[[#This Row],[Month Year]],'Modelling New'!D:D,'Modelling New'!N:N)</f>
        <v>10.507</v>
      </c>
      <c r="J762" s="50" t="e">
        <f>'Raw Data'!#REF!/J$1</f>
        <v>#REF!</v>
      </c>
      <c r="K762" s="50" t="e">
        <f>'Raw Data'!#REF!/K$1</f>
        <v>#REF!</v>
      </c>
      <c r="L762" s="50" t="e">
        <f>'Raw Data'!#REF!/L$1</f>
        <v>#REF!</v>
      </c>
      <c r="M762" s="50" t="e">
        <f>'Raw Data'!#REF!/M$1</f>
        <v>#REF!</v>
      </c>
      <c r="N762" s="50" t="e">
        <f>'Raw Data'!#REF!/N$1</f>
        <v>#REF!</v>
      </c>
      <c r="O762" s="50" t="e">
        <f>'Raw Data'!#REF!/O$1</f>
        <v>#REF!</v>
      </c>
      <c r="P762" s="50" t="str">
        <f t="shared" si="108"/>
        <v/>
      </c>
      <c r="Q762" s="50" t="e">
        <f t="shared" si="109"/>
        <v>#REF!</v>
      </c>
    </row>
    <row r="763" spans="1:17">
      <c r="A763" s="101" t="s">
        <v>212</v>
      </c>
      <c r="B763" s="101">
        <v>4</v>
      </c>
      <c r="C763" s="101">
        <v>2024</v>
      </c>
      <c r="D763" s="101" t="s">
        <v>211</v>
      </c>
      <c r="E763" s="101" t="s">
        <v>211</v>
      </c>
      <c r="F763" s="194">
        <v>45383</v>
      </c>
      <c r="G763" s="101">
        <f t="shared" si="107"/>
        <v>30</v>
      </c>
      <c r="H763" s="103">
        <f t="shared" si="94"/>
        <v>45412</v>
      </c>
      <c r="I763" s="141">
        <f>_xlfn.XLOOKUP(Table12[[#This Row],[Month Year]],'Modelling New'!D:D,'Modelling New'!N:N)</f>
        <v>10.507</v>
      </c>
      <c r="J763" s="50" t="e">
        <f>'Raw Data'!#REF!/J$1</f>
        <v>#REF!</v>
      </c>
      <c r="K763" s="50" t="e">
        <f>'Raw Data'!#REF!/K$1</f>
        <v>#REF!</v>
      </c>
      <c r="L763" s="50" t="e">
        <f>'Raw Data'!#REF!/L$1</f>
        <v>#REF!</v>
      </c>
      <c r="M763" s="50" t="e">
        <f>'Raw Data'!#REF!/M$1</f>
        <v>#REF!</v>
      </c>
      <c r="N763" s="50" t="e">
        <f>'Raw Data'!#REF!/N$1</f>
        <v>#REF!</v>
      </c>
      <c r="O763" s="50" t="e">
        <f>'Raw Data'!#REF!/O$1</f>
        <v>#REF!</v>
      </c>
      <c r="P763" s="50" t="str">
        <f t="shared" si="108"/>
        <v/>
      </c>
      <c r="Q763" s="50" t="e">
        <f t="shared" si="109"/>
        <v>#REF!</v>
      </c>
    </row>
    <row r="764" spans="1:17">
      <c r="A764" s="101" t="s">
        <v>212</v>
      </c>
      <c r="B764" s="101">
        <v>5</v>
      </c>
      <c r="C764" s="101">
        <v>2024</v>
      </c>
      <c r="D764" s="101" t="s">
        <v>211</v>
      </c>
      <c r="E764" s="101" t="s">
        <v>211</v>
      </c>
      <c r="F764" s="194">
        <v>45413</v>
      </c>
      <c r="G764" s="101">
        <f t="shared" si="107"/>
        <v>31</v>
      </c>
      <c r="H764" s="103">
        <f t="shared" si="94"/>
        <v>45413</v>
      </c>
      <c r="I764" s="141">
        <f>_xlfn.XLOOKUP(Table12[[#This Row],[Month Year]],'Modelling New'!D:D,'Modelling New'!N:N)</f>
        <v>10.507</v>
      </c>
      <c r="J764" s="50" t="e">
        <f>'Raw Data'!#REF!/J$1</f>
        <v>#REF!</v>
      </c>
      <c r="K764" s="50" t="e">
        <f>'Raw Data'!#REF!/K$1</f>
        <v>#REF!</v>
      </c>
      <c r="L764" s="50" t="e">
        <f>'Raw Data'!#REF!/L$1</f>
        <v>#REF!</v>
      </c>
      <c r="M764" s="50" t="e">
        <f>'Raw Data'!#REF!/M$1</f>
        <v>#REF!</v>
      </c>
      <c r="N764" s="50" t="e">
        <f>'Raw Data'!#REF!/N$1</f>
        <v>#REF!</v>
      </c>
      <c r="O764" s="50" t="e">
        <f>'Raw Data'!#REF!/O$1</f>
        <v>#REF!</v>
      </c>
      <c r="P764" s="50" t="str">
        <f t="shared" si="108"/>
        <v/>
      </c>
      <c r="Q764" s="50" t="e">
        <f t="shared" si="109"/>
        <v>#REF!</v>
      </c>
    </row>
    <row r="765" spans="1:17">
      <c r="A765" s="101" t="s">
        <v>212</v>
      </c>
      <c r="B765" s="101">
        <v>5</v>
      </c>
      <c r="C765" s="101">
        <v>2024</v>
      </c>
      <c r="D765" s="101" t="s">
        <v>211</v>
      </c>
      <c r="E765" s="101" t="s">
        <v>211</v>
      </c>
      <c r="F765" s="194">
        <v>45413</v>
      </c>
      <c r="G765" s="101">
        <f t="shared" si="107"/>
        <v>31</v>
      </c>
      <c r="H765" s="103">
        <f t="shared" si="94"/>
        <v>45414</v>
      </c>
      <c r="I765" s="141">
        <f>_xlfn.XLOOKUP(Table12[[#This Row],[Month Year]],'Modelling New'!D:D,'Modelling New'!N:N)</f>
        <v>10.507</v>
      </c>
      <c r="J765" s="50" t="e">
        <f>'Raw Data'!#REF!/J$1</f>
        <v>#REF!</v>
      </c>
      <c r="K765" s="50" t="e">
        <f>'Raw Data'!#REF!/K$1</f>
        <v>#REF!</v>
      </c>
      <c r="L765" s="50" t="e">
        <f>'Raw Data'!#REF!/L$1</f>
        <v>#REF!</v>
      </c>
      <c r="M765" s="50" t="e">
        <f>'Raw Data'!#REF!/M$1</f>
        <v>#REF!</v>
      </c>
      <c r="N765" s="50" t="e">
        <f>'Raw Data'!#REF!/N$1</f>
        <v>#REF!</v>
      </c>
      <c r="O765" s="50" t="e">
        <f>'Raw Data'!#REF!/O$1</f>
        <v>#REF!</v>
      </c>
      <c r="P765" s="50" t="str">
        <f t="shared" si="108"/>
        <v/>
      </c>
      <c r="Q765" s="50" t="e">
        <f t="shared" si="109"/>
        <v>#REF!</v>
      </c>
    </row>
    <row r="766" spans="1:17">
      <c r="A766" s="101" t="s">
        <v>212</v>
      </c>
      <c r="B766" s="101">
        <v>5</v>
      </c>
      <c r="C766" s="101">
        <v>2024</v>
      </c>
      <c r="D766" s="101" t="s">
        <v>211</v>
      </c>
      <c r="E766" s="101" t="s">
        <v>211</v>
      </c>
      <c r="F766" s="194">
        <v>45413</v>
      </c>
      <c r="G766" s="101">
        <f t="shared" si="107"/>
        <v>31</v>
      </c>
      <c r="H766" s="103">
        <f t="shared" si="94"/>
        <v>45415</v>
      </c>
      <c r="I766" s="141">
        <f>_xlfn.XLOOKUP(Table12[[#This Row],[Month Year]],'Modelling New'!D:D,'Modelling New'!N:N)</f>
        <v>10.507</v>
      </c>
      <c r="J766" s="50" t="e">
        <f>'Raw Data'!#REF!/J$1</f>
        <v>#REF!</v>
      </c>
      <c r="K766" s="50" t="e">
        <f>'Raw Data'!#REF!/K$1</f>
        <v>#REF!</v>
      </c>
      <c r="L766" s="50" t="e">
        <f>'Raw Data'!#REF!/L$1</f>
        <v>#REF!</v>
      </c>
      <c r="M766" s="50" t="e">
        <f>'Raw Data'!#REF!/M$1</f>
        <v>#REF!</v>
      </c>
      <c r="N766" s="50" t="e">
        <f>'Raw Data'!#REF!/N$1</f>
        <v>#REF!</v>
      </c>
      <c r="O766" s="50" t="e">
        <f>'Raw Data'!#REF!/O$1</f>
        <v>#REF!</v>
      </c>
      <c r="P766" s="50" t="str">
        <f t="shared" si="108"/>
        <v/>
      </c>
      <c r="Q766" s="50" t="e">
        <f t="shared" si="109"/>
        <v>#REF!</v>
      </c>
    </row>
    <row r="767" spans="1:17">
      <c r="A767" s="101" t="s">
        <v>212</v>
      </c>
      <c r="B767" s="101">
        <v>5</v>
      </c>
      <c r="C767" s="101">
        <v>2024</v>
      </c>
      <c r="D767" s="101" t="s">
        <v>211</v>
      </c>
      <c r="E767" s="101" t="s">
        <v>211</v>
      </c>
      <c r="F767" s="194">
        <v>45413</v>
      </c>
      <c r="G767" s="101">
        <f t="shared" si="107"/>
        <v>31</v>
      </c>
      <c r="H767" s="103">
        <f t="shared" si="94"/>
        <v>45416</v>
      </c>
      <c r="I767" s="141">
        <f>_xlfn.XLOOKUP(Table12[[#This Row],[Month Year]],'Modelling New'!D:D,'Modelling New'!N:N)</f>
        <v>10.507</v>
      </c>
      <c r="J767" s="50" t="e">
        <f>'Raw Data'!#REF!/J$1</f>
        <v>#REF!</v>
      </c>
      <c r="K767" s="50" t="e">
        <f>'Raw Data'!#REF!/K$1</f>
        <v>#REF!</v>
      </c>
      <c r="L767" s="50" t="e">
        <f>'Raw Data'!#REF!/L$1</f>
        <v>#REF!</v>
      </c>
      <c r="M767" s="50" t="e">
        <f>'Raw Data'!#REF!/M$1</f>
        <v>#REF!</v>
      </c>
      <c r="N767" s="50" t="e">
        <f>'Raw Data'!#REF!/N$1</f>
        <v>#REF!</v>
      </c>
      <c r="O767" s="50" t="e">
        <f>'Raw Data'!#REF!/O$1</f>
        <v>#REF!</v>
      </c>
      <c r="P767" s="50" t="str">
        <f t="shared" si="108"/>
        <v/>
      </c>
      <c r="Q767" s="50" t="e">
        <f t="shared" si="109"/>
        <v>#REF!</v>
      </c>
    </row>
    <row r="768" spans="1:17">
      <c r="A768" s="101" t="s">
        <v>212</v>
      </c>
      <c r="B768" s="101">
        <v>5</v>
      </c>
      <c r="C768" s="101">
        <v>2024</v>
      </c>
      <c r="D768" s="101" t="s">
        <v>211</v>
      </c>
      <c r="E768" s="101" t="s">
        <v>211</v>
      </c>
      <c r="F768" s="194">
        <v>45413</v>
      </c>
      <c r="G768" s="101">
        <f t="shared" si="107"/>
        <v>31</v>
      </c>
      <c r="H768" s="103">
        <f t="shared" si="94"/>
        <v>45417</v>
      </c>
      <c r="I768" s="141">
        <f>_xlfn.XLOOKUP(Table12[[#This Row],[Month Year]],'Modelling New'!D:D,'Modelling New'!N:N)</f>
        <v>10.507</v>
      </c>
      <c r="J768" s="50" t="e">
        <f>'Raw Data'!#REF!/J$1</f>
        <v>#REF!</v>
      </c>
      <c r="K768" s="50" t="e">
        <f>'Raw Data'!#REF!/K$1</f>
        <v>#REF!</v>
      </c>
      <c r="L768" s="50" t="e">
        <f>'Raw Data'!#REF!/L$1</f>
        <v>#REF!</v>
      </c>
      <c r="M768" s="50" t="e">
        <f>'Raw Data'!#REF!/M$1</f>
        <v>#REF!</v>
      </c>
      <c r="N768" s="50" t="e">
        <f>'Raw Data'!#REF!/N$1</f>
        <v>#REF!</v>
      </c>
      <c r="O768" s="50" t="e">
        <f>'Raw Data'!#REF!/O$1</f>
        <v>#REF!</v>
      </c>
      <c r="P768" s="50" t="str">
        <f t="shared" si="108"/>
        <v/>
      </c>
      <c r="Q768" s="50" t="e">
        <f t="shared" si="109"/>
        <v>#REF!</v>
      </c>
    </row>
    <row r="769" spans="1:17">
      <c r="A769" s="101" t="s">
        <v>212</v>
      </c>
      <c r="B769" s="101">
        <v>5</v>
      </c>
      <c r="C769" s="101">
        <v>2024</v>
      </c>
      <c r="D769" s="101" t="s">
        <v>211</v>
      </c>
      <c r="E769" s="101" t="s">
        <v>211</v>
      </c>
      <c r="F769" s="194">
        <v>45413</v>
      </c>
      <c r="G769" s="101">
        <f t="shared" si="107"/>
        <v>31</v>
      </c>
      <c r="H769" s="103">
        <f t="shared" si="94"/>
        <v>45418</v>
      </c>
      <c r="I769" s="141">
        <f>_xlfn.XLOOKUP(Table12[[#This Row],[Month Year]],'Modelling New'!D:D,'Modelling New'!N:N)</f>
        <v>10.507</v>
      </c>
      <c r="J769" s="50" t="e">
        <f>'Raw Data'!#REF!/J$1</f>
        <v>#REF!</v>
      </c>
      <c r="K769" s="50" t="e">
        <f>'Raw Data'!#REF!/K$1</f>
        <v>#REF!</v>
      </c>
      <c r="L769" s="50" t="e">
        <f>'Raw Data'!#REF!/L$1</f>
        <v>#REF!</v>
      </c>
      <c r="M769" s="50" t="e">
        <f>'Raw Data'!#REF!/M$1</f>
        <v>#REF!</v>
      </c>
      <c r="N769" s="50" t="e">
        <f>'Raw Data'!#REF!/N$1</f>
        <v>#REF!</v>
      </c>
      <c r="O769" s="50" t="e">
        <f>'Raw Data'!#REF!/O$1</f>
        <v>#REF!</v>
      </c>
      <c r="P769" s="50" t="str">
        <f t="shared" si="108"/>
        <v/>
      </c>
      <c r="Q769" s="50" t="e">
        <f t="shared" si="109"/>
        <v>#REF!</v>
      </c>
    </row>
    <row r="770" spans="1:17">
      <c r="A770" s="101" t="s">
        <v>212</v>
      </c>
      <c r="B770" s="101">
        <v>5</v>
      </c>
      <c r="C770" s="101">
        <v>2024</v>
      </c>
      <c r="D770" s="101" t="s">
        <v>211</v>
      </c>
      <c r="E770" s="101" t="s">
        <v>211</v>
      </c>
      <c r="F770" s="194">
        <v>45413</v>
      </c>
      <c r="G770" s="101">
        <f t="shared" si="107"/>
        <v>31</v>
      </c>
      <c r="H770" s="103">
        <f t="shared" si="94"/>
        <v>45419</v>
      </c>
      <c r="I770" s="141">
        <f>_xlfn.XLOOKUP(Table12[[#This Row],[Month Year]],'Modelling New'!D:D,'Modelling New'!N:N)</f>
        <v>10.507</v>
      </c>
      <c r="J770" s="50" t="e">
        <f>'Raw Data'!#REF!/J$1</f>
        <v>#REF!</v>
      </c>
      <c r="K770" s="50" t="e">
        <f>'Raw Data'!#REF!/K$1</f>
        <v>#REF!</v>
      </c>
      <c r="L770" s="50" t="e">
        <f>'Raw Data'!#REF!/L$1</f>
        <v>#REF!</v>
      </c>
      <c r="M770" s="50" t="e">
        <f>'Raw Data'!#REF!/M$1</f>
        <v>#REF!</v>
      </c>
      <c r="N770" s="50" t="e">
        <f>'Raw Data'!#REF!/N$1</f>
        <v>#REF!</v>
      </c>
      <c r="O770" s="50" t="e">
        <f>'Raw Data'!#REF!/O$1</f>
        <v>#REF!</v>
      </c>
      <c r="P770" s="50" t="str">
        <f t="shared" si="108"/>
        <v/>
      </c>
      <c r="Q770" s="50" t="e">
        <f t="shared" si="109"/>
        <v>#REF!</v>
      </c>
    </row>
    <row r="771" spans="1:17">
      <c r="A771" s="101" t="s">
        <v>212</v>
      </c>
      <c r="B771" s="101">
        <v>5</v>
      </c>
      <c r="C771" s="101">
        <v>2024</v>
      </c>
      <c r="D771" s="101" t="s">
        <v>211</v>
      </c>
      <c r="E771" s="101" t="s">
        <v>211</v>
      </c>
      <c r="F771" s="194">
        <v>45413</v>
      </c>
      <c r="G771" s="101">
        <f t="shared" ref="G771:G775" si="110">DAY(EOMONTH(F771,0))</f>
        <v>31</v>
      </c>
      <c r="H771" s="103">
        <f t="shared" si="94"/>
        <v>45420</v>
      </c>
      <c r="I771" s="141">
        <f>_xlfn.XLOOKUP(Table12[[#This Row],[Month Year]],'Modelling New'!D:D,'Modelling New'!N:N)</f>
        <v>10.507</v>
      </c>
      <c r="J771" s="50" t="e">
        <f>'Raw Data'!#REF!/J$1</f>
        <v>#REF!</v>
      </c>
      <c r="K771" s="50" t="e">
        <f>'Raw Data'!#REF!/K$1</f>
        <v>#REF!</v>
      </c>
      <c r="L771" s="50" t="e">
        <f>'Raw Data'!#REF!/L$1</f>
        <v>#REF!</v>
      </c>
      <c r="M771" s="50" t="e">
        <f>'Raw Data'!#REF!/M$1</f>
        <v>#REF!</v>
      </c>
      <c r="N771" s="50" t="e">
        <f>'Raw Data'!#REF!/N$1</f>
        <v>#REF!</v>
      </c>
      <c r="O771" s="50" t="e">
        <f>'Raw Data'!#REF!/O$1</f>
        <v>#REF!</v>
      </c>
      <c r="P771" s="50" t="str">
        <f t="shared" ref="P771:P775" si="111">IFERROR(AVERAGEIF(J771:O771,"&gt;"&amp;0,J771:O771),"")</f>
        <v/>
      </c>
      <c r="Q771" s="50" t="e">
        <f t="shared" ref="Q771:Q775" si="112">MAXA(J771:O771)</f>
        <v>#REF!</v>
      </c>
    </row>
    <row r="772" spans="1:17">
      <c r="A772" s="101" t="s">
        <v>212</v>
      </c>
      <c r="B772" s="101">
        <v>5</v>
      </c>
      <c r="C772" s="101">
        <v>2024</v>
      </c>
      <c r="D772" s="101" t="s">
        <v>211</v>
      </c>
      <c r="E772" s="101" t="s">
        <v>211</v>
      </c>
      <c r="F772" s="194">
        <v>45413</v>
      </c>
      <c r="G772" s="101">
        <f t="shared" si="110"/>
        <v>31</v>
      </c>
      <c r="H772" s="103">
        <f t="shared" si="94"/>
        <v>45421</v>
      </c>
      <c r="I772" s="141">
        <f>_xlfn.XLOOKUP(Table12[[#This Row],[Month Year]],'Modelling New'!D:D,'Modelling New'!N:N)</f>
        <v>10.507</v>
      </c>
      <c r="J772" s="50" t="e">
        <f>'Raw Data'!#REF!/J$1</f>
        <v>#REF!</v>
      </c>
      <c r="K772" s="50" t="e">
        <f>'Raw Data'!#REF!/K$1</f>
        <v>#REF!</v>
      </c>
      <c r="L772" s="50" t="e">
        <f>'Raw Data'!#REF!/L$1</f>
        <v>#REF!</v>
      </c>
      <c r="M772" s="50" t="e">
        <f>'Raw Data'!#REF!/M$1</f>
        <v>#REF!</v>
      </c>
      <c r="N772" s="50" t="e">
        <f>'Raw Data'!#REF!/N$1</f>
        <v>#REF!</v>
      </c>
      <c r="O772" s="50" t="e">
        <f>'Raw Data'!#REF!/O$1</f>
        <v>#REF!</v>
      </c>
      <c r="P772" s="50" t="str">
        <f t="shared" si="111"/>
        <v/>
      </c>
      <c r="Q772" s="50" t="e">
        <f t="shared" si="112"/>
        <v>#REF!</v>
      </c>
    </row>
    <row r="773" spans="1:17">
      <c r="A773" s="101" t="s">
        <v>212</v>
      </c>
      <c r="B773" s="101">
        <v>5</v>
      </c>
      <c r="C773" s="101">
        <v>2024</v>
      </c>
      <c r="D773" s="101" t="s">
        <v>211</v>
      </c>
      <c r="E773" s="101" t="s">
        <v>211</v>
      </c>
      <c r="F773" s="194">
        <v>45413</v>
      </c>
      <c r="G773" s="101">
        <f t="shared" si="110"/>
        <v>31</v>
      </c>
      <c r="H773" s="103">
        <f t="shared" si="94"/>
        <v>45422</v>
      </c>
      <c r="I773" s="141">
        <f>_xlfn.XLOOKUP(Table12[[#This Row],[Month Year]],'Modelling New'!D:D,'Modelling New'!N:N)</f>
        <v>10.507</v>
      </c>
      <c r="J773" s="50" t="e">
        <f>'Raw Data'!#REF!/J$1</f>
        <v>#REF!</v>
      </c>
      <c r="K773" s="50" t="e">
        <f>'Raw Data'!#REF!/K$1</f>
        <v>#REF!</v>
      </c>
      <c r="L773" s="50" t="e">
        <f>'Raw Data'!#REF!/L$1</f>
        <v>#REF!</v>
      </c>
      <c r="M773" s="50" t="e">
        <f>'Raw Data'!#REF!/M$1</f>
        <v>#REF!</v>
      </c>
      <c r="N773" s="50" t="e">
        <f>'Raw Data'!#REF!/N$1</f>
        <v>#REF!</v>
      </c>
      <c r="O773" s="50" t="e">
        <f>'Raw Data'!#REF!/O$1</f>
        <v>#REF!</v>
      </c>
      <c r="P773" s="50" t="str">
        <f t="shared" si="111"/>
        <v/>
      </c>
      <c r="Q773" s="50" t="e">
        <f t="shared" si="112"/>
        <v>#REF!</v>
      </c>
    </row>
    <row r="774" spans="1:17">
      <c r="A774" s="101" t="s">
        <v>212</v>
      </c>
      <c r="B774" s="101">
        <v>5</v>
      </c>
      <c r="C774" s="101">
        <v>2024</v>
      </c>
      <c r="D774" s="101" t="s">
        <v>211</v>
      </c>
      <c r="E774" s="101" t="s">
        <v>211</v>
      </c>
      <c r="F774" s="194">
        <v>45413</v>
      </c>
      <c r="G774" s="101">
        <f t="shared" si="110"/>
        <v>31</v>
      </c>
      <c r="H774" s="103">
        <f t="shared" si="94"/>
        <v>45423</v>
      </c>
      <c r="I774" s="141">
        <f>_xlfn.XLOOKUP(Table12[[#This Row],[Month Year]],'Modelling New'!D:D,'Modelling New'!N:N)</f>
        <v>10.507</v>
      </c>
      <c r="J774" s="50" t="e">
        <f>'Raw Data'!#REF!/J$1</f>
        <v>#REF!</v>
      </c>
      <c r="K774" s="50" t="e">
        <f>'Raw Data'!#REF!/K$1</f>
        <v>#REF!</v>
      </c>
      <c r="L774" s="50" t="e">
        <f>'Raw Data'!#REF!/L$1</f>
        <v>#REF!</v>
      </c>
      <c r="M774" s="50" t="e">
        <f>'Raw Data'!#REF!/M$1</f>
        <v>#REF!</v>
      </c>
      <c r="N774" s="50" t="e">
        <f>'Raw Data'!#REF!/N$1</f>
        <v>#REF!</v>
      </c>
      <c r="O774" s="50" t="e">
        <f>'Raw Data'!#REF!/O$1</f>
        <v>#REF!</v>
      </c>
      <c r="P774" s="50" t="str">
        <f t="shared" si="111"/>
        <v/>
      </c>
      <c r="Q774" s="50" t="e">
        <f t="shared" si="112"/>
        <v>#REF!</v>
      </c>
    </row>
    <row r="775" spans="1:17">
      <c r="A775" s="101" t="s">
        <v>212</v>
      </c>
      <c r="B775" s="101">
        <v>5</v>
      </c>
      <c r="C775" s="101">
        <v>2024</v>
      </c>
      <c r="D775" s="101" t="s">
        <v>211</v>
      </c>
      <c r="E775" s="101" t="s">
        <v>211</v>
      </c>
      <c r="F775" s="194">
        <v>45413</v>
      </c>
      <c r="G775" s="101">
        <f t="shared" si="110"/>
        <v>31</v>
      </c>
      <c r="H775" s="103">
        <f t="shared" si="94"/>
        <v>45424</v>
      </c>
      <c r="I775" s="141">
        <f>_xlfn.XLOOKUP(Table12[[#This Row],[Month Year]],'Modelling New'!D:D,'Modelling New'!N:N)</f>
        <v>10.507</v>
      </c>
      <c r="J775" s="50" t="e">
        <f>'Raw Data'!#REF!/J$1</f>
        <v>#REF!</v>
      </c>
      <c r="K775" s="50" t="e">
        <f>'Raw Data'!#REF!/K$1</f>
        <v>#REF!</v>
      </c>
      <c r="L775" s="50" t="e">
        <f>'Raw Data'!#REF!/L$1</f>
        <v>#REF!</v>
      </c>
      <c r="M775" s="50" t="e">
        <f>'Raw Data'!#REF!/M$1</f>
        <v>#REF!</v>
      </c>
      <c r="N775" s="50" t="e">
        <f>'Raw Data'!#REF!/N$1</f>
        <v>#REF!</v>
      </c>
      <c r="O775" s="50" t="e">
        <f>'Raw Data'!#REF!/O$1</f>
        <v>#REF!</v>
      </c>
      <c r="P775" s="50" t="str">
        <f t="shared" si="111"/>
        <v/>
      </c>
      <c r="Q775" s="50" t="e">
        <f t="shared" si="112"/>
        <v>#REF!</v>
      </c>
    </row>
    <row r="776" spans="1:17">
      <c r="A776" s="101" t="s">
        <v>212</v>
      </c>
      <c r="B776" s="101">
        <v>5</v>
      </c>
      <c r="C776" s="101">
        <v>2024</v>
      </c>
      <c r="D776" s="101" t="s">
        <v>211</v>
      </c>
      <c r="E776" s="101" t="s">
        <v>211</v>
      </c>
      <c r="F776" s="194">
        <v>45413</v>
      </c>
      <c r="G776" s="101">
        <f t="shared" ref="G776:G782" si="113">DAY(EOMONTH(F776,0))</f>
        <v>31</v>
      </c>
      <c r="H776" s="103">
        <f t="shared" si="94"/>
        <v>45425</v>
      </c>
      <c r="I776" s="141">
        <f>_xlfn.XLOOKUP(Table12[[#This Row],[Month Year]],'Modelling New'!D:D,'Modelling New'!N:N)</f>
        <v>10.507</v>
      </c>
      <c r="J776" s="50" t="e">
        <f>'Raw Data'!#REF!/J$1</f>
        <v>#REF!</v>
      </c>
      <c r="K776" s="50" t="e">
        <f>'Raw Data'!#REF!/K$1</f>
        <v>#REF!</v>
      </c>
      <c r="L776" s="50" t="e">
        <f>'Raw Data'!#REF!/L$1</f>
        <v>#REF!</v>
      </c>
      <c r="M776" s="50" t="e">
        <f>'Raw Data'!#REF!/M$1</f>
        <v>#REF!</v>
      </c>
      <c r="N776" s="50" t="e">
        <f>'Raw Data'!#REF!/N$1</f>
        <v>#REF!</v>
      </c>
      <c r="O776" s="50" t="e">
        <f>'Raw Data'!#REF!/O$1</f>
        <v>#REF!</v>
      </c>
      <c r="P776" s="50" t="str">
        <f t="shared" ref="P776:P782" si="114">IFERROR(AVERAGEIF(J776:O776,"&gt;"&amp;0,J776:O776),"")</f>
        <v/>
      </c>
      <c r="Q776" s="50" t="e">
        <f t="shared" ref="Q776:Q782" si="115">MAXA(J776:O776)</f>
        <v>#REF!</v>
      </c>
    </row>
    <row r="777" spans="1:17">
      <c r="A777" s="101" t="s">
        <v>212</v>
      </c>
      <c r="B777" s="101">
        <v>5</v>
      </c>
      <c r="C777" s="101">
        <v>2024</v>
      </c>
      <c r="D777" s="101" t="s">
        <v>211</v>
      </c>
      <c r="E777" s="101" t="s">
        <v>211</v>
      </c>
      <c r="F777" s="194">
        <v>45413</v>
      </c>
      <c r="G777" s="101">
        <f t="shared" si="113"/>
        <v>31</v>
      </c>
      <c r="H777" s="103">
        <f t="shared" si="94"/>
        <v>45426</v>
      </c>
      <c r="I777" s="141">
        <f>_xlfn.XLOOKUP(Table12[[#This Row],[Month Year]],'Modelling New'!D:D,'Modelling New'!N:N)</f>
        <v>10.507</v>
      </c>
      <c r="J777" s="50" t="e">
        <f>'Raw Data'!#REF!/J$1</f>
        <v>#REF!</v>
      </c>
      <c r="K777" s="50" t="e">
        <f>'Raw Data'!#REF!/K$1</f>
        <v>#REF!</v>
      </c>
      <c r="L777" s="50" t="e">
        <f>'Raw Data'!#REF!/L$1</f>
        <v>#REF!</v>
      </c>
      <c r="M777" s="50" t="e">
        <f>'Raw Data'!#REF!/M$1</f>
        <v>#REF!</v>
      </c>
      <c r="N777" s="50" t="e">
        <f>'Raw Data'!#REF!/N$1</f>
        <v>#REF!</v>
      </c>
      <c r="O777" s="50" t="e">
        <f>'Raw Data'!#REF!/O$1</f>
        <v>#REF!</v>
      </c>
      <c r="P777" s="50" t="str">
        <f t="shared" si="114"/>
        <v/>
      </c>
      <c r="Q777" s="50" t="e">
        <f t="shared" si="115"/>
        <v>#REF!</v>
      </c>
    </row>
    <row r="778" spans="1:17">
      <c r="A778" s="101" t="s">
        <v>212</v>
      </c>
      <c r="B778" s="101">
        <v>5</v>
      </c>
      <c r="C778" s="101">
        <v>2024</v>
      </c>
      <c r="D778" s="101" t="s">
        <v>211</v>
      </c>
      <c r="E778" s="101" t="s">
        <v>211</v>
      </c>
      <c r="F778" s="194">
        <v>45413</v>
      </c>
      <c r="G778" s="101">
        <f t="shared" si="113"/>
        <v>31</v>
      </c>
      <c r="H778" s="103">
        <f t="shared" si="94"/>
        <v>45427</v>
      </c>
      <c r="I778" s="141">
        <f>_xlfn.XLOOKUP(Table12[[#This Row],[Month Year]],'Modelling New'!D:D,'Modelling New'!N:N)</f>
        <v>10.507</v>
      </c>
      <c r="J778" s="50" t="e">
        <f>'Raw Data'!#REF!/J$1</f>
        <v>#REF!</v>
      </c>
      <c r="K778" s="50" t="e">
        <f>'Raw Data'!#REF!/K$1</f>
        <v>#REF!</v>
      </c>
      <c r="L778" s="50" t="e">
        <f>'Raw Data'!#REF!/L$1</f>
        <v>#REF!</v>
      </c>
      <c r="M778" s="50" t="e">
        <f>'Raw Data'!#REF!/M$1</f>
        <v>#REF!</v>
      </c>
      <c r="N778" s="50" t="e">
        <f>'Raw Data'!#REF!/N$1</f>
        <v>#REF!</v>
      </c>
      <c r="O778" s="50" t="e">
        <f>'Raw Data'!#REF!/O$1</f>
        <v>#REF!</v>
      </c>
      <c r="P778" s="50" t="str">
        <f t="shared" si="114"/>
        <v/>
      </c>
      <c r="Q778" s="50" t="e">
        <f t="shared" si="115"/>
        <v>#REF!</v>
      </c>
    </row>
    <row r="779" spans="1:17">
      <c r="A779" s="101" t="s">
        <v>212</v>
      </c>
      <c r="B779" s="101">
        <v>5</v>
      </c>
      <c r="C779" s="101">
        <v>2024</v>
      </c>
      <c r="D779" s="101" t="s">
        <v>211</v>
      </c>
      <c r="E779" s="101" t="s">
        <v>211</v>
      </c>
      <c r="F779" s="194">
        <v>45413</v>
      </c>
      <c r="G779" s="101">
        <f t="shared" si="113"/>
        <v>31</v>
      </c>
      <c r="H779" s="103">
        <f t="shared" si="94"/>
        <v>45428</v>
      </c>
      <c r="I779" s="141">
        <f>_xlfn.XLOOKUP(Table12[[#This Row],[Month Year]],'Modelling New'!D:D,'Modelling New'!N:N)</f>
        <v>10.507</v>
      </c>
      <c r="J779" s="50" t="e">
        <f>'Raw Data'!#REF!/J$1</f>
        <v>#REF!</v>
      </c>
      <c r="K779" s="50" t="e">
        <f>'Raw Data'!#REF!/K$1</f>
        <v>#REF!</v>
      </c>
      <c r="L779" s="50" t="e">
        <f>'Raw Data'!#REF!/L$1</f>
        <v>#REF!</v>
      </c>
      <c r="M779" s="50" t="e">
        <f>'Raw Data'!#REF!/M$1</f>
        <v>#REF!</v>
      </c>
      <c r="N779" s="50" t="e">
        <f>'Raw Data'!#REF!/N$1</f>
        <v>#REF!</v>
      </c>
      <c r="O779" s="50" t="e">
        <f>'Raw Data'!#REF!/O$1</f>
        <v>#REF!</v>
      </c>
      <c r="P779" s="50" t="str">
        <f t="shared" si="114"/>
        <v/>
      </c>
      <c r="Q779" s="50" t="e">
        <f t="shared" si="115"/>
        <v>#REF!</v>
      </c>
    </row>
    <row r="780" spans="1:17">
      <c r="A780" s="101" t="s">
        <v>212</v>
      </c>
      <c r="B780" s="101">
        <v>5</v>
      </c>
      <c r="C780" s="101">
        <v>2024</v>
      </c>
      <c r="D780" s="101" t="s">
        <v>211</v>
      </c>
      <c r="E780" s="101" t="s">
        <v>211</v>
      </c>
      <c r="F780" s="194">
        <v>45413</v>
      </c>
      <c r="G780" s="101">
        <f t="shared" si="113"/>
        <v>31</v>
      </c>
      <c r="H780" s="103">
        <f t="shared" si="94"/>
        <v>45429</v>
      </c>
      <c r="I780" s="141">
        <f>_xlfn.XLOOKUP(Table12[[#This Row],[Month Year]],'Modelling New'!D:D,'Modelling New'!N:N)</f>
        <v>10.507</v>
      </c>
      <c r="J780" s="50" t="e">
        <f>'Raw Data'!#REF!/J$1</f>
        <v>#REF!</v>
      </c>
      <c r="K780" s="50" t="e">
        <f>'Raw Data'!#REF!/K$1</f>
        <v>#REF!</v>
      </c>
      <c r="L780" s="50" t="e">
        <f>'Raw Data'!#REF!/L$1</f>
        <v>#REF!</v>
      </c>
      <c r="M780" s="50" t="e">
        <f>'Raw Data'!#REF!/M$1</f>
        <v>#REF!</v>
      </c>
      <c r="N780" s="50" t="e">
        <f>'Raw Data'!#REF!/N$1</f>
        <v>#REF!</v>
      </c>
      <c r="O780" s="50" t="e">
        <f>'Raw Data'!#REF!/O$1</f>
        <v>#REF!</v>
      </c>
      <c r="P780" s="50" t="str">
        <f t="shared" si="114"/>
        <v/>
      </c>
      <c r="Q780" s="50" t="e">
        <f t="shared" si="115"/>
        <v>#REF!</v>
      </c>
    </row>
    <row r="781" spans="1:17">
      <c r="A781" s="101" t="s">
        <v>212</v>
      </c>
      <c r="B781" s="101">
        <v>5</v>
      </c>
      <c r="C781" s="101">
        <v>2024</v>
      </c>
      <c r="D781" s="101" t="s">
        <v>211</v>
      </c>
      <c r="E781" s="101" t="s">
        <v>211</v>
      </c>
      <c r="F781" s="194">
        <v>45413</v>
      </c>
      <c r="G781" s="101">
        <f t="shared" si="113"/>
        <v>31</v>
      </c>
      <c r="H781" s="103">
        <f t="shared" si="94"/>
        <v>45430</v>
      </c>
      <c r="I781" s="141">
        <f>_xlfn.XLOOKUP(Table12[[#This Row],[Month Year]],'Modelling New'!D:D,'Modelling New'!N:N)</f>
        <v>10.507</v>
      </c>
      <c r="J781" s="50" t="e">
        <f>'Raw Data'!#REF!/J$1</f>
        <v>#REF!</v>
      </c>
      <c r="K781" s="50" t="e">
        <f>'Raw Data'!#REF!/K$1</f>
        <v>#REF!</v>
      </c>
      <c r="L781" s="50" t="e">
        <f>'Raw Data'!#REF!/L$1</f>
        <v>#REF!</v>
      </c>
      <c r="M781" s="50" t="e">
        <f>'Raw Data'!#REF!/M$1</f>
        <v>#REF!</v>
      </c>
      <c r="N781" s="50" t="e">
        <f>'Raw Data'!#REF!/N$1</f>
        <v>#REF!</v>
      </c>
      <c r="O781" s="50" t="e">
        <f>'Raw Data'!#REF!/O$1</f>
        <v>#REF!</v>
      </c>
      <c r="P781" s="50" t="str">
        <f t="shared" si="114"/>
        <v/>
      </c>
      <c r="Q781" s="50" t="e">
        <f t="shared" si="115"/>
        <v>#REF!</v>
      </c>
    </row>
    <row r="782" spans="1:17">
      <c r="A782" s="101" t="s">
        <v>212</v>
      </c>
      <c r="B782" s="101">
        <v>5</v>
      </c>
      <c r="C782" s="101">
        <v>2024</v>
      </c>
      <c r="D782" s="101" t="s">
        <v>211</v>
      </c>
      <c r="E782" s="101" t="s">
        <v>211</v>
      </c>
      <c r="F782" s="194">
        <v>45413</v>
      </c>
      <c r="G782" s="101">
        <f t="shared" si="113"/>
        <v>31</v>
      </c>
      <c r="H782" s="103">
        <f t="shared" ref="H782:H845" si="116">H781+1</f>
        <v>45431</v>
      </c>
      <c r="I782" s="141">
        <f>_xlfn.XLOOKUP(Table12[[#This Row],[Month Year]],'Modelling New'!D:D,'Modelling New'!N:N)</f>
        <v>10.507</v>
      </c>
      <c r="J782" s="50" t="e">
        <f>'Raw Data'!#REF!/J$1</f>
        <v>#REF!</v>
      </c>
      <c r="K782" s="50" t="e">
        <f>'Raw Data'!#REF!/K$1</f>
        <v>#REF!</v>
      </c>
      <c r="L782" s="50" t="e">
        <f>'Raw Data'!#REF!/L$1</f>
        <v>#REF!</v>
      </c>
      <c r="M782" s="50" t="e">
        <f>'Raw Data'!#REF!/M$1</f>
        <v>#REF!</v>
      </c>
      <c r="N782" s="50" t="e">
        <f>'Raw Data'!#REF!/N$1</f>
        <v>#REF!</v>
      </c>
      <c r="O782" s="50" t="e">
        <f>'Raw Data'!#REF!/O$1</f>
        <v>#REF!</v>
      </c>
      <c r="P782" s="50" t="str">
        <f t="shared" si="114"/>
        <v/>
      </c>
      <c r="Q782" s="50" t="e">
        <f t="shared" si="115"/>
        <v>#REF!</v>
      </c>
    </row>
    <row r="783" spans="1:17">
      <c r="A783" s="101" t="s">
        <v>212</v>
      </c>
      <c r="B783" s="101">
        <v>5</v>
      </c>
      <c r="C783" s="101">
        <v>2024</v>
      </c>
      <c r="D783" s="101" t="s">
        <v>211</v>
      </c>
      <c r="E783" s="101" t="s">
        <v>211</v>
      </c>
      <c r="F783" s="194">
        <v>45413</v>
      </c>
      <c r="G783" s="101">
        <f t="shared" ref="G783:G790" si="117">DAY(EOMONTH(F783,0))</f>
        <v>31</v>
      </c>
      <c r="H783" s="103">
        <f t="shared" si="116"/>
        <v>45432</v>
      </c>
      <c r="I783" s="141">
        <f>_xlfn.XLOOKUP(Table12[[#This Row],[Month Year]],'Modelling New'!D:D,'Modelling New'!N:N)</f>
        <v>10.507</v>
      </c>
      <c r="J783" s="50" t="e">
        <f>'Raw Data'!#REF!/J$1</f>
        <v>#REF!</v>
      </c>
      <c r="K783" s="50" t="e">
        <f>'Raw Data'!#REF!/K$1</f>
        <v>#REF!</v>
      </c>
      <c r="L783" s="50" t="e">
        <f>'Raw Data'!#REF!/L$1</f>
        <v>#REF!</v>
      </c>
      <c r="M783" s="50" t="e">
        <f>'Raw Data'!#REF!/M$1</f>
        <v>#REF!</v>
      </c>
      <c r="N783" s="50" t="e">
        <f>'Raw Data'!#REF!/N$1</f>
        <v>#REF!</v>
      </c>
      <c r="O783" s="50" t="e">
        <f>'Raw Data'!#REF!/O$1</f>
        <v>#REF!</v>
      </c>
      <c r="P783" s="50" t="str">
        <f t="shared" ref="P783:P790" si="118">IFERROR(AVERAGEIF(J783:O783,"&gt;"&amp;0,J783:O783),"")</f>
        <v/>
      </c>
      <c r="Q783" s="50" t="e">
        <f t="shared" ref="Q783:Q790" si="119">MAXA(J783:O783)</f>
        <v>#REF!</v>
      </c>
    </row>
    <row r="784" spans="1:17">
      <c r="A784" s="101" t="s">
        <v>212</v>
      </c>
      <c r="B784" s="101">
        <v>5</v>
      </c>
      <c r="C784" s="101">
        <v>2024</v>
      </c>
      <c r="D784" s="101" t="s">
        <v>211</v>
      </c>
      <c r="E784" s="101" t="s">
        <v>211</v>
      </c>
      <c r="F784" s="194">
        <v>45413</v>
      </c>
      <c r="G784" s="101">
        <f t="shared" si="117"/>
        <v>31</v>
      </c>
      <c r="H784" s="103">
        <f t="shared" si="116"/>
        <v>45433</v>
      </c>
      <c r="I784" s="141">
        <f>_xlfn.XLOOKUP(Table12[[#This Row],[Month Year]],'Modelling New'!D:D,'Modelling New'!N:N)</f>
        <v>10.507</v>
      </c>
      <c r="J784" s="50" t="e">
        <f>'Raw Data'!#REF!/J$1</f>
        <v>#REF!</v>
      </c>
      <c r="K784" s="50" t="e">
        <f>'Raw Data'!#REF!/K$1</f>
        <v>#REF!</v>
      </c>
      <c r="L784" s="50" t="e">
        <f>'Raw Data'!#REF!/L$1</f>
        <v>#REF!</v>
      </c>
      <c r="M784" s="50" t="e">
        <f>'Raw Data'!#REF!/M$1</f>
        <v>#REF!</v>
      </c>
      <c r="N784" s="50" t="e">
        <f>'Raw Data'!#REF!/N$1</f>
        <v>#REF!</v>
      </c>
      <c r="O784" s="50" t="e">
        <f>'Raw Data'!#REF!/O$1</f>
        <v>#REF!</v>
      </c>
      <c r="P784" s="50" t="str">
        <f t="shared" si="118"/>
        <v/>
      </c>
      <c r="Q784" s="50" t="e">
        <f t="shared" si="119"/>
        <v>#REF!</v>
      </c>
    </row>
    <row r="785" spans="1:17">
      <c r="A785" s="101" t="s">
        <v>212</v>
      </c>
      <c r="B785" s="101">
        <v>5</v>
      </c>
      <c r="C785" s="101">
        <v>2024</v>
      </c>
      <c r="D785" s="101" t="s">
        <v>211</v>
      </c>
      <c r="E785" s="101" t="s">
        <v>211</v>
      </c>
      <c r="F785" s="194">
        <v>45413</v>
      </c>
      <c r="G785" s="101">
        <f t="shared" si="117"/>
        <v>31</v>
      </c>
      <c r="H785" s="103">
        <f t="shared" si="116"/>
        <v>45434</v>
      </c>
      <c r="I785" s="141">
        <f>_xlfn.XLOOKUP(Table12[[#This Row],[Month Year]],'Modelling New'!D:D,'Modelling New'!N:N)</f>
        <v>10.507</v>
      </c>
      <c r="J785" s="50" t="e">
        <f>'Raw Data'!#REF!/J$1</f>
        <v>#REF!</v>
      </c>
      <c r="K785" s="50" t="e">
        <f>'Raw Data'!#REF!/K$1</f>
        <v>#REF!</v>
      </c>
      <c r="L785" s="50" t="e">
        <f>'Raw Data'!#REF!/L$1</f>
        <v>#REF!</v>
      </c>
      <c r="M785" s="50" t="e">
        <f>'Raw Data'!#REF!/M$1</f>
        <v>#REF!</v>
      </c>
      <c r="N785" s="50" t="e">
        <f>'Raw Data'!#REF!/N$1</f>
        <v>#REF!</v>
      </c>
      <c r="O785" s="50" t="e">
        <f>'Raw Data'!#REF!/O$1</f>
        <v>#REF!</v>
      </c>
      <c r="P785" s="50" t="str">
        <f t="shared" si="118"/>
        <v/>
      </c>
      <c r="Q785" s="50" t="e">
        <f t="shared" si="119"/>
        <v>#REF!</v>
      </c>
    </row>
    <row r="786" spans="1:17">
      <c r="A786" s="101" t="s">
        <v>212</v>
      </c>
      <c r="B786" s="101">
        <v>5</v>
      </c>
      <c r="C786" s="101">
        <v>2024</v>
      </c>
      <c r="D786" s="101" t="s">
        <v>211</v>
      </c>
      <c r="E786" s="101" t="s">
        <v>211</v>
      </c>
      <c r="F786" s="194">
        <v>45413</v>
      </c>
      <c r="G786" s="101">
        <f t="shared" si="117"/>
        <v>31</v>
      </c>
      <c r="H786" s="103">
        <f t="shared" si="116"/>
        <v>45435</v>
      </c>
      <c r="I786" s="141">
        <f>_xlfn.XLOOKUP(Table12[[#This Row],[Month Year]],'Modelling New'!D:D,'Modelling New'!N:N)</f>
        <v>10.507</v>
      </c>
      <c r="J786" s="50" t="e">
        <f>'Raw Data'!#REF!/J$1</f>
        <v>#REF!</v>
      </c>
      <c r="K786" s="50" t="e">
        <f>'Raw Data'!#REF!/K$1</f>
        <v>#REF!</v>
      </c>
      <c r="L786" s="50" t="e">
        <f>'Raw Data'!#REF!/L$1</f>
        <v>#REF!</v>
      </c>
      <c r="M786" s="50" t="e">
        <f>'Raw Data'!#REF!/M$1</f>
        <v>#REF!</v>
      </c>
      <c r="N786" s="50" t="e">
        <f>'Raw Data'!#REF!/N$1</f>
        <v>#REF!</v>
      </c>
      <c r="O786" s="50" t="e">
        <f>'Raw Data'!#REF!/O$1</f>
        <v>#REF!</v>
      </c>
      <c r="P786" s="50" t="str">
        <f t="shared" si="118"/>
        <v/>
      </c>
      <c r="Q786" s="50" t="e">
        <f t="shared" si="119"/>
        <v>#REF!</v>
      </c>
    </row>
    <row r="787" spans="1:17">
      <c r="A787" s="101" t="s">
        <v>212</v>
      </c>
      <c r="B787" s="101">
        <v>5</v>
      </c>
      <c r="C787" s="101">
        <v>2024</v>
      </c>
      <c r="D787" s="101" t="s">
        <v>211</v>
      </c>
      <c r="E787" s="101" t="s">
        <v>211</v>
      </c>
      <c r="F787" s="194">
        <v>45413</v>
      </c>
      <c r="G787" s="101">
        <f t="shared" si="117"/>
        <v>31</v>
      </c>
      <c r="H787" s="103">
        <f t="shared" si="116"/>
        <v>45436</v>
      </c>
      <c r="I787" s="141">
        <f>_xlfn.XLOOKUP(Table12[[#This Row],[Month Year]],'Modelling New'!D:D,'Modelling New'!N:N)</f>
        <v>10.507</v>
      </c>
      <c r="J787" s="50" t="e">
        <f>'Raw Data'!#REF!/J$1</f>
        <v>#REF!</v>
      </c>
      <c r="K787" s="50" t="e">
        <f>'Raw Data'!#REF!/K$1</f>
        <v>#REF!</v>
      </c>
      <c r="L787" s="50" t="e">
        <f>'Raw Data'!#REF!/L$1</f>
        <v>#REF!</v>
      </c>
      <c r="M787" s="50" t="e">
        <f>'Raw Data'!#REF!/M$1</f>
        <v>#REF!</v>
      </c>
      <c r="N787" s="50" t="e">
        <f>'Raw Data'!#REF!/N$1</f>
        <v>#REF!</v>
      </c>
      <c r="O787" s="50" t="e">
        <f>'Raw Data'!#REF!/O$1</f>
        <v>#REF!</v>
      </c>
      <c r="P787" s="50" t="str">
        <f t="shared" si="118"/>
        <v/>
      </c>
      <c r="Q787" s="50" t="e">
        <f t="shared" si="119"/>
        <v>#REF!</v>
      </c>
    </row>
    <row r="788" spans="1:17">
      <c r="A788" s="101" t="s">
        <v>212</v>
      </c>
      <c r="B788" s="101">
        <v>5</v>
      </c>
      <c r="C788" s="101">
        <v>2024</v>
      </c>
      <c r="D788" s="101" t="s">
        <v>211</v>
      </c>
      <c r="E788" s="101" t="s">
        <v>211</v>
      </c>
      <c r="F788" s="194">
        <v>45413</v>
      </c>
      <c r="G788" s="101">
        <f t="shared" si="117"/>
        <v>31</v>
      </c>
      <c r="H788" s="103">
        <f t="shared" si="116"/>
        <v>45437</v>
      </c>
      <c r="I788" s="141">
        <f>_xlfn.XLOOKUP(Table12[[#This Row],[Month Year]],'Modelling New'!D:D,'Modelling New'!N:N)</f>
        <v>10.507</v>
      </c>
      <c r="J788" s="50" t="e">
        <f>'Raw Data'!#REF!/J$1</f>
        <v>#REF!</v>
      </c>
      <c r="K788" s="50" t="e">
        <f>'Raw Data'!#REF!/K$1</f>
        <v>#REF!</v>
      </c>
      <c r="L788" s="50" t="e">
        <f>'Raw Data'!#REF!/L$1</f>
        <v>#REF!</v>
      </c>
      <c r="M788" s="50" t="e">
        <f>'Raw Data'!#REF!/M$1</f>
        <v>#REF!</v>
      </c>
      <c r="N788" s="50" t="e">
        <f>'Raw Data'!#REF!/N$1</f>
        <v>#REF!</v>
      </c>
      <c r="O788" s="50" t="e">
        <f>'Raw Data'!#REF!/O$1</f>
        <v>#REF!</v>
      </c>
      <c r="P788" s="50" t="str">
        <f t="shared" si="118"/>
        <v/>
      </c>
      <c r="Q788" s="50" t="e">
        <f t="shared" si="119"/>
        <v>#REF!</v>
      </c>
    </row>
    <row r="789" spans="1:17">
      <c r="A789" s="101" t="s">
        <v>212</v>
      </c>
      <c r="B789" s="101">
        <v>5</v>
      </c>
      <c r="C789" s="101">
        <v>2024</v>
      </c>
      <c r="D789" s="101" t="s">
        <v>211</v>
      </c>
      <c r="E789" s="101" t="s">
        <v>211</v>
      </c>
      <c r="F789" s="194">
        <v>45413</v>
      </c>
      <c r="G789" s="101">
        <f t="shared" si="117"/>
        <v>31</v>
      </c>
      <c r="H789" s="103">
        <f t="shared" si="116"/>
        <v>45438</v>
      </c>
      <c r="I789" s="141">
        <f>_xlfn.XLOOKUP(Table12[[#This Row],[Month Year]],'Modelling New'!D:D,'Modelling New'!N:N)</f>
        <v>10.507</v>
      </c>
      <c r="J789" s="50" t="e">
        <f>'Raw Data'!#REF!/J$1</f>
        <v>#REF!</v>
      </c>
      <c r="K789" s="50" t="e">
        <f>'Raw Data'!#REF!/K$1</f>
        <v>#REF!</v>
      </c>
      <c r="L789" s="50" t="e">
        <f>'Raw Data'!#REF!/L$1</f>
        <v>#REF!</v>
      </c>
      <c r="M789" s="50" t="e">
        <f>'Raw Data'!#REF!/M$1</f>
        <v>#REF!</v>
      </c>
      <c r="N789" s="50" t="e">
        <f>'Raw Data'!#REF!/N$1</f>
        <v>#REF!</v>
      </c>
      <c r="O789" s="50" t="e">
        <f>'Raw Data'!#REF!/O$1</f>
        <v>#REF!</v>
      </c>
      <c r="P789" s="50" t="str">
        <f t="shared" si="118"/>
        <v/>
      </c>
      <c r="Q789" s="50" t="e">
        <f t="shared" si="119"/>
        <v>#REF!</v>
      </c>
    </row>
    <row r="790" spans="1:17">
      <c r="A790" s="101" t="s">
        <v>212</v>
      </c>
      <c r="B790" s="101">
        <v>5</v>
      </c>
      <c r="C790" s="101">
        <v>2024</v>
      </c>
      <c r="D790" s="101" t="s">
        <v>211</v>
      </c>
      <c r="E790" s="101" t="s">
        <v>211</v>
      </c>
      <c r="F790" s="194">
        <v>45413</v>
      </c>
      <c r="G790" s="101">
        <f t="shared" si="117"/>
        <v>31</v>
      </c>
      <c r="H790" s="103">
        <f t="shared" si="116"/>
        <v>45439</v>
      </c>
      <c r="I790" s="141">
        <f>_xlfn.XLOOKUP(Table12[[#This Row],[Month Year]],'Modelling New'!D:D,'Modelling New'!N:N)</f>
        <v>10.507</v>
      </c>
      <c r="J790" s="50" t="e">
        <f>'Raw Data'!#REF!/J$1</f>
        <v>#REF!</v>
      </c>
      <c r="K790" s="50" t="e">
        <f>'Raw Data'!#REF!/K$1</f>
        <v>#REF!</v>
      </c>
      <c r="L790" s="50" t="e">
        <f>'Raw Data'!#REF!/L$1</f>
        <v>#REF!</v>
      </c>
      <c r="M790" s="50" t="e">
        <f>'Raw Data'!#REF!/M$1</f>
        <v>#REF!</v>
      </c>
      <c r="N790" s="50" t="e">
        <f>'Raw Data'!#REF!/N$1</f>
        <v>#REF!</v>
      </c>
      <c r="O790" s="50" t="e">
        <f>'Raw Data'!#REF!/O$1</f>
        <v>#REF!</v>
      </c>
      <c r="P790" s="50" t="str">
        <f t="shared" si="118"/>
        <v/>
      </c>
      <c r="Q790" s="50" t="e">
        <f t="shared" si="119"/>
        <v>#REF!</v>
      </c>
    </row>
    <row r="791" spans="1:17">
      <c r="A791" s="101" t="s">
        <v>212</v>
      </c>
      <c r="B791" s="101">
        <v>5</v>
      </c>
      <c r="C791" s="101">
        <v>2024</v>
      </c>
      <c r="D791" s="101" t="s">
        <v>211</v>
      </c>
      <c r="E791" s="101" t="s">
        <v>211</v>
      </c>
      <c r="F791" s="194">
        <v>45413</v>
      </c>
      <c r="G791" s="101">
        <f t="shared" ref="G791:G794" si="120">DAY(EOMONTH(F791,0))</f>
        <v>31</v>
      </c>
      <c r="H791" s="103">
        <f t="shared" si="116"/>
        <v>45440</v>
      </c>
      <c r="I791" s="141">
        <f>_xlfn.XLOOKUP(Table12[[#This Row],[Month Year]],'Modelling New'!D:D,'Modelling New'!N:N)</f>
        <v>10.507</v>
      </c>
      <c r="J791" s="50" t="e">
        <f>'Raw Data'!#REF!/J$1</f>
        <v>#REF!</v>
      </c>
      <c r="K791" s="50" t="e">
        <f>'Raw Data'!#REF!/K$1</f>
        <v>#REF!</v>
      </c>
      <c r="L791" s="50" t="e">
        <f>'Raw Data'!#REF!/L$1</f>
        <v>#REF!</v>
      </c>
      <c r="M791" s="50" t="e">
        <f>'Raw Data'!#REF!/M$1</f>
        <v>#REF!</v>
      </c>
      <c r="N791" s="50" t="e">
        <f>'Raw Data'!#REF!/N$1</f>
        <v>#REF!</v>
      </c>
      <c r="O791" s="50" t="e">
        <f>'Raw Data'!#REF!/O$1</f>
        <v>#REF!</v>
      </c>
      <c r="P791" s="50" t="str">
        <f t="shared" ref="P791:P794" si="121">IFERROR(AVERAGEIF(J791:O791,"&gt;"&amp;0,J791:O791),"")</f>
        <v/>
      </c>
      <c r="Q791" s="50" t="e">
        <f t="shared" ref="Q791:Q794" si="122">MAXA(J791:O791)</f>
        <v>#REF!</v>
      </c>
    </row>
    <row r="792" spans="1:17">
      <c r="A792" s="101" t="s">
        <v>212</v>
      </c>
      <c r="B792" s="101">
        <v>5</v>
      </c>
      <c r="C792" s="101">
        <v>2024</v>
      </c>
      <c r="D792" s="101" t="s">
        <v>211</v>
      </c>
      <c r="E792" s="101" t="s">
        <v>211</v>
      </c>
      <c r="F792" s="194">
        <v>45413</v>
      </c>
      <c r="G792" s="101">
        <f t="shared" si="120"/>
        <v>31</v>
      </c>
      <c r="H792" s="103">
        <f t="shared" si="116"/>
        <v>45441</v>
      </c>
      <c r="I792" s="141">
        <f>_xlfn.XLOOKUP(Table12[[#This Row],[Month Year]],'Modelling New'!D:D,'Modelling New'!N:N)</f>
        <v>10.507</v>
      </c>
      <c r="J792" s="50" t="e">
        <f>'Raw Data'!#REF!/J$1</f>
        <v>#REF!</v>
      </c>
      <c r="K792" s="50" t="e">
        <f>'Raw Data'!#REF!/K$1</f>
        <v>#REF!</v>
      </c>
      <c r="L792" s="50" t="e">
        <f>'Raw Data'!#REF!/L$1</f>
        <v>#REF!</v>
      </c>
      <c r="M792" s="50" t="e">
        <f>'Raw Data'!#REF!/M$1</f>
        <v>#REF!</v>
      </c>
      <c r="N792" s="50" t="e">
        <f>'Raw Data'!#REF!/N$1</f>
        <v>#REF!</v>
      </c>
      <c r="O792" s="50" t="e">
        <f>'Raw Data'!#REF!/O$1</f>
        <v>#REF!</v>
      </c>
      <c r="P792" s="50" t="str">
        <f t="shared" si="121"/>
        <v/>
      </c>
      <c r="Q792" s="50" t="e">
        <f t="shared" si="122"/>
        <v>#REF!</v>
      </c>
    </row>
    <row r="793" spans="1:17">
      <c r="A793" s="101" t="s">
        <v>212</v>
      </c>
      <c r="B793" s="101">
        <v>5</v>
      </c>
      <c r="C793" s="101">
        <v>2024</v>
      </c>
      <c r="D793" s="101" t="s">
        <v>211</v>
      </c>
      <c r="E793" s="101" t="s">
        <v>211</v>
      </c>
      <c r="F793" s="194">
        <v>45413</v>
      </c>
      <c r="G793" s="101">
        <f t="shared" si="120"/>
        <v>31</v>
      </c>
      <c r="H793" s="103">
        <f t="shared" si="116"/>
        <v>45442</v>
      </c>
      <c r="I793" s="141">
        <f>_xlfn.XLOOKUP(Table12[[#This Row],[Month Year]],'Modelling New'!D:D,'Modelling New'!N:N)</f>
        <v>10.507</v>
      </c>
      <c r="J793" s="50" t="e">
        <f>'Raw Data'!#REF!/J$1</f>
        <v>#REF!</v>
      </c>
      <c r="K793" s="50" t="e">
        <f>'Raw Data'!#REF!/K$1</f>
        <v>#REF!</v>
      </c>
      <c r="L793" s="50" t="e">
        <f>'Raw Data'!#REF!/L$1</f>
        <v>#REF!</v>
      </c>
      <c r="M793" s="50" t="e">
        <f>'Raw Data'!#REF!/M$1</f>
        <v>#REF!</v>
      </c>
      <c r="N793" s="50" t="e">
        <f>'Raw Data'!#REF!/N$1</f>
        <v>#REF!</v>
      </c>
      <c r="O793" s="50" t="e">
        <f>'Raw Data'!#REF!/O$1</f>
        <v>#REF!</v>
      </c>
      <c r="P793" s="50" t="str">
        <f t="shared" si="121"/>
        <v/>
      </c>
      <c r="Q793" s="50" t="e">
        <f t="shared" si="122"/>
        <v>#REF!</v>
      </c>
    </row>
    <row r="794" spans="1:17">
      <c r="A794" s="101" t="s">
        <v>212</v>
      </c>
      <c r="B794" s="101">
        <v>5</v>
      </c>
      <c r="C794" s="101">
        <v>2024</v>
      </c>
      <c r="D794" s="101" t="s">
        <v>211</v>
      </c>
      <c r="E794" s="101" t="s">
        <v>211</v>
      </c>
      <c r="F794" s="194">
        <v>45413</v>
      </c>
      <c r="G794" s="101">
        <f t="shared" si="120"/>
        <v>31</v>
      </c>
      <c r="H794" s="103">
        <f t="shared" si="116"/>
        <v>45443</v>
      </c>
      <c r="I794" s="141">
        <f>_xlfn.XLOOKUP(Table12[[#This Row],[Month Year]],'Modelling New'!D:D,'Modelling New'!N:N)</f>
        <v>10.507</v>
      </c>
      <c r="J794" s="50" t="e">
        <f>'Raw Data'!#REF!/J$1</f>
        <v>#REF!</v>
      </c>
      <c r="K794" s="50" t="e">
        <f>'Raw Data'!#REF!/K$1</f>
        <v>#REF!</v>
      </c>
      <c r="L794" s="50" t="e">
        <f>'Raw Data'!#REF!/L$1</f>
        <v>#REF!</v>
      </c>
      <c r="M794" s="50" t="e">
        <f>'Raw Data'!#REF!/M$1</f>
        <v>#REF!</v>
      </c>
      <c r="N794" s="50" t="e">
        <f>'Raw Data'!#REF!/N$1</f>
        <v>#REF!</v>
      </c>
      <c r="O794" s="50" t="e">
        <f>'Raw Data'!#REF!/O$1</f>
        <v>#REF!</v>
      </c>
      <c r="P794" s="50" t="str">
        <f t="shared" si="121"/>
        <v/>
      </c>
      <c r="Q794" s="50" t="e">
        <f t="shared" si="122"/>
        <v>#REF!</v>
      </c>
    </row>
    <row r="795" spans="1:17">
      <c r="A795" s="101" t="s">
        <v>212</v>
      </c>
      <c r="B795" s="101">
        <v>5</v>
      </c>
      <c r="C795" s="101">
        <v>2024</v>
      </c>
      <c r="D795" s="101" t="s">
        <v>211</v>
      </c>
      <c r="E795" s="101" t="s">
        <v>211</v>
      </c>
      <c r="F795" s="194">
        <v>45444</v>
      </c>
      <c r="G795" s="101">
        <f t="shared" ref="G795" si="123">DAY(EOMONTH(F795,0))</f>
        <v>30</v>
      </c>
      <c r="H795" s="103">
        <f t="shared" si="116"/>
        <v>45444</v>
      </c>
      <c r="I795" s="141">
        <f>_xlfn.XLOOKUP(Table12[[#This Row],[Month Year]],'Modelling New'!D:D,'Modelling New'!N:N)</f>
        <v>10.507</v>
      </c>
      <c r="J795" s="50" t="e">
        <f>'Raw Data'!#REF!/J$1</f>
        <v>#REF!</v>
      </c>
      <c r="K795" s="50" t="e">
        <f>'Raw Data'!#REF!/K$1</f>
        <v>#REF!</v>
      </c>
      <c r="L795" s="50" t="e">
        <f>'Raw Data'!#REF!/L$1</f>
        <v>#REF!</v>
      </c>
      <c r="M795" s="50" t="e">
        <f>'Raw Data'!#REF!/M$1</f>
        <v>#REF!</v>
      </c>
      <c r="N795" s="50" t="e">
        <f>'Raw Data'!#REF!/N$1</f>
        <v>#REF!</v>
      </c>
      <c r="O795" s="50" t="e">
        <f>'Raw Data'!#REF!/O$1</f>
        <v>#REF!</v>
      </c>
      <c r="P795" s="50" t="str">
        <f>IFERROR(AVERAGEIF(J795:O795,"&gt;"&amp;0,J795:O795),"")</f>
        <v/>
      </c>
      <c r="Q795" s="50" t="e">
        <f>MAXA(J795:O795)</f>
        <v>#REF!</v>
      </c>
    </row>
    <row r="796" spans="1:17">
      <c r="A796" s="101" t="s">
        <v>212</v>
      </c>
      <c r="B796" s="101">
        <v>5</v>
      </c>
      <c r="C796" s="101">
        <v>2024</v>
      </c>
      <c r="D796" s="101" t="s">
        <v>211</v>
      </c>
      <c r="E796" s="101" t="s">
        <v>211</v>
      </c>
      <c r="F796" s="194">
        <v>45444</v>
      </c>
      <c r="G796" s="101">
        <f t="shared" ref="G796:G813" si="124">DAY(EOMONTH(F796,0))</f>
        <v>30</v>
      </c>
      <c r="H796" s="103">
        <f t="shared" si="116"/>
        <v>45445</v>
      </c>
      <c r="I796" s="141">
        <f>_xlfn.XLOOKUP(Table12[[#This Row],[Month Year]],'Modelling New'!D:D,'Modelling New'!N:N)</f>
        <v>10.507</v>
      </c>
      <c r="J796" s="50" t="e">
        <f>'Raw Data'!#REF!/J$1</f>
        <v>#REF!</v>
      </c>
      <c r="K796" s="50" t="e">
        <f>'Raw Data'!#REF!/K$1</f>
        <v>#REF!</v>
      </c>
      <c r="L796" s="50" t="e">
        <f>'Raw Data'!#REF!/L$1</f>
        <v>#REF!</v>
      </c>
      <c r="M796" s="50" t="e">
        <f>'Raw Data'!#REF!/M$1</f>
        <v>#REF!</v>
      </c>
      <c r="N796" s="50" t="e">
        <f>'Raw Data'!#REF!/N$1</f>
        <v>#REF!</v>
      </c>
      <c r="O796" s="50" t="e">
        <f>'Raw Data'!#REF!/O$1</f>
        <v>#REF!</v>
      </c>
      <c r="P796" s="50" t="str">
        <f t="shared" ref="P796:P813" si="125">IFERROR(AVERAGEIF(J796:O796,"&gt;"&amp;0,J796:O796),"")</f>
        <v/>
      </c>
      <c r="Q796" s="50" t="e">
        <f t="shared" ref="Q796:Q813" si="126">MAXA(J796:O796)</f>
        <v>#REF!</v>
      </c>
    </row>
    <row r="797" spans="1:17">
      <c r="A797" s="101" t="s">
        <v>212</v>
      </c>
      <c r="B797" s="101">
        <v>5</v>
      </c>
      <c r="C797" s="101">
        <v>2024</v>
      </c>
      <c r="D797" s="101" t="s">
        <v>211</v>
      </c>
      <c r="E797" s="101" t="s">
        <v>211</v>
      </c>
      <c r="F797" s="194">
        <v>45444</v>
      </c>
      <c r="G797" s="101">
        <f t="shared" si="124"/>
        <v>30</v>
      </c>
      <c r="H797" s="103">
        <f t="shared" si="116"/>
        <v>45446</v>
      </c>
      <c r="I797" s="141">
        <f>_xlfn.XLOOKUP(Table12[[#This Row],[Month Year]],'Modelling New'!D:D,'Modelling New'!N:N)</f>
        <v>10.507</v>
      </c>
      <c r="J797" s="50" t="e">
        <f>'Raw Data'!#REF!/J$1</f>
        <v>#REF!</v>
      </c>
      <c r="K797" s="50" t="e">
        <f>'Raw Data'!#REF!/K$1</f>
        <v>#REF!</v>
      </c>
      <c r="L797" s="50" t="e">
        <f>'Raw Data'!#REF!/L$1</f>
        <v>#REF!</v>
      </c>
      <c r="M797" s="50" t="e">
        <f>'Raw Data'!#REF!/M$1</f>
        <v>#REF!</v>
      </c>
      <c r="N797" s="50" t="e">
        <f>'Raw Data'!#REF!/N$1</f>
        <v>#REF!</v>
      </c>
      <c r="O797" s="50" t="e">
        <f>'Raw Data'!#REF!/O$1</f>
        <v>#REF!</v>
      </c>
      <c r="P797" s="50" t="str">
        <f t="shared" si="125"/>
        <v/>
      </c>
      <c r="Q797" s="50" t="e">
        <f t="shared" si="126"/>
        <v>#REF!</v>
      </c>
    </row>
    <row r="798" spans="1:17">
      <c r="A798" s="101" t="s">
        <v>212</v>
      </c>
      <c r="B798" s="101">
        <v>5</v>
      </c>
      <c r="C798" s="101">
        <v>2024</v>
      </c>
      <c r="D798" s="101" t="s">
        <v>211</v>
      </c>
      <c r="E798" s="101" t="s">
        <v>211</v>
      </c>
      <c r="F798" s="194">
        <v>45444</v>
      </c>
      <c r="G798" s="101">
        <f t="shared" si="124"/>
        <v>30</v>
      </c>
      <c r="H798" s="103">
        <f t="shared" si="116"/>
        <v>45447</v>
      </c>
      <c r="I798" s="141">
        <f>_xlfn.XLOOKUP(Table12[[#This Row],[Month Year]],'Modelling New'!D:D,'Modelling New'!N:N)</f>
        <v>10.507</v>
      </c>
      <c r="J798" s="50" t="e">
        <f>'Raw Data'!#REF!/J$1</f>
        <v>#REF!</v>
      </c>
      <c r="K798" s="50" t="e">
        <f>'Raw Data'!#REF!/K$1</f>
        <v>#REF!</v>
      </c>
      <c r="L798" s="50" t="e">
        <f>'Raw Data'!#REF!/L$1</f>
        <v>#REF!</v>
      </c>
      <c r="M798" s="50" t="e">
        <f>'Raw Data'!#REF!/M$1</f>
        <v>#REF!</v>
      </c>
      <c r="N798" s="50" t="e">
        <f>'Raw Data'!#REF!/N$1</f>
        <v>#REF!</v>
      </c>
      <c r="O798" s="50" t="e">
        <f>'Raw Data'!#REF!/O$1</f>
        <v>#REF!</v>
      </c>
      <c r="P798" s="50" t="str">
        <f t="shared" si="125"/>
        <v/>
      </c>
      <c r="Q798" s="50" t="e">
        <f t="shared" si="126"/>
        <v>#REF!</v>
      </c>
    </row>
    <row r="799" spans="1:17">
      <c r="A799" s="101" t="s">
        <v>212</v>
      </c>
      <c r="B799" s="101">
        <v>5</v>
      </c>
      <c r="C799" s="101">
        <v>2024</v>
      </c>
      <c r="D799" s="101" t="s">
        <v>211</v>
      </c>
      <c r="E799" s="101" t="s">
        <v>211</v>
      </c>
      <c r="F799" s="194">
        <v>45444</v>
      </c>
      <c r="G799" s="101">
        <f t="shared" si="124"/>
        <v>30</v>
      </c>
      <c r="H799" s="103">
        <f t="shared" si="116"/>
        <v>45448</v>
      </c>
      <c r="I799" s="141">
        <f>_xlfn.XLOOKUP(Table12[[#This Row],[Month Year]],'Modelling New'!D:D,'Modelling New'!N:N)</f>
        <v>10.507</v>
      </c>
      <c r="J799" s="50" t="e">
        <f>'Raw Data'!#REF!/J$1</f>
        <v>#REF!</v>
      </c>
      <c r="K799" s="50" t="e">
        <f>'Raw Data'!#REF!/K$1</f>
        <v>#REF!</v>
      </c>
      <c r="L799" s="50" t="e">
        <f>'Raw Data'!#REF!/L$1</f>
        <v>#REF!</v>
      </c>
      <c r="M799" s="50" t="e">
        <f>'Raw Data'!#REF!/M$1</f>
        <v>#REF!</v>
      </c>
      <c r="N799" s="50" t="e">
        <f>'Raw Data'!#REF!/N$1</f>
        <v>#REF!</v>
      </c>
      <c r="O799" s="50" t="e">
        <f>'Raw Data'!#REF!/O$1</f>
        <v>#REF!</v>
      </c>
      <c r="P799" s="50" t="str">
        <f t="shared" si="125"/>
        <v/>
      </c>
      <c r="Q799" s="50" t="e">
        <f t="shared" si="126"/>
        <v>#REF!</v>
      </c>
    </row>
    <row r="800" spans="1:17">
      <c r="A800" s="101" t="s">
        <v>212</v>
      </c>
      <c r="B800" s="101">
        <v>5</v>
      </c>
      <c r="C800" s="101">
        <v>2024</v>
      </c>
      <c r="D800" s="101" t="s">
        <v>211</v>
      </c>
      <c r="E800" s="101" t="s">
        <v>211</v>
      </c>
      <c r="F800" s="194">
        <v>45444</v>
      </c>
      <c r="G800" s="101">
        <f t="shared" si="124"/>
        <v>30</v>
      </c>
      <c r="H800" s="103">
        <f t="shared" si="116"/>
        <v>45449</v>
      </c>
      <c r="I800" s="141">
        <f>_xlfn.XLOOKUP(Table12[[#This Row],[Month Year]],'Modelling New'!D:D,'Modelling New'!N:N)</f>
        <v>10.507</v>
      </c>
      <c r="J800" s="50" t="e">
        <f>'Raw Data'!#REF!/J$1</f>
        <v>#REF!</v>
      </c>
      <c r="K800" s="50" t="e">
        <f>'Raw Data'!#REF!/K$1</f>
        <v>#REF!</v>
      </c>
      <c r="L800" s="50" t="e">
        <f>'Raw Data'!#REF!/L$1</f>
        <v>#REF!</v>
      </c>
      <c r="M800" s="50" t="e">
        <f>'Raw Data'!#REF!/M$1</f>
        <v>#REF!</v>
      </c>
      <c r="N800" s="50" t="e">
        <f>'Raw Data'!#REF!/N$1</f>
        <v>#REF!</v>
      </c>
      <c r="O800" s="50" t="e">
        <f>'Raw Data'!#REF!/O$1</f>
        <v>#REF!</v>
      </c>
      <c r="P800" s="50" t="str">
        <f t="shared" si="125"/>
        <v/>
      </c>
      <c r="Q800" s="50" t="e">
        <f t="shared" si="126"/>
        <v>#REF!</v>
      </c>
    </row>
    <row r="801" spans="1:17">
      <c r="A801" s="101" t="s">
        <v>212</v>
      </c>
      <c r="B801" s="101">
        <v>5</v>
      </c>
      <c r="C801" s="101">
        <v>2024</v>
      </c>
      <c r="D801" s="101" t="s">
        <v>211</v>
      </c>
      <c r="E801" s="101" t="s">
        <v>211</v>
      </c>
      <c r="F801" s="194">
        <v>45444</v>
      </c>
      <c r="G801" s="101">
        <f t="shared" si="124"/>
        <v>30</v>
      </c>
      <c r="H801" s="103">
        <f t="shared" si="116"/>
        <v>45450</v>
      </c>
      <c r="I801" s="141">
        <f>_xlfn.XLOOKUP(Table12[[#This Row],[Month Year]],'Modelling New'!D:D,'Modelling New'!N:N)</f>
        <v>10.507</v>
      </c>
      <c r="J801" s="50" t="e">
        <f>'Raw Data'!#REF!/J$1</f>
        <v>#REF!</v>
      </c>
      <c r="K801" s="50" t="e">
        <f>'Raw Data'!#REF!/K$1</f>
        <v>#REF!</v>
      </c>
      <c r="L801" s="50" t="e">
        <f>'Raw Data'!#REF!/L$1</f>
        <v>#REF!</v>
      </c>
      <c r="M801" s="50" t="e">
        <f>'Raw Data'!#REF!/M$1</f>
        <v>#REF!</v>
      </c>
      <c r="N801" s="50" t="e">
        <f>'Raw Data'!#REF!/N$1</f>
        <v>#REF!</v>
      </c>
      <c r="O801" s="50" t="e">
        <f>'Raw Data'!#REF!/O$1</f>
        <v>#REF!</v>
      </c>
      <c r="P801" s="50" t="str">
        <f t="shared" si="125"/>
        <v/>
      </c>
      <c r="Q801" s="50" t="e">
        <f t="shared" si="126"/>
        <v>#REF!</v>
      </c>
    </row>
    <row r="802" spans="1:17">
      <c r="A802" s="101" t="s">
        <v>212</v>
      </c>
      <c r="B802" s="101">
        <v>5</v>
      </c>
      <c r="C802" s="101">
        <v>2024</v>
      </c>
      <c r="D802" s="101" t="s">
        <v>211</v>
      </c>
      <c r="E802" s="101" t="s">
        <v>211</v>
      </c>
      <c r="F802" s="194">
        <v>45444</v>
      </c>
      <c r="G802" s="101">
        <f t="shared" si="124"/>
        <v>30</v>
      </c>
      <c r="H802" s="103">
        <f t="shared" si="116"/>
        <v>45451</v>
      </c>
      <c r="I802" s="141">
        <f>_xlfn.XLOOKUP(Table12[[#This Row],[Month Year]],'Modelling New'!D:D,'Modelling New'!N:N)</f>
        <v>10.507</v>
      </c>
      <c r="J802" s="50" t="e">
        <f>'Raw Data'!#REF!/J$1</f>
        <v>#REF!</v>
      </c>
      <c r="K802" s="50" t="e">
        <f>'Raw Data'!#REF!/K$1</f>
        <v>#REF!</v>
      </c>
      <c r="L802" s="50" t="e">
        <f>'Raw Data'!#REF!/L$1</f>
        <v>#REF!</v>
      </c>
      <c r="M802" s="50" t="e">
        <f>'Raw Data'!#REF!/M$1</f>
        <v>#REF!</v>
      </c>
      <c r="N802" s="50" t="e">
        <f>'Raw Data'!#REF!/N$1</f>
        <v>#REF!</v>
      </c>
      <c r="O802" s="50" t="e">
        <f>'Raw Data'!#REF!/O$1</f>
        <v>#REF!</v>
      </c>
      <c r="P802" s="50" t="str">
        <f t="shared" si="125"/>
        <v/>
      </c>
      <c r="Q802" s="50" t="e">
        <f t="shared" si="126"/>
        <v>#REF!</v>
      </c>
    </row>
    <row r="803" spans="1:17">
      <c r="A803" s="101" t="s">
        <v>212</v>
      </c>
      <c r="B803" s="101">
        <v>5</v>
      </c>
      <c r="C803" s="101">
        <v>2024</v>
      </c>
      <c r="D803" s="101" t="s">
        <v>211</v>
      </c>
      <c r="E803" s="101" t="s">
        <v>211</v>
      </c>
      <c r="F803" s="194">
        <v>45444</v>
      </c>
      <c r="G803" s="101">
        <f t="shared" si="124"/>
        <v>30</v>
      </c>
      <c r="H803" s="103">
        <f t="shared" si="116"/>
        <v>45452</v>
      </c>
      <c r="I803" s="141">
        <f>_xlfn.XLOOKUP(Table12[[#This Row],[Month Year]],'Modelling New'!D:D,'Modelling New'!N:N)</f>
        <v>10.507</v>
      </c>
      <c r="J803" s="50" t="e">
        <f>'Raw Data'!#REF!/J$1</f>
        <v>#REF!</v>
      </c>
      <c r="K803" s="50" t="e">
        <f>'Raw Data'!#REF!/K$1</f>
        <v>#REF!</v>
      </c>
      <c r="L803" s="50" t="e">
        <f>'Raw Data'!#REF!/L$1</f>
        <v>#REF!</v>
      </c>
      <c r="M803" s="50" t="e">
        <f>'Raw Data'!#REF!/M$1</f>
        <v>#REF!</v>
      </c>
      <c r="N803" s="50" t="e">
        <f>'Raw Data'!#REF!/N$1</f>
        <v>#REF!</v>
      </c>
      <c r="O803" s="50" t="e">
        <f>'Raw Data'!#REF!/O$1</f>
        <v>#REF!</v>
      </c>
      <c r="P803" s="50" t="str">
        <f t="shared" si="125"/>
        <v/>
      </c>
      <c r="Q803" s="50" t="e">
        <f t="shared" si="126"/>
        <v>#REF!</v>
      </c>
    </row>
    <row r="804" spans="1:17">
      <c r="A804" s="101" t="s">
        <v>212</v>
      </c>
      <c r="B804" s="101">
        <v>5</v>
      </c>
      <c r="C804" s="101">
        <v>2024</v>
      </c>
      <c r="D804" s="101" t="s">
        <v>211</v>
      </c>
      <c r="E804" s="101" t="s">
        <v>211</v>
      </c>
      <c r="F804" s="194">
        <v>45444</v>
      </c>
      <c r="G804" s="101">
        <f t="shared" si="124"/>
        <v>30</v>
      </c>
      <c r="H804" s="103">
        <f t="shared" si="116"/>
        <v>45453</v>
      </c>
      <c r="I804" s="141">
        <f>_xlfn.XLOOKUP(Table12[[#This Row],[Month Year]],'Modelling New'!D:D,'Modelling New'!N:N)</f>
        <v>10.507</v>
      </c>
      <c r="J804" s="50" t="e">
        <f>'Raw Data'!#REF!/J$1</f>
        <v>#REF!</v>
      </c>
      <c r="K804" s="50" t="e">
        <f>'Raw Data'!#REF!/K$1</f>
        <v>#REF!</v>
      </c>
      <c r="L804" s="50" t="e">
        <f>'Raw Data'!#REF!/L$1</f>
        <v>#REF!</v>
      </c>
      <c r="M804" s="50" t="e">
        <f>'Raw Data'!#REF!/M$1</f>
        <v>#REF!</v>
      </c>
      <c r="N804" s="50" t="e">
        <f>'Raw Data'!#REF!/N$1</f>
        <v>#REF!</v>
      </c>
      <c r="O804" s="50" t="e">
        <f>'Raw Data'!#REF!/O$1</f>
        <v>#REF!</v>
      </c>
      <c r="P804" s="50" t="str">
        <f t="shared" si="125"/>
        <v/>
      </c>
      <c r="Q804" s="50" t="e">
        <f t="shared" si="126"/>
        <v>#REF!</v>
      </c>
    </row>
    <row r="805" spans="1:17">
      <c r="A805" s="101" t="s">
        <v>212</v>
      </c>
      <c r="B805" s="101">
        <v>5</v>
      </c>
      <c r="C805" s="101">
        <v>2024</v>
      </c>
      <c r="D805" s="101" t="s">
        <v>211</v>
      </c>
      <c r="E805" s="101" t="s">
        <v>211</v>
      </c>
      <c r="F805" s="194">
        <v>45444</v>
      </c>
      <c r="G805" s="101">
        <f t="shared" si="124"/>
        <v>30</v>
      </c>
      <c r="H805" s="103">
        <f t="shared" si="116"/>
        <v>45454</v>
      </c>
      <c r="I805" s="141">
        <f>_xlfn.XLOOKUP(Table12[[#This Row],[Month Year]],'Modelling New'!D:D,'Modelling New'!N:N)</f>
        <v>10.507</v>
      </c>
      <c r="J805" s="50" t="e">
        <f>'Raw Data'!#REF!/J$1</f>
        <v>#REF!</v>
      </c>
      <c r="K805" s="50" t="e">
        <f>'Raw Data'!#REF!/K$1</f>
        <v>#REF!</v>
      </c>
      <c r="L805" s="50" t="e">
        <f>'Raw Data'!#REF!/L$1</f>
        <v>#REF!</v>
      </c>
      <c r="M805" s="50" t="e">
        <f>'Raw Data'!#REF!/M$1</f>
        <v>#REF!</v>
      </c>
      <c r="N805" s="50" t="e">
        <f>'Raw Data'!#REF!/N$1</f>
        <v>#REF!</v>
      </c>
      <c r="O805" s="50" t="e">
        <f>'Raw Data'!#REF!/O$1</f>
        <v>#REF!</v>
      </c>
      <c r="P805" s="50" t="str">
        <f t="shared" si="125"/>
        <v/>
      </c>
      <c r="Q805" s="50" t="e">
        <f t="shared" si="126"/>
        <v>#REF!</v>
      </c>
    </row>
    <row r="806" spans="1:17">
      <c r="A806" s="101" t="s">
        <v>212</v>
      </c>
      <c r="B806" s="101">
        <v>5</v>
      </c>
      <c r="C806" s="101">
        <v>2024</v>
      </c>
      <c r="D806" s="101" t="s">
        <v>211</v>
      </c>
      <c r="E806" s="101" t="s">
        <v>211</v>
      </c>
      <c r="F806" s="194">
        <v>45444</v>
      </c>
      <c r="G806" s="101">
        <f t="shared" si="124"/>
        <v>30</v>
      </c>
      <c r="H806" s="103">
        <f t="shared" si="116"/>
        <v>45455</v>
      </c>
      <c r="I806" s="141">
        <f>_xlfn.XLOOKUP(Table12[[#This Row],[Month Year]],'Modelling New'!D:D,'Modelling New'!N:N)</f>
        <v>10.507</v>
      </c>
      <c r="J806" s="50" t="e">
        <f>'Raw Data'!#REF!/J$1</f>
        <v>#REF!</v>
      </c>
      <c r="K806" s="50" t="e">
        <f>'Raw Data'!#REF!/K$1</f>
        <v>#REF!</v>
      </c>
      <c r="L806" s="50" t="e">
        <f>'Raw Data'!#REF!/L$1</f>
        <v>#REF!</v>
      </c>
      <c r="M806" s="50" t="e">
        <f>'Raw Data'!#REF!/M$1</f>
        <v>#REF!</v>
      </c>
      <c r="N806" s="50" t="e">
        <f>'Raw Data'!#REF!/N$1</f>
        <v>#REF!</v>
      </c>
      <c r="O806" s="50" t="e">
        <f>'Raw Data'!#REF!/O$1</f>
        <v>#REF!</v>
      </c>
      <c r="P806" s="50" t="str">
        <f t="shared" si="125"/>
        <v/>
      </c>
      <c r="Q806" s="50" t="e">
        <f t="shared" si="126"/>
        <v>#REF!</v>
      </c>
    </row>
    <row r="807" spans="1:17">
      <c r="A807" s="101" t="s">
        <v>212</v>
      </c>
      <c r="B807" s="101">
        <v>5</v>
      </c>
      <c r="C807" s="101">
        <v>2024</v>
      </c>
      <c r="D807" s="101" t="s">
        <v>211</v>
      </c>
      <c r="E807" s="101" t="s">
        <v>211</v>
      </c>
      <c r="F807" s="194">
        <v>45444</v>
      </c>
      <c r="G807" s="101">
        <f t="shared" si="124"/>
        <v>30</v>
      </c>
      <c r="H807" s="103">
        <f t="shared" si="116"/>
        <v>45456</v>
      </c>
      <c r="I807" s="141">
        <f>_xlfn.XLOOKUP(Table12[[#This Row],[Month Year]],'Modelling New'!D:D,'Modelling New'!N:N)</f>
        <v>10.507</v>
      </c>
      <c r="J807" s="50" t="e">
        <f>'Raw Data'!#REF!/J$1</f>
        <v>#REF!</v>
      </c>
      <c r="K807" s="50" t="e">
        <f>'Raw Data'!#REF!/K$1</f>
        <v>#REF!</v>
      </c>
      <c r="L807" s="50" t="e">
        <f>'Raw Data'!#REF!/L$1</f>
        <v>#REF!</v>
      </c>
      <c r="M807" s="50" t="e">
        <f>'Raw Data'!#REF!/M$1</f>
        <v>#REF!</v>
      </c>
      <c r="N807" s="50" t="e">
        <f>'Raw Data'!#REF!/N$1</f>
        <v>#REF!</v>
      </c>
      <c r="O807" s="50" t="e">
        <f>'Raw Data'!#REF!/O$1</f>
        <v>#REF!</v>
      </c>
      <c r="P807" s="50" t="str">
        <f t="shared" si="125"/>
        <v/>
      </c>
      <c r="Q807" s="50" t="e">
        <f t="shared" si="126"/>
        <v>#REF!</v>
      </c>
    </row>
    <row r="808" spans="1:17">
      <c r="A808" s="101" t="s">
        <v>212</v>
      </c>
      <c r="B808" s="101">
        <v>5</v>
      </c>
      <c r="C808" s="101">
        <v>2024</v>
      </c>
      <c r="D808" s="101" t="s">
        <v>211</v>
      </c>
      <c r="E808" s="101" t="s">
        <v>211</v>
      </c>
      <c r="F808" s="194">
        <v>45444</v>
      </c>
      <c r="G808" s="101">
        <f t="shared" si="124"/>
        <v>30</v>
      </c>
      <c r="H808" s="103">
        <f t="shared" si="116"/>
        <v>45457</v>
      </c>
      <c r="I808" s="141">
        <f>_xlfn.XLOOKUP(Table12[[#This Row],[Month Year]],'Modelling New'!D:D,'Modelling New'!N:N)</f>
        <v>10.507</v>
      </c>
      <c r="J808" s="50" t="e">
        <f>'Raw Data'!#REF!/J$1</f>
        <v>#REF!</v>
      </c>
      <c r="K808" s="50" t="e">
        <f>'Raw Data'!#REF!/K$1</f>
        <v>#REF!</v>
      </c>
      <c r="L808" s="50" t="e">
        <f>'Raw Data'!#REF!/L$1</f>
        <v>#REF!</v>
      </c>
      <c r="M808" s="50" t="e">
        <f>'Raw Data'!#REF!/M$1</f>
        <v>#REF!</v>
      </c>
      <c r="N808" s="50" t="e">
        <f>'Raw Data'!#REF!/N$1</f>
        <v>#REF!</v>
      </c>
      <c r="O808" s="50" t="e">
        <f>'Raw Data'!#REF!/O$1</f>
        <v>#REF!</v>
      </c>
      <c r="P808" s="50" t="str">
        <f t="shared" si="125"/>
        <v/>
      </c>
      <c r="Q808" s="50" t="e">
        <f t="shared" si="126"/>
        <v>#REF!</v>
      </c>
    </row>
    <row r="809" spans="1:17">
      <c r="A809" s="101" t="s">
        <v>212</v>
      </c>
      <c r="B809" s="101">
        <v>5</v>
      </c>
      <c r="C809" s="101">
        <v>2024</v>
      </c>
      <c r="D809" s="101" t="s">
        <v>211</v>
      </c>
      <c r="E809" s="101" t="s">
        <v>211</v>
      </c>
      <c r="F809" s="194">
        <v>45444</v>
      </c>
      <c r="G809" s="101">
        <f t="shared" si="124"/>
        <v>30</v>
      </c>
      <c r="H809" s="103">
        <f t="shared" si="116"/>
        <v>45458</v>
      </c>
      <c r="I809" s="141">
        <f>_xlfn.XLOOKUP(Table12[[#This Row],[Month Year]],'Modelling New'!D:D,'Modelling New'!N:N)</f>
        <v>10.507</v>
      </c>
      <c r="J809" s="50" t="e">
        <f>'Raw Data'!#REF!/J$1</f>
        <v>#REF!</v>
      </c>
      <c r="K809" s="50" t="e">
        <f>'Raw Data'!#REF!/K$1</f>
        <v>#REF!</v>
      </c>
      <c r="L809" s="50" t="e">
        <f>'Raw Data'!#REF!/L$1</f>
        <v>#REF!</v>
      </c>
      <c r="M809" s="50" t="e">
        <f>'Raw Data'!#REF!/M$1</f>
        <v>#REF!</v>
      </c>
      <c r="N809" s="50" t="e">
        <f>'Raw Data'!#REF!/N$1</f>
        <v>#REF!</v>
      </c>
      <c r="O809" s="50" t="e">
        <f>'Raw Data'!#REF!/O$1</f>
        <v>#REF!</v>
      </c>
      <c r="P809" s="50" t="str">
        <f t="shared" si="125"/>
        <v/>
      </c>
      <c r="Q809" s="50" t="e">
        <f t="shared" si="126"/>
        <v>#REF!</v>
      </c>
    </row>
    <row r="810" spans="1:17">
      <c r="A810" s="101" t="s">
        <v>212</v>
      </c>
      <c r="B810" s="101">
        <v>5</v>
      </c>
      <c r="C810" s="101">
        <v>2024</v>
      </c>
      <c r="D810" s="101" t="s">
        <v>211</v>
      </c>
      <c r="E810" s="101" t="s">
        <v>211</v>
      </c>
      <c r="F810" s="194">
        <v>45444</v>
      </c>
      <c r="G810" s="101">
        <f t="shared" si="124"/>
        <v>30</v>
      </c>
      <c r="H810" s="103">
        <f t="shared" si="116"/>
        <v>45459</v>
      </c>
      <c r="I810" s="141">
        <f>_xlfn.XLOOKUP(Table12[[#This Row],[Month Year]],'Modelling New'!D:D,'Modelling New'!N:N)</f>
        <v>10.507</v>
      </c>
      <c r="J810" s="50" t="e">
        <f>'Raw Data'!#REF!/J$1</f>
        <v>#REF!</v>
      </c>
      <c r="K810" s="50" t="e">
        <f>'Raw Data'!#REF!/K$1</f>
        <v>#REF!</v>
      </c>
      <c r="L810" s="50" t="e">
        <f>'Raw Data'!#REF!/L$1</f>
        <v>#REF!</v>
      </c>
      <c r="M810" s="50" t="e">
        <f>'Raw Data'!#REF!/M$1</f>
        <v>#REF!</v>
      </c>
      <c r="N810" s="50" t="e">
        <f>'Raw Data'!#REF!/N$1</f>
        <v>#REF!</v>
      </c>
      <c r="O810" s="50" t="e">
        <f>'Raw Data'!#REF!/O$1</f>
        <v>#REF!</v>
      </c>
      <c r="P810" s="50" t="str">
        <f t="shared" si="125"/>
        <v/>
      </c>
      <c r="Q810" s="50" t="e">
        <f t="shared" si="126"/>
        <v>#REF!</v>
      </c>
    </row>
    <row r="811" spans="1:17">
      <c r="A811" s="101" t="s">
        <v>212</v>
      </c>
      <c r="B811" s="101">
        <v>5</v>
      </c>
      <c r="C811" s="101">
        <v>2024</v>
      </c>
      <c r="D811" s="101" t="s">
        <v>211</v>
      </c>
      <c r="E811" s="101" t="s">
        <v>211</v>
      </c>
      <c r="F811" s="194">
        <v>45444</v>
      </c>
      <c r="G811" s="101">
        <f t="shared" si="124"/>
        <v>30</v>
      </c>
      <c r="H811" s="103">
        <f t="shared" si="116"/>
        <v>45460</v>
      </c>
      <c r="I811" s="141">
        <f>_xlfn.XLOOKUP(Table12[[#This Row],[Month Year]],'Modelling New'!D:D,'Modelling New'!N:N)</f>
        <v>10.507</v>
      </c>
      <c r="J811" s="50" t="e">
        <f>'Raw Data'!#REF!/J$1</f>
        <v>#REF!</v>
      </c>
      <c r="K811" s="50" t="e">
        <f>'Raw Data'!#REF!/K$1</f>
        <v>#REF!</v>
      </c>
      <c r="L811" s="50" t="e">
        <f>'Raw Data'!#REF!/L$1</f>
        <v>#REF!</v>
      </c>
      <c r="M811" s="50" t="e">
        <f>'Raw Data'!#REF!/M$1</f>
        <v>#REF!</v>
      </c>
      <c r="N811" s="50" t="e">
        <f>'Raw Data'!#REF!/N$1</f>
        <v>#REF!</v>
      </c>
      <c r="O811" s="50" t="e">
        <f>'Raw Data'!#REF!/O$1</f>
        <v>#REF!</v>
      </c>
      <c r="P811" s="50" t="str">
        <f t="shared" si="125"/>
        <v/>
      </c>
      <c r="Q811" s="50" t="e">
        <f t="shared" si="126"/>
        <v>#REF!</v>
      </c>
    </row>
    <row r="812" spans="1:17">
      <c r="A812" s="101" t="s">
        <v>212</v>
      </c>
      <c r="B812" s="101">
        <v>5</v>
      </c>
      <c r="C812" s="101">
        <v>2024</v>
      </c>
      <c r="D812" s="101" t="s">
        <v>211</v>
      </c>
      <c r="E812" s="101" t="s">
        <v>211</v>
      </c>
      <c r="F812" s="194">
        <v>45444</v>
      </c>
      <c r="G812" s="101">
        <f t="shared" si="124"/>
        <v>30</v>
      </c>
      <c r="H812" s="103">
        <f t="shared" si="116"/>
        <v>45461</v>
      </c>
      <c r="I812" s="141">
        <f>_xlfn.XLOOKUP(Table12[[#This Row],[Month Year]],'Modelling New'!D:D,'Modelling New'!N:N)</f>
        <v>10.507</v>
      </c>
      <c r="J812" s="50" t="e">
        <f>'Raw Data'!#REF!/J$1</f>
        <v>#REF!</v>
      </c>
      <c r="K812" s="50" t="e">
        <f>'Raw Data'!#REF!/K$1</f>
        <v>#REF!</v>
      </c>
      <c r="L812" s="50" t="e">
        <f>'Raw Data'!#REF!/L$1</f>
        <v>#REF!</v>
      </c>
      <c r="M812" s="50" t="e">
        <f>'Raw Data'!#REF!/M$1</f>
        <v>#REF!</v>
      </c>
      <c r="N812" s="50" t="e">
        <f>'Raw Data'!#REF!/N$1</f>
        <v>#REF!</v>
      </c>
      <c r="O812" s="50" t="e">
        <f>'Raw Data'!#REF!/O$1</f>
        <v>#REF!</v>
      </c>
      <c r="P812" s="50" t="str">
        <f t="shared" si="125"/>
        <v/>
      </c>
      <c r="Q812" s="50" t="e">
        <f t="shared" si="126"/>
        <v>#REF!</v>
      </c>
    </row>
    <row r="813" spans="1:17">
      <c r="A813" s="101" t="s">
        <v>212</v>
      </c>
      <c r="B813" s="101">
        <v>5</v>
      </c>
      <c r="C813" s="101">
        <v>2024</v>
      </c>
      <c r="D813" s="101" t="s">
        <v>211</v>
      </c>
      <c r="E813" s="101" t="s">
        <v>211</v>
      </c>
      <c r="F813" s="194">
        <v>45444</v>
      </c>
      <c r="G813" s="101">
        <f t="shared" si="124"/>
        <v>30</v>
      </c>
      <c r="H813" s="103">
        <f t="shared" si="116"/>
        <v>45462</v>
      </c>
      <c r="I813" s="141">
        <f>_xlfn.XLOOKUP(Table12[[#This Row],[Month Year]],'Modelling New'!D:D,'Modelling New'!N:N)</f>
        <v>10.507</v>
      </c>
      <c r="J813" s="50" t="e">
        <f>'Raw Data'!#REF!/J$1</f>
        <v>#REF!</v>
      </c>
      <c r="K813" s="50" t="e">
        <f>'Raw Data'!#REF!/K$1</f>
        <v>#REF!</v>
      </c>
      <c r="L813" s="50" t="e">
        <f>'Raw Data'!#REF!/L$1</f>
        <v>#REF!</v>
      </c>
      <c r="M813" s="50" t="e">
        <f>'Raw Data'!#REF!/M$1</f>
        <v>#REF!</v>
      </c>
      <c r="N813" s="50" t="e">
        <f>'Raw Data'!#REF!/N$1</f>
        <v>#REF!</v>
      </c>
      <c r="O813" s="50" t="e">
        <f>'Raw Data'!#REF!/O$1</f>
        <v>#REF!</v>
      </c>
      <c r="P813" s="50" t="str">
        <f t="shared" si="125"/>
        <v/>
      </c>
      <c r="Q813" s="50" t="e">
        <f t="shared" si="126"/>
        <v>#REF!</v>
      </c>
    </row>
    <row r="814" spans="1:17">
      <c r="A814" s="101" t="s">
        <v>212</v>
      </c>
      <c r="B814" s="101">
        <v>5</v>
      </c>
      <c r="C814" s="101">
        <v>2024</v>
      </c>
      <c r="D814" s="101" t="s">
        <v>211</v>
      </c>
      <c r="E814" s="101" t="s">
        <v>211</v>
      </c>
      <c r="F814" s="194">
        <v>45444</v>
      </c>
      <c r="G814" s="101">
        <f t="shared" ref="G814:G823" si="127">DAY(EOMONTH(F814,0))</f>
        <v>30</v>
      </c>
      <c r="H814" s="103">
        <f t="shared" si="116"/>
        <v>45463</v>
      </c>
      <c r="I814" s="141">
        <f>_xlfn.XLOOKUP(Table12[[#This Row],[Month Year]],'Modelling New'!D:D,'Modelling New'!N:N)</f>
        <v>10.507</v>
      </c>
      <c r="J814" s="50" t="e">
        <f>'Raw Data'!#REF!/J$1</f>
        <v>#REF!</v>
      </c>
      <c r="K814" s="50" t="e">
        <f>'Raw Data'!#REF!/K$1</f>
        <v>#REF!</v>
      </c>
      <c r="L814" s="50" t="e">
        <f>'Raw Data'!#REF!/L$1</f>
        <v>#REF!</v>
      </c>
      <c r="M814" s="50" t="e">
        <f>'Raw Data'!#REF!/M$1</f>
        <v>#REF!</v>
      </c>
      <c r="N814" s="50" t="e">
        <f>'Raw Data'!#REF!/N$1</f>
        <v>#REF!</v>
      </c>
      <c r="O814" s="50" t="e">
        <f>'Raw Data'!#REF!/O$1</f>
        <v>#REF!</v>
      </c>
      <c r="P814" s="50" t="str">
        <f t="shared" ref="P814:P823" si="128">IFERROR(AVERAGEIF(J814:O814,"&gt;"&amp;0,J814:O814),"")</f>
        <v/>
      </c>
      <c r="Q814" s="50" t="e">
        <f t="shared" ref="Q814:Q823" si="129">MAXA(J814:O814)</f>
        <v>#REF!</v>
      </c>
    </row>
    <row r="815" spans="1:17">
      <c r="A815" s="101" t="s">
        <v>212</v>
      </c>
      <c r="B815" s="101">
        <v>5</v>
      </c>
      <c r="C815" s="101">
        <v>2024</v>
      </c>
      <c r="D815" s="101" t="s">
        <v>211</v>
      </c>
      <c r="E815" s="101" t="s">
        <v>211</v>
      </c>
      <c r="F815" s="194">
        <v>45444</v>
      </c>
      <c r="G815" s="101">
        <f t="shared" si="127"/>
        <v>30</v>
      </c>
      <c r="H815" s="103">
        <f t="shared" si="116"/>
        <v>45464</v>
      </c>
      <c r="I815" s="141">
        <f>_xlfn.XLOOKUP(Table12[[#This Row],[Month Year]],'Modelling New'!D:D,'Modelling New'!N:N)</f>
        <v>10.507</v>
      </c>
      <c r="J815" s="50" t="e">
        <f>'Raw Data'!#REF!/J$1</f>
        <v>#REF!</v>
      </c>
      <c r="K815" s="50" t="e">
        <f>'Raw Data'!#REF!/K$1</f>
        <v>#REF!</v>
      </c>
      <c r="L815" s="50" t="e">
        <f>'Raw Data'!#REF!/L$1</f>
        <v>#REF!</v>
      </c>
      <c r="M815" s="50" t="e">
        <f>'Raw Data'!#REF!/M$1</f>
        <v>#REF!</v>
      </c>
      <c r="N815" s="50" t="e">
        <f>'Raw Data'!#REF!/N$1</f>
        <v>#REF!</v>
      </c>
      <c r="O815" s="50" t="e">
        <f>'Raw Data'!#REF!/O$1</f>
        <v>#REF!</v>
      </c>
      <c r="P815" s="50" t="str">
        <f t="shared" si="128"/>
        <v/>
      </c>
      <c r="Q815" s="50" t="e">
        <f t="shared" si="129"/>
        <v>#REF!</v>
      </c>
    </row>
    <row r="816" spans="1:17">
      <c r="A816" s="101" t="s">
        <v>212</v>
      </c>
      <c r="B816" s="101">
        <v>5</v>
      </c>
      <c r="C816" s="101">
        <v>2024</v>
      </c>
      <c r="D816" s="101" t="s">
        <v>211</v>
      </c>
      <c r="E816" s="101" t="s">
        <v>211</v>
      </c>
      <c r="F816" s="194">
        <v>45444</v>
      </c>
      <c r="G816" s="101">
        <f t="shared" si="127"/>
        <v>30</v>
      </c>
      <c r="H816" s="103">
        <f t="shared" si="116"/>
        <v>45465</v>
      </c>
      <c r="I816" s="141">
        <f>_xlfn.XLOOKUP(Table12[[#This Row],[Month Year]],'Modelling New'!D:D,'Modelling New'!N:N)</f>
        <v>10.507</v>
      </c>
      <c r="J816" s="50" t="e">
        <f>'Raw Data'!#REF!/J$1</f>
        <v>#REF!</v>
      </c>
      <c r="K816" s="50" t="e">
        <f>'Raw Data'!#REF!/K$1</f>
        <v>#REF!</v>
      </c>
      <c r="L816" s="50" t="e">
        <f>'Raw Data'!#REF!/L$1</f>
        <v>#REF!</v>
      </c>
      <c r="M816" s="50" t="e">
        <f>'Raw Data'!#REF!/M$1</f>
        <v>#REF!</v>
      </c>
      <c r="N816" s="50" t="e">
        <f>'Raw Data'!#REF!/N$1</f>
        <v>#REF!</v>
      </c>
      <c r="O816" s="50" t="e">
        <f>'Raw Data'!#REF!/O$1</f>
        <v>#REF!</v>
      </c>
      <c r="P816" s="50" t="str">
        <f t="shared" si="128"/>
        <v/>
      </c>
      <c r="Q816" s="50" t="e">
        <f t="shared" si="129"/>
        <v>#REF!</v>
      </c>
    </row>
    <row r="817" spans="1:17">
      <c r="A817" s="101" t="s">
        <v>212</v>
      </c>
      <c r="B817" s="101">
        <v>5</v>
      </c>
      <c r="C817" s="101">
        <v>2024</v>
      </c>
      <c r="D817" s="101" t="s">
        <v>211</v>
      </c>
      <c r="E817" s="101" t="s">
        <v>211</v>
      </c>
      <c r="F817" s="194">
        <v>45444</v>
      </c>
      <c r="G817" s="101">
        <f t="shared" si="127"/>
        <v>30</v>
      </c>
      <c r="H817" s="103">
        <f t="shared" si="116"/>
        <v>45466</v>
      </c>
      <c r="I817" s="141">
        <f>_xlfn.XLOOKUP(Table12[[#This Row],[Month Year]],'Modelling New'!D:D,'Modelling New'!N:N)</f>
        <v>10.507</v>
      </c>
      <c r="J817" s="50" t="e">
        <f>'Raw Data'!#REF!/J$1</f>
        <v>#REF!</v>
      </c>
      <c r="K817" s="50" t="e">
        <f>'Raw Data'!#REF!/K$1</f>
        <v>#REF!</v>
      </c>
      <c r="L817" s="50" t="e">
        <f>'Raw Data'!#REF!/L$1</f>
        <v>#REF!</v>
      </c>
      <c r="M817" s="50" t="e">
        <f>'Raw Data'!#REF!/M$1</f>
        <v>#REF!</v>
      </c>
      <c r="N817" s="50" t="e">
        <f>'Raw Data'!#REF!/N$1</f>
        <v>#REF!</v>
      </c>
      <c r="O817" s="50" t="e">
        <f>'Raw Data'!#REF!/O$1</f>
        <v>#REF!</v>
      </c>
      <c r="P817" s="50" t="str">
        <f t="shared" si="128"/>
        <v/>
      </c>
      <c r="Q817" s="50" t="e">
        <f t="shared" si="129"/>
        <v>#REF!</v>
      </c>
    </row>
    <row r="818" spans="1:17">
      <c r="A818" s="101" t="s">
        <v>212</v>
      </c>
      <c r="B818" s="101">
        <v>5</v>
      </c>
      <c r="C818" s="101">
        <v>2024</v>
      </c>
      <c r="D818" s="101" t="s">
        <v>211</v>
      </c>
      <c r="E818" s="101" t="s">
        <v>211</v>
      </c>
      <c r="F818" s="194">
        <v>45444</v>
      </c>
      <c r="G818" s="101">
        <f t="shared" si="127"/>
        <v>30</v>
      </c>
      <c r="H818" s="103">
        <f t="shared" si="116"/>
        <v>45467</v>
      </c>
      <c r="I818" s="141">
        <f>_xlfn.XLOOKUP(Table12[[#This Row],[Month Year]],'Modelling New'!D:D,'Modelling New'!N:N)</f>
        <v>10.507</v>
      </c>
      <c r="J818" s="50" t="e">
        <f>'Raw Data'!#REF!/J$1</f>
        <v>#REF!</v>
      </c>
      <c r="K818" s="50" t="e">
        <f>'Raw Data'!#REF!/K$1</f>
        <v>#REF!</v>
      </c>
      <c r="L818" s="50" t="e">
        <f>'Raw Data'!#REF!/L$1</f>
        <v>#REF!</v>
      </c>
      <c r="M818" s="50" t="e">
        <f>'Raw Data'!#REF!/M$1</f>
        <v>#REF!</v>
      </c>
      <c r="N818" s="50" t="e">
        <f>'Raw Data'!#REF!/N$1</f>
        <v>#REF!</v>
      </c>
      <c r="O818" s="50" t="e">
        <f>'Raw Data'!#REF!/O$1</f>
        <v>#REF!</v>
      </c>
      <c r="P818" s="50" t="str">
        <f t="shared" si="128"/>
        <v/>
      </c>
      <c r="Q818" s="50" t="e">
        <f t="shared" si="129"/>
        <v>#REF!</v>
      </c>
    </row>
    <row r="819" spans="1:17">
      <c r="A819" s="101" t="s">
        <v>212</v>
      </c>
      <c r="B819" s="101">
        <v>5</v>
      </c>
      <c r="C819" s="101">
        <v>2024</v>
      </c>
      <c r="D819" s="101" t="s">
        <v>211</v>
      </c>
      <c r="E819" s="101" t="s">
        <v>211</v>
      </c>
      <c r="F819" s="194">
        <v>45444</v>
      </c>
      <c r="G819" s="101">
        <f t="shared" si="127"/>
        <v>30</v>
      </c>
      <c r="H819" s="103">
        <f t="shared" si="116"/>
        <v>45468</v>
      </c>
      <c r="I819" s="141">
        <f>_xlfn.XLOOKUP(Table12[[#This Row],[Month Year]],'Modelling New'!D:D,'Modelling New'!N:N)</f>
        <v>10.507</v>
      </c>
      <c r="J819" s="50" t="e">
        <f>'Raw Data'!#REF!/J$1</f>
        <v>#REF!</v>
      </c>
      <c r="K819" s="50" t="e">
        <f>'Raw Data'!#REF!/K$1</f>
        <v>#REF!</v>
      </c>
      <c r="L819" s="50" t="e">
        <f>'Raw Data'!#REF!/L$1</f>
        <v>#REF!</v>
      </c>
      <c r="M819" s="50" t="e">
        <f>'Raw Data'!#REF!/M$1</f>
        <v>#REF!</v>
      </c>
      <c r="N819" s="50" t="e">
        <f>'Raw Data'!#REF!/N$1</f>
        <v>#REF!</v>
      </c>
      <c r="O819" s="50" t="e">
        <f>'Raw Data'!#REF!/O$1</f>
        <v>#REF!</v>
      </c>
      <c r="P819" s="50" t="str">
        <f t="shared" si="128"/>
        <v/>
      </c>
      <c r="Q819" s="50" t="e">
        <f t="shared" si="129"/>
        <v>#REF!</v>
      </c>
    </row>
    <row r="820" spans="1:17">
      <c r="A820" s="101" t="s">
        <v>212</v>
      </c>
      <c r="B820" s="101">
        <v>5</v>
      </c>
      <c r="C820" s="101">
        <v>2024</v>
      </c>
      <c r="D820" s="101" t="s">
        <v>211</v>
      </c>
      <c r="E820" s="101" t="s">
        <v>211</v>
      </c>
      <c r="F820" s="194">
        <v>45444</v>
      </c>
      <c r="G820" s="101">
        <f t="shared" si="127"/>
        <v>30</v>
      </c>
      <c r="H820" s="103">
        <f t="shared" si="116"/>
        <v>45469</v>
      </c>
      <c r="I820" s="141">
        <f>_xlfn.XLOOKUP(Table12[[#This Row],[Month Year]],'Modelling New'!D:D,'Modelling New'!N:N)</f>
        <v>10.507</v>
      </c>
      <c r="J820" s="50" t="e">
        <f>'Raw Data'!#REF!/J$1</f>
        <v>#REF!</v>
      </c>
      <c r="K820" s="50" t="e">
        <f>'Raw Data'!#REF!/K$1</f>
        <v>#REF!</v>
      </c>
      <c r="L820" s="50" t="e">
        <f>'Raw Data'!#REF!/L$1</f>
        <v>#REF!</v>
      </c>
      <c r="M820" s="50" t="e">
        <f>'Raw Data'!#REF!/M$1</f>
        <v>#REF!</v>
      </c>
      <c r="N820" s="50" t="e">
        <f>'Raw Data'!#REF!/N$1</f>
        <v>#REF!</v>
      </c>
      <c r="O820" s="50" t="e">
        <f>'Raw Data'!#REF!/O$1</f>
        <v>#REF!</v>
      </c>
      <c r="P820" s="50" t="str">
        <f t="shared" si="128"/>
        <v/>
      </c>
      <c r="Q820" s="50" t="e">
        <f t="shared" si="129"/>
        <v>#REF!</v>
      </c>
    </row>
    <row r="821" spans="1:17">
      <c r="A821" s="101" t="s">
        <v>212</v>
      </c>
      <c r="B821" s="101">
        <v>5</v>
      </c>
      <c r="C821" s="101">
        <v>2024</v>
      </c>
      <c r="D821" s="101" t="s">
        <v>211</v>
      </c>
      <c r="E821" s="101" t="s">
        <v>211</v>
      </c>
      <c r="F821" s="194">
        <v>45444</v>
      </c>
      <c r="G821" s="101">
        <f t="shared" si="127"/>
        <v>30</v>
      </c>
      <c r="H821" s="103">
        <f t="shared" si="116"/>
        <v>45470</v>
      </c>
      <c r="I821" s="141">
        <f>_xlfn.XLOOKUP(Table12[[#This Row],[Month Year]],'Modelling New'!D:D,'Modelling New'!N:N)</f>
        <v>10.507</v>
      </c>
      <c r="J821" s="50" t="e">
        <f>'Raw Data'!#REF!/J$1</f>
        <v>#REF!</v>
      </c>
      <c r="K821" s="50" t="e">
        <f>'Raw Data'!#REF!/K$1</f>
        <v>#REF!</v>
      </c>
      <c r="L821" s="50" t="e">
        <f>'Raw Data'!#REF!/L$1</f>
        <v>#REF!</v>
      </c>
      <c r="M821" s="50" t="e">
        <f>'Raw Data'!#REF!/M$1</f>
        <v>#REF!</v>
      </c>
      <c r="N821" s="50" t="e">
        <f>'Raw Data'!#REF!/N$1</f>
        <v>#REF!</v>
      </c>
      <c r="O821" s="50" t="e">
        <f>'Raw Data'!#REF!/O$1</f>
        <v>#REF!</v>
      </c>
      <c r="P821" s="50" t="str">
        <f t="shared" si="128"/>
        <v/>
      </c>
      <c r="Q821" s="50" t="e">
        <f t="shared" si="129"/>
        <v>#REF!</v>
      </c>
    </row>
    <row r="822" spans="1:17">
      <c r="A822" s="101" t="s">
        <v>212</v>
      </c>
      <c r="B822" s="101">
        <v>5</v>
      </c>
      <c r="C822" s="101">
        <v>2024</v>
      </c>
      <c r="D822" s="101" t="s">
        <v>211</v>
      </c>
      <c r="E822" s="101" t="s">
        <v>211</v>
      </c>
      <c r="F822" s="194">
        <v>45444</v>
      </c>
      <c r="G822" s="101">
        <f t="shared" si="127"/>
        <v>30</v>
      </c>
      <c r="H822" s="103">
        <f t="shared" si="116"/>
        <v>45471</v>
      </c>
      <c r="I822" s="141">
        <f>_xlfn.XLOOKUP(Table12[[#This Row],[Month Year]],'Modelling New'!D:D,'Modelling New'!N:N)</f>
        <v>10.507</v>
      </c>
      <c r="J822" s="50" t="e">
        <f>'Raw Data'!#REF!/J$1</f>
        <v>#REF!</v>
      </c>
      <c r="K822" s="50" t="e">
        <f>'Raw Data'!#REF!/K$1</f>
        <v>#REF!</v>
      </c>
      <c r="L822" s="50" t="e">
        <f>'Raw Data'!#REF!/L$1</f>
        <v>#REF!</v>
      </c>
      <c r="M822" s="50" t="e">
        <f>'Raw Data'!#REF!/M$1</f>
        <v>#REF!</v>
      </c>
      <c r="N822" s="50" t="e">
        <f>'Raw Data'!#REF!/N$1</f>
        <v>#REF!</v>
      </c>
      <c r="O822" s="50" t="e">
        <f>'Raw Data'!#REF!/O$1</f>
        <v>#REF!</v>
      </c>
      <c r="P822" s="50" t="str">
        <f t="shared" si="128"/>
        <v/>
      </c>
      <c r="Q822" s="50" t="e">
        <f t="shared" si="129"/>
        <v>#REF!</v>
      </c>
    </row>
    <row r="823" spans="1:17">
      <c r="A823" s="101" t="s">
        <v>212</v>
      </c>
      <c r="B823" s="101">
        <v>5</v>
      </c>
      <c r="C823" s="101">
        <v>2024</v>
      </c>
      <c r="D823" s="101" t="s">
        <v>211</v>
      </c>
      <c r="E823" s="101" t="s">
        <v>211</v>
      </c>
      <c r="F823" s="194">
        <v>45444</v>
      </c>
      <c r="G823" s="101">
        <f t="shared" si="127"/>
        <v>30</v>
      </c>
      <c r="H823" s="103">
        <f t="shared" si="116"/>
        <v>45472</v>
      </c>
      <c r="I823" s="141">
        <f>_xlfn.XLOOKUP(Table12[[#This Row],[Month Year]],'Modelling New'!D:D,'Modelling New'!N:N)</f>
        <v>10.507</v>
      </c>
      <c r="J823" s="50" t="e">
        <f>'Raw Data'!#REF!/J$1</f>
        <v>#REF!</v>
      </c>
      <c r="K823" s="50" t="e">
        <f>'Raw Data'!#REF!/K$1</f>
        <v>#REF!</v>
      </c>
      <c r="L823" s="50" t="e">
        <f>'Raw Data'!#REF!/L$1</f>
        <v>#REF!</v>
      </c>
      <c r="M823" s="50" t="e">
        <f>'Raw Data'!#REF!/M$1</f>
        <v>#REF!</v>
      </c>
      <c r="N823" s="50" t="e">
        <f>'Raw Data'!#REF!/N$1</f>
        <v>#REF!</v>
      </c>
      <c r="O823" s="50" t="e">
        <f>'Raw Data'!#REF!/O$1</f>
        <v>#REF!</v>
      </c>
      <c r="P823" s="50" t="str">
        <f t="shared" si="128"/>
        <v/>
      </c>
      <c r="Q823" s="50" t="e">
        <f t="shared" si="129"/>
        <v>#REF!</v>
      </c>
    </row>
    <row r="824" spans="1:17">
      <c r="A824" s="101" t="s">
        <v>212</v>
      </c>
      <c r="B824" s="101">
        <v>5</v>
      </c>
      <c r="C824" s="101">
        <v>2024</v>
      </c>
      <c r="D824" s="101" t="s">
        <v>211</v>
      </c>
      <c r="E824" s="101" t="s">
        <v>211</v>
      </c>
      <c r="F824" s="194">
        <v>45444</v>
      </c>
      <c r="G824" s="101">
        <f>DAY(EOMONTH(F824,0))</f>
        <v>30</v>
      </c>
      <c r="H824" s="103">
        <f t="shared" si="116"/>
        <v>45473</v>
      </c>
      <c r="I824" s="141">
        <f>_xlfn.XLOOKUP(Table12[[#This Row],[Month Year]],'Modelling New'!D:D,'Modelling New'!N:N)</f>
        <v>10.507</v>
      </c>
      <c r="J824" s="50" t="e">
        <f>'Raw Data'!#REF!/J$1</f>
        <v>#REF!</v>
      </c>
      <c r="K824" s="50" t="e">
        <f>'Raw Data'!#REF!/K$1</f>
        <v>#REF!</v>
      </c>
      <c r="L824" s="50" t="e">
        <f>'Raw Data'!#REF!/L$1</f>
        <v>#REF!</v>
      </c>
      <c r="M824" s="50" t="e">
        <f>'Raw Data'!#REF!/M$1</f>
        <v>#REF!</v>
      </c>
      <c r="N824" s="50" t="e">
        <f>'Raw Data'!#REF!/N$1</f>
        <v>#REF!</v>
      </c>
      <c r="O824" s="50" t="e">
        <f>'Raw Data'!#REF!/O$1</f>
        <v>#REF!</v>
      </c>
      <c r="P824" s="50" t="str">
        <f>IFERROR(AVERAGEIF(J824:O824,"&gt;"&amp;0,J824:O824),"")</f>
        <v/>
      </c>
      <c r="Q824" s="50" t="e">
        <f>MAXA(J824:O824)</f>
        <v>#REF!</v>
      </c>
    </row>
    <row r="825" spans="1:17">
      <c r="A825" s="101" t="s">
        <v>212</v>
      </c>
      <c r="B825" s="101">
        <v>5</v>
      </c>
      <c r="C825" s="101">
        <v>2024</v>
      </c>
      <c r="D825" s="101" t="s">
        <v>211</v>
      </c>
      <c r="E825" s="101" t="s">
        <v>211</v>
      </c>
      <c r="F825" s="194">
        <v>45474</v>
      </c>
      <c r="G825" s="101">
        <f t="shared" ref="G825:G840" si="130">DAY(EOMONTH(F825,0))</f>
        <v>31</v>
      </c>
      <c r="H825" s="103">
        <f t="shared" si="116"/>
        <v>45474</v>
      </c>
      <c r="I825" s="141">
        <f>_xlfn.XLOOKUP(Table12[[#This Row],[Month Year]],'Modelling New'!D:D,'Modelling New'!N:N)</f>
        <v>10.507</v>
      </c>
      <c r="J825" s="50" t="e">
        <f>'Raw Data'!#REF!/J$1</f>
        <v>#REF!</v>
      </c>
      <c r="K825" s="50" t="e">
        <f>'Raw Data'!#REF!/K$1</f>
        <v>#REF!</v>
      </c>
      <c r="L825" s="50" t="e">
        <f>'Raw Data'!#REF!/L$1</f>
        <v>#REF!</v>
      </c>
      <c r="M825" s="50" t="e">
        <f>'Raw Data'!#REF!/M$1</f>
        <v>#REF!</v>
      </c>
      <c r="N825" s="50" t="e">
        <f>'Raw Data'!#REF!/N$1</f>
        <v>#REF!</v>
      </c>
      <c r="O825" s="50" t="e">
        <f>'Raw Data'!#REF!/O$1</f>
        <v>#REF!</v>
      </c>
      <c r="P825" s="50" t="str">
        <f t="shared" ref="P825:P840" si="131">IFERROR(AVERAGEIF(J825:O825,"&gt;"&amp;0,J825:O825),"")</f>
        <v/>
      </c>
      <c r="Q825" s="50" t="e">
        <f t="shared" ref="Q825:Q840" si="132">MAXA(J825:O825)</f>
        <v>#REF!</v>
      </c>
    </row>
    <row r="826" spans="1:17">
      <c r="A826" s="101" t="s">
        <v>212</v>
      </c>
      <c r="B826" s="101">
        <v>5</v>
      </c>
      <c r="C826" s="101">
        <v>2024</v>
      </c>
      <c r="D826" s="101" t="s">
        <v>211</v>
      </c>
      <c r="E826" s="101" t="s">
        <v>211</v>
      </c>
      <c r="F826" s="194">
        <v>45474</v>
      </c>
      <c r="G826" s="101">
        <f t="shared" si="130"/>
        <v>31</v>
      </c>
      <c r="H826" s="103">
        <f t="shared" si="116"/>
        <v>45475</v>
      </c>
      <c r="I826" s="141">
        <f>_xlfn.XLOOKUP(Table12[[#This Row],[Month Year]],'Modelling New'!D:D,'Modelling New'!N:N)</f>
        <v>10.507</v>
      </c>
      <c r="J826" s="50" t="e">
        <f>'Raw Data'!#REF!/J$1</f>
        <v>#REF!</v>
      </c>
      <c r="K826" s="50" t="e">
        <f>'Raw Data'!#REF!/K$1</f>
        <v>#REF!</v>
      </c>
      <c r="L826" s="50" t="e">
        <f>'Raw Data'!#REF!/L$1</f>
        <v>#REF!</v>
      </c>
      <c r="M826" s="50" t="e">
        <f>'Raw Data'!#REF!/M$1</f>
        <v>#REF!</v>
      </c>
      <c r="N826" s="50" t="e">
        <f>'Raw Data'!#REF!/N$1</f>
        <v>#REF!</v>
      </c>
      <c r="O826" s="50" t="e">
        <f>'Raw Data'!#REF!/O$1</f>
        <v>#REF!</v>
      </c>
      <c r="P826" s="50" t="str">
        <f t="shared" si="131"/>
        <v/>
      </c>
      <c r="Q826" s="50" t="e">
        <f t="shared" si="132"/>
        <v>#REF!</v>
      </c>
    </row>
    <row r="827" spans="1:17">
      <c r="A827" s="101" t="s">
        <v>212</v>
      </c>
      <c r="B827" s="101">
        <v>5</v>
      </c>
      <c r="C827" s="101">
        <v>2024</v>
      </c>
      <c r="D827" s="101" t="s">
        <v>211</v>
      </c>
      <c r="E827" s="101" t="s">
        <v>211</v>
      </c>
      <c r="F827" s="194">
        <v>45474</v>
      </c>
      <c r="G827" s="101">
        <f t="shared" si="130"/>
        <v>31</v>
      </c>
      <c r="H827" s="103">
        <f t="shared" si="116"/>
        <v>45476</v>
      </c>
      <c r="I827" s="141">
        <f>_xlfn.XLOOKUP(Table12[[#This Row],[Month Year]],'Modelling New'!D:D,'Modelling New'!N:N)</f>
        <v>10.507</v>
      </c>
      <c r="J827" s="50" t="e">
        <f>'Raw Data'!#REF!/J$1</f>
        <v>#REF!</v>
      </c>
      <c r="K827" s="50" t="e">
        <f>'Raw Data'!#REF!/K$1</f>
        <v>#REF!</v>
      </c>
      <c r="L827" s="50" t="e">
        <f>'Raw Data'!#REF!/L$1</f>
        <v>#REF!</v>
      </c>
      <c r="M827" s="50" t="e">
        <f>'Raw Data'!#REF!/M$1</f>
        <v>#REF!</v>
      </c>
      <c r="N827" s="50" t="e">
        <f>'Raw Data'!#REF!/N$1</f>
        <v>#REF!</v>
      </c>
      <c r="O827" s="50" t="e">
        <f>'Raw Data'!#REF!/O$1</f>
        <v>#REF!</v>
      </c>
      <c r="P827" s="50" t="str">
        <f t="shared" si="131"/>
        <v/>
      </c>
      <c r="Q827" s="50" t="e">
        <f t="shared" si="132"/>
        <v>#REF!</v>
      </c>
    </row>
    <row r="828" spans="1:17">
      <c r="A828" s="101" t="s">
        <v>212</v>
      </c>
      <c r="B828" s="101">
        <v>5</v>
      </c>
      <c r="C828" s="101">
        <v>2024</v>
      </c>
      <c r="D828" s="101" t="s">
        <v>211</v>
      </c>
      <c r="E828" s="101" t="s">
        <v>211</v>
      </c>
      <c r="F828" s="194">
        <v>45474</v>
      </c>
      <c r="G828" s="101">
        <f t="shared" si="130"/>
        <v>31</v>
      </c>
      <c r="H828" s="103">
        <f t="shared" si="116"/>
        <v>45477</v>
      </c>
      <c r="I828" s="141">
        <f>_xlfn.XLOOKUP(Table12[[#This Row],[Month Year]],'Modelling New'!D:D,'Modelling New'!N:N)</f>
        <v>10.507</v>
      </c>
      <c r="J828" s="50" t="e">
        <f>'Raw Data'!#REF!/J$1</f>
        <v>#REF!</v>
      </c>
      <c r="K828" s="50" t="e">
        <f>'Raw Data'!#REF!/K$1</f>
        <v>#REF!</v>
      </c>
      <c r="L828" s="50" t="e">
        <f>'Raw Data'!#REF!/L$1</f>
        <v>#REF!</v>
      </c>
      <c r="M828" s="50" t="e">
        <f>'Raw Data'!#REF!/M$1</f>
        <v>#REF!</v>
      </c>
      <c r="N828" s="50" t="e">
        <f>'Raw Data'!#REF!/N$1</f>
        <v>#REF!</v>
      </c>
      <c r="O828" s="50" t="e">
        <f>'Raw Data'!#REF!/O$1</f>
        <v>#REF!</v>
      </c>
      <c r="P828" s="50" t="str">
        <f t="shared" si="131"/>
        <v/>
      </c>
      <c r="Q828" s="50" t="e">
        <f t="shared" si="132"/>
        <v>#REF!</v>
      </c>
    </row>
    <row r="829" spans="1:17">
      <c r="A829" s="101" t="s">
        <v>212</v>
      </c>
      <c r="B829" s="101">
        <v>5</v>
      </c>
      <c r="C829" s="101">
        <v>2024</v>
      </c>
      <c r="D829" s="101" t="s">
        <v>211</v>
      </c>
      <c r="E829" s="101" t="s">
        <v>211</v>
      </c>
      <c r="F829" s="194">
        <v>45474</v>
      </c>
      <c r="G829" s="101">
        <f t="shared" si="130"/>
        <v>31</v>
      </c>
      <c r="H829" s="103">
        <f t="shared" si="116"/>
        <v>45478</v>
      </c>
      <c r="I829" s="141">
        <f>_xlfn.XLOOKUP(Table12[[#This Row],[Month Year]],'Modelling New'!D:D,'Modelling New'!N:N)</f>
        <v>10.507</v>
      </c>
      <c r="J829" s="50" t="e">
        <f>'Raw Data'!#REF!/J$1</f>
        <v>#REF!</v>
      </c>
      <c r="K829" s="50" t="e">
        <f>'Raw Data'!#REF!/K$1</f>
        <v>#REF!</v>
      </c>
      <c r="L829" s="50" t="e">
        <f>'Raw Data'!#REF!/L$1</f>
        <v>#REF!</v>
      </c>
      <c r="M829" s="50" t="e">
        <f>'Raw Data'!#REF!/M$1</f>
        <v>#REF!</v>
      </c>
      <c r="N829" s="50" t="e">
        <f>'Raw Data'!#REF!/N$1</f>
        <v>#REF!</v>
      </c>
      <c r="O829" s="50" t="e">
        <f>'Raw Data'!#REF!/O$1</f>
        <v>#REF!</v>
      </c>
      <c r="P829" s="50" t="str">
        <f t="shared" si="131"/>
        <v/>
      </c>
      <c r="Q829" s="50" t="e">
        <f t="shared" si="132"/>
        <v>#REF!</v>
      </c>
    </row>
    <row r="830" spans="1:17">
      <c r="A830" s="101" t="s">
        <v>212</v>
      </c>
      <c r="B830" s="101">
        <v>5</v>
      </c>
      <c r="C830" s="101">
        <v>2024</v>
      </c>
      <c r="D830" s="101" t="s">
        <v>211</v>
      </c>
      <c r="E830" s="101" t="s">
        <v>211</v>
      </c>
      <c r="F830" s="194">
        <v>45474</v>
      </c>
      <c r="G830" s="101">
        <f t="shared" si="130"/>
        <v>31</v>
      </c>
      <c r="H830" s="103">
        <f t="shared" si="116"/>
        <v>45479</v>
      </c>
      <c r="I830" s="141">
        <f>_xlfn.XLOOKUP(Table12[[#This Row],[Month Year]],'Modelling New'!D:D,'Modelling New'!N:N)</f>
        <v>10.507</v>
      </c>
      <c r="J830" s="50" t="e">
        <f>'Raw Data'!#REF!/J$1</f>
        <v>#REF!</v>
      </c>
      <c r="K830" s="50" t="e">
        <f>'Raw Data'!#REF!/K$1</f>
        <v>#REF!</v>
      </c>
      <c r="L830" s="50" t="e">
        <f>'Raw Data'!#REF!/L$1</f>
        <v>#REF!</v>
      </c>
      <c r="M830" s="50" t="e">
        <f>'Raw Data'!#REF!/M$1</f>
        <v>#REF!</v>
      </c>
      <c r="N830" s="50" t="e">
        <f>'Raw Data'!#REF!/N$1</f>
        <v>#REF!</v>
      </c>
      <c r="O830" s="50" t="e">
        <f>'Raw Data'!#REF!/O$1</f>
        <v>#REF!</v>
      </c>
      <c r="P830" s="50" t="str">
        <f t="shared" si="131"/>
        <v/>
      </c>
      <c r="Q830" s="50" t="e">
        <f t="shared" si="132"/>
        <v>#REF!</v>
      </c>
    </row>
    <row r="831" spans="1:17">
      <c r="A831" s="101" t="s">
        <v>212</v>
      </c>
      <c r="B831" s="101">
        <v>5</v>
      </c>
      <c r="C831" s="101">
        <v>2024</v>
      </c>
      <c r="D831" s="101" t="s">
        <v>211</v>
      </c>
      <c r="E831" s="101" t="s">
        <v>211</v>
      </c>
      <c r="F831" s="194">
        <v>45474</v>
      </c>
      <c r="G831" s="101">
        <f t="shared" si="130"/>
        <v>31</v>
      </c>
      <c r="H831" s="103">
        <f t="shared" si="116"/>
        <v>45480</v>
      </c>
      <c r="I831" s="141">
        <f>_xlfn.XLOOKUP(Table12[[#This Row],[Month Year]],'Modelling New'!D:D,'Modelling New'!N:N)</f>
        <v>10.507</v>
      </c>
      <c r="J831" s="50" t="e">
        <f>'Raw Data'!#REF!/J$1</f>
        <v>#REF!</v>
      </c>
      <c r="K831" s="50" t="e">
        <f>'Raw Data'!#REF!/K$1</f>
        <v>#REF!</v>
      </c>
      <c r="L831" s="50" t="e">
        <f>'Raw Data'!#REF!/L$1</f>
        <v>#REF!</v>
      </c>
      <c r="M831" s="50" t="e">
        <f>'Raw Data'!#REF!/M$1</f>
        <v>#REF!</v>
      </c>
      <c r="N831" s="50" t="e">
        <f>'Raw Data'!#REF!/N$1</f>
        <v>#REF!</v>
      </c>
      <c r="O831" s="50" t="e">
        <f>'Raw Data'!#REF!/O$1</f>
        <v>#REF!</v>
      </c>
      <c r="P831" s="50" t="str">
        <f t="shared" si="131"/>
        <v/>
      </c>
      <c r="Q831" s="50" t="e">
        <f t="shared" si="132"/>
        <v>#REF!</v>
      </c>
    </row>
    <row r="832" spans="1:17">
      <c r="A832" s="101" t="s">
        <v>212</v>
      </c>
      <c r="B832" s="101">
        <v>5</v>
      </c>
      <c r="C832" s="101">
        <v>2024</v>
      </c>
      <c r="D832" s="101" t="s">
        <v>211</v>
      </c>
      <c r="E832" s="101" t="s">
        <v>211</v>
      </c>
      <c r="F832" s="194">
        <v>45474</v>
      </c>
      <c r="G832" s="101">
        <f t="shared" si="130"/>
        <v>31</v>
      </c>
      <c r="H832" s="103">
        <f t="shared" si="116"/>
        <v>45481</v>
      </c>
      <c r="I832" s="141">
        <f>_xlfn.XLOOKUP(Table12[[#This Row],[Month Year]],'Modelling New'!D:D,'Modelling New'!N:N)</f>
        <v>10.507</v>
      </c>
      <c r="J832" s="50" t="e">
        <f>'Raw Data'!#REF!/J$1</f>
        <v>#REF!</v>
      </c>
      <c r="K832" s="50" t="e">
        <f>'Raw Data'!#REF!/K$1</f>
        <v>#REF!</v>
      </c>
      <c r="L832" s="50" t="e">
        <f>'Raw Data'!#REF!/L$1</f>
        <v>#REF!</v>
      </c>
      <c r="M832" s="50" t="e">
        <f>'Raw Data'!#REF!/M$1</f>
        <v>#REF!</v>
      </c>
      <c r="N832" s="50" t="e">
        <f>'Raw Data'!#REF!/N$1</f>
        <v>#REF!</v>
      </c>
      <c r="O832" s="50" t="e">
        <f>'Raw Data'!#REF!/O$1</f>
        <v>#REF!</v>
      </c>
      <c r="P832" s="50" t="str">
        <f t="shared" si="131"/>
        <v/>
      </c>
      <c r="Q832" s="50" t="e">
        <f t="shared" si="132"/>
        <v>#REF!</v>
      </c>
    </row>
    <row r="833" spans="1:17">
      <c r="A833" s="101" t="s">
        <v>212</v>
      </c>
      <c r="B833" s="101">
        <v>5</v>
      </c>
      <c r="C833" s="101">
        <v>2024</v>
      </c>
      <c r="D833" s="101" t="s">
        <v>211</v>
      </c>
      <c r="E833" s="101" t="s">
        <v>211</v>
      </c>
      <c r="F833" s="194">
        <v>45474</v>
      </c>
      <c r="G833" s="101">
        <f t="shared" si="130"/>
        <v>31</v>
      </c>
      <c r="H833" s="103">
        <f t="shared" si="116"/>
        <v>45482</v>
      </c>
      <c r="I833" s="141">
        <f>_xlfn.XLOOKUP(Table12[[#This Row],[Month Year]],'Modelling New'!D:D,'Modelling New'!N:N)</f>
        <v>10.507</v>
      </c>
      <c r="J833" s="50" t="e">
        <f>'Raw Data'!#REF!/J$1</f>
        <v>#REF!</v>
      </c>
      <c r="K833" s="50" t="e">
        <f>'Raw Data'!#REF!/K$1</f>
        <v>#REF!</v>
      </c>
      <c r="L833" s="50" t="e">
        <f>'Raw Data'!#REF!/L$1</f>
        <v>#REF!</v>
      </c>
      <c r="M833" s="50" t="e">
        <f>'Raw Data'!#REF!/M$1</f>
        <v>#REF!</v>
      </c>
      <c r="N833" s="50" t="e">
        <f>'Raw Data'!#REF!/N$1</f>
        <v>#REF!</v>
      </c>
      <c r="O833" s="50" t="e">
        <f>'Raw Data'!#REF!/O$1</f>
        <v>#REF!</v>
      </c>
      <c r="P833" s="50" t="str">
        <f t="shared" si="131"/>
        <v/>
      </c>
      <c r="Q833" s="50" t="e">
        <f t="shared" si="132"/>
        <v>#REF!</v>
      </c>
    </row>
    <row r="834" spans="1:17">
      <c r="A834" s="101" t="s">
        <v>212</v>
      </c>
      <c r="B834" s="101">
        <v>5</v>
      </c>
      <c r="C834" s="101">
        <v>2024</v>
      </c>
      <c r="D834" s="101" t="s">
        <v>211</v>
      </c>
      <c r="E834" s="101" t="s">
        <v>211</v>
      </c>
      <c r="F834" s="194">
        <v>45474</v>
      </c>
      <c r="G834" s="101">
        <f t="shared" si="130"/>
        <v>31</v>
      </c>
      <c r="H834" s="103">
        <f t="shared" si="116"/>
        <v>45483</v>
      </c>
      <c r="I834" s="141">
        <f>_xlfn.XLOOKUP(Table12[[#This Row],[Month Year]],'Modelling New'!D:D,'Modelling New'!N:N)</f>
        <v>10.507</v>
      </c>
      <c r="J834" s="50" t="e">
        <f>'Raw Data'!#REF!/J$1</f>
        <v>#REF!</v>
      </c>
      <c r="K834" s="50" t="e">
        <f>'Raw Data'!#REF!/K$1</f>
        <v>#REF!</v>
      </c>
      <c r="L834" s="50" t="e">
        <f>'Raw Data'!#REF!/L$1</f>
        <v>#REF!</v>
      </c>
      <c r="M834" s="50" t="e">
        <f>'Raw Data'!#REF!/M$1</f>
        <v>#REF!</v>
      </c>
      <c r="N834" s="50" t="e">
        <f>'Raw Data'!#REF!/N$1</f>
        <v>#REF!</v>
      </c>
      <c r="O834" s="50" t="e">
        <f>'Raw Data'!#REF!/O$1</f>
        <v>#REF!</v>
      </c>
      <c r="P834" s="50" t="str">
        <f t="shared" si="131"/>
        <v/>
      </c>
      <c r="Q834" s="50" t="e">
        <f t="shared" si="132"/>
        <v>#REF!</v>
      </c>
    </row>
    <row r="835" spans="1:17">
      <c r="A835" s="101" t="s">
        <v>212</v>
      </c>
      <c r="B835" s="101">
        <v>5</v>
      </c>
      <c r="C835" s="101">
        <v>2024</v>
      </c>
      <c r="D835" s="101" t="s">
        <v>211</v>
      </c>
      <c r="E835" s="101" t="s">
        <v>211</v>
      </c>
      <c r="F835" s="194">
        <v>45474</v>
      </c>
      <c r="G835" s="101">
        <f t="shared" si="130"/>
        <v>31</v>
      </c>
      <c r="H835" s="103">
        <f t="shared" si="116"/>
        <v>45484</v>
      </c>
      <c r="I835" s="141">
        <f>_xlfn.XLOOKUP(Table12[[#This Row],[Month Year]],'Modelling New'!D:D,'Modelling New'!N:N)</f>
        <v>10.507</v>
      </c>
      <c r="J835" s="50" t="e">
        <f>'Raw Data'!#REF!/J$1</f>
        <v>#REF!</v>
      </c>
      <c r="K835" s="50" t="e">
        <f>'Raw Data'!#REF!/K$1</f>
        <v>#REF!</v>
      </c>
      <c r="L835" s="50" t="e">
        <f>'Raw Data'!#REF!/L$1</f>
        <v>#REF!</v>
      </c>
      <c r="M835" s="50" t="e">
        <f>'Raw Data'!#REF!/M$1</f>
        <v>#REF!</v>
      </c>
      <c r="N835" s="50" t="e">
        <f>'Raw Data'!#REF!/N$1</f>
        <v>#REF!</v>
      </c>
      <c r="O835" s="50" t="e">
        <f>'Raw Data'!#REF!/O$1</f>
        <v>#REF!</v>
      </c>
      <c r="P835" s="50" t="str">
        <f t="shared" si="131"/>
        <v/>
      </c>
      <c r="Q835" s="50" t="e">
        <f t="shared" si="132"/>
        <v>#REF!</v>
      </c>
    </row>
    <row r="836" spans="1:17">
      <c r="A836" s="101" t="s">
        <v>212</v>
      </c>
      <c r="B836" s="101">
        <v>5</v>
      </c>
      <c r="C836" s="101">
        <v>2024</v>
      </c>
      <c r="D836" s="101" t="s">
        <v>211</v>
      </c>
      <c r="E836" s="101" t="s">
        <v>211</v>
      </c>
      <c r="F836" s="194">
        <v>45474</v>
      </c>
      <c r="G836" s="101">
        <f t="shared" si="130"/>
        <v>31</v>
      </c>
      <c r="H836" s="103">
        <f t="shared" si="116"/>
        <v>45485</v>
      </c>
      <c r="I836" s="141">
        <f>_xlfn.XLOOKUP(Table12[[#This Row],[Month Year]],'Modelling New'!D:D,'Modelling New'!N:N)</f>
        <v>10.507</v>
      </c>
      <c r="J836" s="50" t="e">
        <f>'Raw Data'!#REF!/J$1</f>
        <v>#REF!</v>
      </c>
      <c r="K836" s="50" t="e">
        <f>'Raw Data'!#REF!/K$1</f>
        <v>#REF!</v>
      </c>
      <c r="L836" s="50" t="e">
        <f>'Raw Data'!#REF!/L$1</f>
        <v>#REF!</v>
      </c>
      <c r="M836" s="50" t="e">
        <f>'Raw Data'!#REF!/M$1</f>
        <v>#REF!</v>
      </c>
      <c r="N836" s="50" t="e">
        <f>'Raw Data'!#REF!/N$1</f>
        <v>#REF!</v>
      </c>
      <c r="O836" s="50" t="e">
        <f>'Raw Data'!#REF!/O$1</f>
        <v>#REF!</v>
      </c>
      <c r="P836" s="50" t="str">
        <f t="shared" si="131"/>
        <v/>
      </c>
      <c r="Q836" s="50" t="e">
        <f t="shared" si="132"/>
        <v>#REF!</v>
      </c>
    </row>
    <row r="837" spans="1:17">
      <c r="A837" s="101" t="s">
        <v>212</v>
      </c>
      <c r="B837" s="101">
        <v>5</v>
      </c>
      <c r="C837" s="101">
        <v>2024</v>
      </c>
      <c r="D837" s="101" t="s">
        <v>211</v>
      </c>
      <c r="E837" s="101" t="s">
        <v>211</v>
      </c>
      <c r="F837" s="194">
        <v>45474</v>
      </c>
      <c r="G837" s="101">
        <f t="shared" si="130"/>
        <v>31</v>
      </c>
      <c r="H837" s="103">
        <f t="shared" si="116"/>
        <v>45486</v>
      </c>
      <c r="I837" s="141">
        <f>_xlfn.XLOOKUP(Table12[[#This Row],[Month Year]],'Modelling New'!D:D,'Modelling New'!N:N)</f>
        <v>10.507</v>
      </c>
      <c r="J837" s="50" t="e">
        <f>'Raw Data'!#REF!/J$1</f>
        <v>#REF!</v>
      </c>
      <c r="K837" s="50" t="e">
        <f>'Raw Data'!#REF!/K$1</f>
        <v>#REF!</v>
      </c>
      <c r="L837" s="50" t="e">
        <f>'Raw Data'!#REF!/L$1</f>
        <v>#REF!</v>
      </c>
      <c r="M837" s="50" t="e">
        <f>'Raw Data'!#REF!/M$1</f>
        <v>#REF!</v>
      </c>
      <c r="N837" s="50" t="e">
        <f>'Raw Data'!#REF!/N$1</f>
        <v>#REF!</v>
      </c>
      <c r="O837" s="50" t="e">
        <f>'Raw Data'!#REF!/O$1</f>
        <v>#REF!</v>
      </c>
      <c r="P837" s="50" t="str">
        <f t="shared" si="131"/>
        <v/>
      </c>
      <c r="Q837" s="50" t="e">
        <f t="shared" si="132"/>
        <v>#REF!</v>
      </c>
    </row>
    <row r="838" spans="1:17">
      <c r="A838" s="101" t="s">
        <v>212</v>
      </c>
      <c r="B838" s="101">
        <v>5</v>
      </c>
      <c r="C838" s="101">
        <v>2024</v>
      </c>
      <c r="D838" s="101" t="s">
        <v>211</v>
      </c>
      <c r="E838" s="101" t="s">
        <v>211</v>
      </c>
      <c r="F838" s="194">
        <v>45474</v>
      </c>
      <c r="G838" s="101">
        <f t="shared" si="130"/>
        <v>31</v>
      </c>
      <c r="H838" s="103">
        <f t="shared" si="116"/>
        <v>45487</v>
      </c>
      <c r="I838" s="141">
        <f>_xlfn.XLOOKUP(Table12[[#This Row],[Month Year]],'Modelling New'!D:D,'Modelling New'!N:N)</f>
        <v>10.507</v>
      </c>
      <c r="J838" s="50" t="e">
        <f>'Raw Data'!#REF!/J$1</f>
        <v>#REF!</v>
      </c>
      <c r="K838" s="50" t="e">
        <f>'Raw Data'!#REF!/K$1</f>
        <v>#REF!</v>
      </c>
      <c r="L838" s="50" t="e">
        <f>'Raw Data'!#REF!/L$1</f>
        <v>#REF!</v>
      </c>
      <c r="M838" s="50" t="e">
        <f>'Raw Data'!#REF!/M$1</f>
        <v>#REF!</v>
      </c>
      <c r="N838" s="50" t="e">
        <f>'Raw Data'!#REF!/N$1</f>
        <v>#REF!</v>
      </c>
      <c r="O838" s="50" t="e">
        <f>'Raw Data'!#REF!/O$1</f>
        <v>#REF!</v>
      </c>
      <c r="P838" s="50" t="str">
        <f t="shared" si="131"/>
        <v/>
      </c>
      <c r="Q838" s="50" t="e">
        <f t="shared" si="132"/>
        <v>#REF!</v>
      </c>
    </row>
    <row r="839" spans="1:17">
      <c r="A839" s="101" t="s">
        <v>212</v>
      </c>
      <c r="B839" s="101">
        <v>5</v>
      </c>
      <c r="C839" s="101">
        <v>2024</v>
      </c>
      <c r="D839" s="101" t="s">
        <v>211</v>
      </c>
      <c r="E839" s="101" t="s">
        <v>211</v>
      </c>
      <c r="F839" s="194">
        <v>45474</v>
      </c>
      <c r="G839" s="101">
        <f t="shared" si="130"/>
        <v>31</v>
      </c>
      <c r="H839" s="103">
        <f t="shared" si="116"/>
        <v>45488</v>
      </c>
      <c r="I839" s="141">
        <f>_xlfn.XLOOKUP(Table12[[#This Row],[Month Year]],'Modelling New'!D:D,'Modelling New'!N:N)</f>
        <v>10.507</v>
      </c>
      <c r="J839" s="50" t="e">
        <f>'Raw Data'!#REF!/J$1</f>
        <v>#REF!</v>
      </c>
      <c r="K839" s="50" t="e">
        <f>'Raw Data'!#REF!/K$1</f>
        <v>#REF!</v>
      </c>
      <c r="L839" s="50" t="e">
        <f>'Raw Data'!#REF!/L$1</f>
        <v>#REF!</v>
      </c>
      <c r="M839" s="50" t="e">
        <f>'Raw Data'!#REF!/M$1</f>
        <v>#REF!</v>
      </c>
      <c r="N839" s="50" t="e">
        <f>'Raw Data'!#REF!/N$1</f>
        <v>#REF!</v>
      </c>
      <c r="O839" s="50" t="e">
        <f>'Raw Data'!#REF!/O$1</f>
        <v>#REF!</v>
      </c>
      <c r="P839" s="50" t="str">
        <f t="shared" si="131"/>
        <v/>
      </c>
      <c r="Q839" s="50" t="e">
        <f t="shared" si="132"/>
        <v>#REF!</v>
      </c>
    </row>
    <row r="840" spans="1:17">
      <c r="A840" s="101" t="s">
        <v>212</v>
      </c>
      <c r="B840" s="101">
        <v>5</v>
      </c>
      <c r="C840" s="101">
        <v>2024</v>
      </c>
      <c r="D840" s="101" t="s">
        <v>211</v>
      </c>
      <c r="E840" s="101" t="s">
        <v>211</v>
      </c>
      <c r="F840" s="194">
        <v>45474</v>
      </c>
      <c r="G840" s="101">
        <f t="shared" si="130"/>
        <v>31</v>
      </c>
      <c r="H840" s="103">
        <f t="shared" si="116"/>
        <v>45489</v>
      </c>
      <c r="I840" s="141">
        <f>_xlfn.XLOOKUP(Table12[[#This Row],[Month Year]],'Modelling New'!D:D,'Modelling New'!N:N)</f>
        <v>10.507</v>
      </c>
      <c r="J840" s="50" t="e">
        <f>'Raw Data'!#REF!/J$1</f>
        <v>#REF!</v>
      </c>
      <c r="K840" s="50" t="e">
        <f>'Raw Data'!#REF!/K$1</f>
        <v>#REF!</v>
      </c>
      <c r="L840" s="50" t="e">
        <f>'Raw Data'!#REF!/L$1</f>
        <v>#REF!</v>
      </c>
      <c r="M840" s="50" t="e">
        <f>'Raw Data'!#REF!/M$1</f>
        <v>#REF!</v>
      </c>
      <c r="N840" s="50" t="e">
        <f>'Raw Data'!#REF!/N$1</f>
        <v>#REF!</v>
      </c>
      <c r="O840" s="50" t="e">
        <f>'Raw Data'!#REF!/O$1</f>
        <v>#REF!</v>
      </c>
      <c r="P840" s="50" t="str">
        <f t="shared" si="131"/>
        <v/>
      </c>
      <c r="Q840" s="50" t="e">
        <f t="shared" si="132"/>
        <v>#REF!</v>
      </c>
    </row>
    <row r="841" spans="1:17">
      <c r="A841" s="101" t="s">
        <v>212</v>
      </c>
      <c r="B841" s="101">
        <v>5</v>
      </c>
      <c r="C841" s="101">
        <v>2024</v>
      </c>
      <c r="D841" s="101" t="s">
        <v>211</v>
      </c>
      <c r="E841" s="101" t="s">
        <v>211</v>
      </c>
      <c r="F841" s="194">
        <v>45474</v>
      </c>
      <c r="G841" s="101">
        <f t="shared" ref="G841:G855" si="133">DAY(EOMONTH(F841,0))</f>
        <v>31</v>
      </c>
      <c r="H841" s="103">
        <f t="shared" si="116"/>
        <v>45490</v>
      </c>
      <c r="I841" s="141">
        <f>_xlfn.XLOOKUP(Table12[[#This Row],[Month Year]],'Modelling New'!D:D,'Modelling New'!N:N)</f>
        <v>10.507</v>
      </c>
      <c r="J841" s="50" t="e">
        <f>'Raw Data'!#REF!/J$1</f>
        <v>#REF!</v>
      </c>
      <c r="K841" s="50" t="e">
        <f>'Raw Data'!#REF!/K$1</f>
        <v>#REF!</v>
      </c>
      <c r="L841" s="50" t="e">
        <f>'Raw Data'!#REF!/L$1</f>
        <v>#REF!</v>
      </c>
      <c r="M841" s="50" t="e">
        <f>'Raw Data'!#REF!/M$1</f>
        <v>#REF!</v>
      </c>
      <c r="N841" s="50" t="e">
        <f>'Raw Data'!#REF!/N$1</f>
        <v>#REF!</v>
      </c>
      <c r="O841" s="50" t="e">
        <f>'Raw Data'!#REF!/O$1</f>
        <v>#REF!</v>
      </c>
      <c r="P841" s="50" t="str">
        <f t="shared" ref="P841:P855" si="134">IFERROR(AVERAGEIF(J841:O841,"&gt;"&amp;0,J841:O841),"")</f>
        <v/>
      </c>
      <c r="Q841" s="50" t="e">
        <f t="shared" ref="Q841:Q855" si="135">MAXA(J841:O841)</f>
        <v>#REF!</v>
      </c>
    </row>
    <row r="842" spans="1:17">
      <c r="A842" s="101" t="s">
        <v>212</v>
      </c>
      <c r="B842" s="101">
        <v>5</v>
      </c>
      <c r="C842" s="101">
        <v>2024</v>
      </c>
      <c r="D842" s="101" t="s">
        <v>211</v>
      </c>
      <c r="E842" s="101" t="s">
        <v>211</v>
      </c>
      <c r="F842" s="194">
        <v>45474</v>
      </c>
      <c r="G842" s="101">
        <f t="shared" si="133"/>
        <v>31</v>
      </c>
      <c r="H842" s="103">
        <f t="shared" si="116"/>
        <v>45491</v>
      </c>
      <c r="I842" s="141">
        <f>_xlfn.XLOOKUP(Table12[[#This Row],[Month Year]],'Modelling New'!D:D,'Modelling New'!N:N)</f>
        <v>10.507</v>
      </c>
      <c r="J842" s="50" t="e">
        <f>'Raw Data'!#REF!/J$1</f>
        <v>#REF!</v>
      </c>
      <c r="K842" s="50" t="e">
        <f>'Raw Data'!#REF!/K$1</f>
        <v>#REF!</v>
      </c>
      <c r="L842" s="50" t="e">
        <f>'Raw Data'!#REF!/L$1</f>
        <v>#REF!</v>
      </c>
      <c r="M842" s="50" t="e">
        <f>'Raw Data'!#REF!/M$1</f>
        <v>#REF!</v>
      </c>
      <c r="N842" s="50" t="e">
        <f>'Raw Data'!#REF!/N$1</f>
        <v>#REF!</v>
      </c>
      <c r="O842" s="50" t="e">
        <f>'Raw Data'!#REF!/O$1</f>
        <v>#REF!</v>
      </c>
      <c r="P842" s="50" t="str">
        <f t="shared" si="134"/>
        <v/>
      </c>
      <c r="Q842" s="50" t="e">
        <f t="shared" si="135"/>
        <v>#REF!</v>
      </c>
    </row>
    <row r="843" spans="1:17">
      <c r="A843" s="101" t="s">
        <v>212</v>
      </c>
      <c r="B843" s="101">
        <v>5</v>
      </c>
      <c r="C843" s="101">
        <v>2024</v>
      </c>
      <c r="D843" s="101" t="s">
        <v>211</v>
      </c>
      <c r="E843" s="101" t="s">
        <v>211</v>
      </c>
      <c r="F843" s="194">
        <v>45474</v>
      </c>
      <c r="G843" s="101">
        <f t="shared" si="133"/>
        <v>31</v>
      </c>
      <c r="H843" s="103">
        <f t="shared" si="116"/>
        <v>45492</v>
      </c>
      <c r="I843" s="141">
        <f>_xlfn.XLOOKUP(Table12[[#This Row],[Month Year]],'Modelling New'!D:D,'Modelling New'!N:N)</f>
        <v>10.507</v>
      </c>
      <c r="J843" s="50" t="e">
        <f>'Raw Data'!#REF!/J$1</f>
        <v>#REF!</v>
      </c>
      <c r="K843" s="50" t="e">
        <f>'Raw Data'!#REF!/K$1</f>
        <v>#REF!</v>
      </c>
      <c r="L843" s="50" t="e">
        <f>'Raw Data'!#REF!/L$1</f>
        <v>#REF!</v>
      </c>
      <c r="M843" s="50" t="e">
        <f>'Raw Data'!#REF!/M$1</f>
        <v>#REF!</v>
      </c>
      <c r="N843" s="50" t="e">
        <f>'Raw Data'!#REF!/N$1</f>
        <v>#REF!</v>
      </c>
      <c r="O843" s="50" t="e">
        <f>'Raw Data'!#REF!/O$1</f>
        <v>#REF!</v>
      </c>
      <c r="P843" s="50" t="str">
        <f t="shared" si="134"/>
        <v/>
      </c>
      <c r="Q843" s="50" t="e">
        <f t="shared" si="135"/>
        <v>#REF!</v>
      </c>
    </row>
    <row r="844" spans="1:17">
      <c r="A844" s="101" t="s">
        <v>212</v>
      </c>
      <c r="B844" s="101">
        <v>5</v>
      </c>
      <c r="C844" s="101">
        <v>2024</v>
      </c>
      <c r="D844" s="101" t="s">
        <v>211</v>
      </c>
      <c r="E844" s="101" t="s">
        <v>211</v>
      </c>
      <c r="F844" s="194">
        <v>45474</v>
      </c>
      <c r="G844" s="101">
        <f t="shared" si="133"/>
        <v>31</v>
      </c>
      <c r="H844" s="103">
        <f t="shared" si="116"/>
        <v>45493</v>
      </c>
      <c r="I844" s="141">
        <f>_xlfn.XLOOKUP(Table12[[#This Row],[Month Year]],'Modelling New'!D:D,'Modelling New'!N:N)</f>
        <v>10.507</v>
      </c>
      <c r="J844" s="50" t="e">
        <f>'Raw Data'!#REF!/J$1</f>
        <v>#REF!</v>
      </c>
      <c r="K844" s="50" t="e">
        <f>'Raw Data'!#REF!/K$1</f>
        <v>#REF!</v>
      </c>
      <c r="L844" s="50" t="e">
        <f>'Raw Data'!#REF!/L$1</f>
        <v>#REF!</v>
      </c>
      <c r="M844" s="50" t="e">
        <f>'Raw Data'!#REF!/M$1</f>
        <v>#REF!</v>
      </c>
      <c r="N844" s="50" t="e">
        <f>'Raw Data'!#REF!/N$1</f>
        <v>#REF!</v>
      </c>
      <c r="O844" s="50" t="e">
        <f>'Raw Data'!#REF!/O$1</f>
        <v>#REF!</v>
      </c>
      <c r="P844" s="50" t="str">
        <f t="shared" si="134"/>
        <v/>
      </c>
      <c r="Q844" s="50" t="e">
        <f t="shared" si="135"/>
        <v>#REF!</v>
      </c>
    </row>
    <row r="845" spans="1:17">
      <c r="A845" s="101" t="s">
        <v>212</v>
      </c>
      <c r="B845" s="101">
        <v>5</v>
      </c>
      <c r="C845" s="101">
        <v>2024</v>
      </c>
      <c r="D845" s="101" t="s">
        <v>211</v>
      </c>
      <c r="E845" s="101" t="s">
        <v>211</v>
      </c>
      <c r="F845" s="194">
        <v>45474</v>
      </c>
      <c r="G845" s="101">
        <f t="shared" si="133"/>
        <v>31</v>
      </c>
      <c r="H845" s="103">
        <f t="shared" si="116"/>
        <v>45494</v>
      </c>
      <c r="I845" s="141">
        <f>_xlfn.XLOOKUP(Table12[[#This Row],[Month Year]],'Modelling New'!D:D,'Modelling New'!N:N)</f>
        <v>10.507</v>
      </c>
      <c r="J845" s="50" t="e">
        <f>'Raw Data'!#REF!/J$1</f>
        <v>#REF!</v>
      </c>
      <c r="K845" s="50" t="e">
        <f>'Raw Data'!#REF!/K$1</f>
        <v>#REF!</v>
      </c>
      <c r="L845" s="50" t="e">
        <f>'Raw Data'!#REF!/L$1</f>
        <v>#REF!</v>
      </c>
      <c r="M845" s="50" t="e">
        <f>'Raw Data'!#REF!/M$1</f>
        <v>#REF!</v>
      </c>
      <c r="N845" s="50" t="e">
        <f>'Raw Data'!#REF!/N$1</f>
        <v>#REF!</v>
      </c>
      <c r="O845" s="50" t="e">
        <f>'Raw Data'!#REF!/O$1</f>
        <v>#REF!</v>
      </c>
      <c r="P845" s="50" t="str">
        <f t="shared" si="134"/>
        <v/>
      </c>
      <c r="Q845" s="50" t="e">
        <f t="shared" si="135"/>
        <v>#REF!</v>
      </c>
    </row>
    <row r="846" spans="1:17">
      <c r="A846" s="101" t="s">
        <v>212</v>
      </c>
      <c r="B846" s="101">
        <v>5</v>
      </c>
      <c r="C846" s="101">
        <v>2024</v>
      </c>
      <c r="D846" s="101" t="s">
        <v>211</v>
      </c>
      <c r="E846" s="101" t="s">
        <v>211</v>
      </c>
      <c r="F846" s="194">
        <v>45474</v>
      </c>
      <c r="G846" s="101">
        <f t="shared" si="133"/>
        <v>31</v>
      </c>
      <c r="H846" s="103">
        <f t="shared" ref="H846:H909" si="136">H845+1</f>
        <v>45495</v>
      </c>
      <c r="I846" s="141">
        <f>_xlfn.XLOOKUP(Table12[[#This Row],[Month Year]],'Modelling New'!D:D,'Modelling New'!N:N)</f>
        <v>10.507</v>
      </c>
      <c r="J846" s="50" t="e">
        <f>'Raw Data'!#REF!/J$1</f>
        <v>#REF!</v>
      </c>
      <c r="K846" s="50" t="e">
        <f>'Raw Data'!#REF!/K$1</f>
        <v>#REF!</v>
      </c>
      <c r="L846" s="50" t="e">
        <f>'Raw Data'!#REF!/L$1</f>
        <v>#REF!</v>
      </c>
      <c r="M846" s="50" t="e">
        <f>'Raw Data'!#REF!/M$1</f>
        <v>#REF!</v>
      </c>
      <c r="N846" s="50" t="e">
        <f>'Raw Data'!#REF!/N$1</f>
        <v>#REF!</v>
      </c>
      <c r="O846" s="50" t="e">
        <f>'Raw Data'!#REF!/O$1</f>
        <v>#REF!</v>
      </c>
      <c r="P846" s="50" t="str">
        <f t="shared" si="134"/>
        <v/>
      </c>
      <c r="Q846" s="50" t="e">
        <f t="shared" si="135"/>
        <v>#REF!</v>
      </c>
    </row>
    <row r="847" spans="1:17">
      <c r="A847" s="101" t="s">
        <v>212</v>
      </c>
      <c r="B847" s="101">
        <v>5</v>
      </c>
      <c r="C847" s="101">
        <v>2024</v>
      </c>
      <c r="D847" s="101" t="s">
        <v>211</v>
      </c>
      <c r="E847" s="101" t="s">
        <v>211</v>
      </c>
      <c r="F847" s="194">
        <v>45474</v>
      </c>
      <c r="G847" s="101">
        <f t="shared" si="133"/>
        <v>31</v>
      </c>
      <c r="H847" s="103">
        <f t="shared" si="136"/>
        <v>45496</v>
      </c>
      <c r="I847" s="141">
        <f>_xlfn.XLOOKUP(Table12[[#This Row],[Month Year]],'Modelling New'!D:D,'Modelling New'!N:N)</f>
        <v>10.507</v>
      </c>
      <c r="J847" s="50" t="e">
        <f>'Raw Data'!#REF!/J$1</f>
        <v>#REF!</v>
      </c>
      <c r="K847" s="50" t="e">
        <f>'Raw Data'!#REF!/K$1</f>
        <v>#REF!</v>
      </c>
      <c r="L847" s="50" t="e">
        <f>'Raw Data'!#REF!/L$1</f>
        <v>#REF!</v>
      </c>
      <c r="M847" s="50" t="e">
        <f>'Raw Data'!#REF!/M$1</f>
        <v>#REF!</v>
      </c>
      <c r="N847" s="50" t="e">
        <f>'Raw Data'!#REF!/N$1</f>
        <v>#REF!</v>
      </c>
      <c r="O847" s="50" t="e">
        <f>'Raw Data'!#REF!/O$1</f>
        <v>#REF!</v>
      </c>
      <c r="P847" s="50" t="str">
        <f t="shared" si="134"/>
        <v/>
      </c>
      <c r="Q847" s="50" t="e">
        <f t="shared" si="135"/>
        <v>#REF!</v>
      </c>
    </row>
    <row r="848" spans="1:17">
      <c r="A848" s="101" t="s">
        <v>212</v>
      </c>
      <c r="B848" s="101">
        <v>5</v>
      </c>
      <c r="C848" s="101">
        <v>2024</v>
      </c>
      <c r="D848" s="101" t="s">
        <v>211</v>
      </c>
      <c r="E848" s="101" t="s">
        <v>211</v>
      </c>
      <c r="F848" s="194">
        <v>45474</v>
      </c>
      <c r="G848" s="101">
        <f t="shared" si="133"/>
        <v>31</v>
      </c>
      <c r="H848" s="103">
        <f t="shared" si="136"/>
        <v>45497</v>
      </c>
      <c r="I848" s="141">
        <f>_xlfn.XLOOKUP(Table12[[#This Row],[Month Year]],'Modelling New'!D:D,'Modelling New'!N:N)</f>
        <v>10.507</v>
      </c>
      <c r="J848" s="50" t="e">
        <f>'Raw Data'!#REF!/J$1</f>
        <v>#REF!</v>
      </c>
      <c r="K848" s="50" t="e">
        <f>'Raw Data'!#REF!/K$1</f>
        <v>#REF!</v>
      </c>
      <c r="L848" s="50" t="e">
        <f>'Raw Data'!#REF!/L$1</f>
        <v>#REF!</v>
      </c>
      <c r="M848" s="50" t="e">
        <f>'Raw Data'!#REF!/M$1</f>
        <v>#REF!</v>
      </c>
      <c r="N848" s="50" t="e">
        <f>'Raw Data'!#REF!/N$1</f>
        <v>#REF!</v>
      </c>
      <c r="O848" s="50" t="e">
        <f>'Raw Data'!#REF!/O$1</f>
        <v>#REF!</v>
      </c>
      <c r="P848" s="50" t="str">
        <f t="shared" si="134"/>
        <v/>
      </c>
      <c r="Q848" s="50" t="e">
        <f t="shared" si="135"/>
        <v>#REF!</v>
      </c>
    </row>
    <row r="849" spans="1:17">
      <c r="A849" s="101" t="s">
        <v>212</v>
      </c>
      <c r="B849" s="101">
        <v>5</v>
      </c>
      <c r="C849" s="101">
        <v>2024</v>
      </c>
      <c r="D849" s="101" t="s">
        <v>211</v>
      </c>
      <c r="E849" s="101" t="s">
        <v>211</v>
      </c>
      <c r="F849" s="194">
        <v>45474</v>
      </c>
      <c r="G849" s="101">
        <f t="shared" si="133"/>
        <v>31</v>
      </c>
      <c r="H849" s="103">
        <f t="shared" si="136"/>
        <v>45498</v>
      </c>
      <c r="I849" s="141">
        <f>_xlfn.XLOOKUP(Table12[[#This Row],[Month Year]],'Modelling New'!D:D,'Modelling New'!N:N)</f>
        <v>10.507</v>
      </c>
      <c r="J849" s="50" t="e">
        <f>'Raw Data'!#REF!/J$1</f>
        <v>#REF!</v>
      </c>
      <c r="K849" s="50" t="e">
        <f>'Raw Data'!#REF!/K$1</f>
        <v>#REF!</v>
      </c>
      <c r="L849" s="50" t="e">
        <f>'Raw Data'!#REF!/L$1</f>
        <v>#REF!</v>
      </c>
      <c r="M849" s="50" t="e">
        <f>'Raw Data'!#REF!/M$1</f>
        <v>#REF!</v>
      </c>
      <c r="N849" s="50" t="e">
        <f>'Raw Data'!#REF!/N$1</f>
        <v>#REF!</v>
      </c>
      <c r="O849" s="50" t="e">
        <f>'Raw Data'!#REF!/O$1</f>
        <v>#REF!</v>
      </c>
      <c r="P849" s="50" t="str">
        <f t="shared" si="134"/>
        <v/>
      </c>
      <c r="Q849" s="50" t="e">
        <f t="shared" si="135"/>
        <v>#REF!</v>
      </c>
    </row>
    <row r="850" spans="1:17">
      <c r="A850" s="101" t="s">
        <v>212</v>
      </c>
      <c r="B850" s="101">
        <v>5</v>
      </c>
      <c r="C850" s="101">
        <v>2024</v>
      </c>
      <c r="D850" s="101" t="s">
        <v>211</v>
      </c>
      <c r="E850" s="101" t="s">
        <v>211</v>
      </c>
      <c r="F850" s="194">
        <v>45474</v>
      </c>
      <c r="G850" s="101">
        <f t="shared" si="133"/>
        <v>31</v>
      </c>
      <c r="H850" s="103">
        <f t="shared" si="136"/>
        <v>45499</v>
      </c>
      <c r="I850" s="141">
        <f>_xlfn.XLOOKUP(Table12[[#This Row],[Month Year]],'Modelling New'!D:D,'Modelling New'!N:N)</f>
        <v>10.507</v>
      </c>
      <c r="J850" s="50" t="e">
        <f>'Raw Data'!#REF!/J$1</f>
        <v>#REF!</v>
      </c>
      <c r="K850" s="50" t="e">
        <f>'Raw Data'!#REF!/K$1</f>
        <v>#REF!</v>
      </c>
      <c r="L850" s="50" t="e">
        <f>'Raw Data'!#REF!/L$1</f>
        <v>#REF!</v>
      </c>
      <c r="M850" s="50" t="e">
        <f>'Raw Data'!#REF!/M$1</f>
        <v>#REF!</v>
      </c>
      <c r="N850" s="50" t="e">
        <f>'Raw Data'!#REF!/N$1</f>
        <v>#REF!</v>
      </c>
      <c r="O850" s="50" t="e">
        <f>'Raw Data'!#REF!/O$1</f>
        <v>#REF!</v>
      </c>
      <c r="P850" s="50" t="str">
        <f t="shared" si="134"/>
        <v/>
      </c>
      <c r="Q850" s="50" t="e">
        <f t="shared" si="135"/>
        <v>#REF!</v>
      </c>
    </row>
    <row r="851" spans="1:17">
      <c r="A851" s="101" t="s">
        <v>212</v>
      </c>
      <c r="B851" s="101">
        <v>5</v>
      </c>
      <c r="C851" s="101">
        <v>2024</v>
      </c>
      <c r="D851" s="101" t="s">
        <v>211</v>
      </c>
      <c r="E851" s="101" t="s">
        <v>211</v>
      </c>
      <c r="F851" s="194">
        <v>45474</v>
      </c>
      <c r="G851" s="101">
        <f t="shared" si="133"/>
        <v>31</v>
      </c>
      <c r="H851" s="103">
        <f t="shared" si="136"/>
        <v>45500</v>
      </c>
      <c r="I851" s="141">
        <f>_xlfn.XLOOKUP(Table12[[#This Row],[Month Year]],'Modelling New'!D:D,'Modelling New'!N:N)</f>
        <v>10.507</v>
      </c>
      <c r="J851" s="50" t="e">
        <f>'Raw Data'!#REF!/J$1</f>
        <v>#REF!</v>
      </c>
      <c r="K851" s="50" t="e">
        <f>'Raw Data'!#REF!/K$1</f>
        <v>#REF!</v>
      </c>
      <c r="L851" s="50" t="e">
        <f>'Raw Data'!#REF!/L$1</f>
        <v>#REF!</v>
      </c>
      <c r="M851" s="50" t="e">
        <f>'Raw Data'!#REF!/M$1</f>
        <v>#REF!</v>
      </c>
      <c r="N851" s="50" t="e">
        <f>'Raw Data'!#REF!/N$1</f>
        <v>#REF!</v>
      </c>
      <c r="O851" s="50" t="e">
        <f>'Raw Data'!#REF!/O$1</f>
        <v>#REF!</v>
      </c>
      <c r="P851" s="50" t="str">
        <f t="shared" si="134"/>
        <v/>
      </c>
      <c r="Q851" s="50" t="e">
        <f t="shared" si="135"/>
        <v>#REF!</v>
      </c>
    </row>
    <row r="852" spans="1:17">
      <c r="A852" s="101" t="s">
        <v>212</v>
      </c>
      <c r="B852" s="101">
        <v>5</v>
      </c>
      <c r="C852" s="101">
        <v>2024</v>
      </c>
      <c r="D852" s="101" t="s">
        <v>211</v>
      </c>
      <c r="E852" s="101" t="s">
        <v>211</v>
      </c>
      <c r="F852" s="194">
        <v>45474</v>
      </c>
      <c r="G852" s="101">
        <f t="shared" si="133"/>
        <v>31</v>
      </c>
      <c r="H852" s="103">
        <f t="shared" si="136"/>
        <v>45501</v>
      </c>
      <c r="I852" s="141">
        <f>_xlfn.XLOOKUP(Table12[[#This Row],[Month Year]],'Modelling New'!D:D,'Modelling New'!N:N)</f>
        <v>10.507</v>
      </c>
      <c r="J852" s="50" t="e">
        <f>'Raw Data'!#REF!/J$1</f>
        <v>#REF!</v>
      </c>
      <c r="K852" s="50" t="e">
        <f>'Raw Data'!#REF!/K$1</f>
        <v>#REF!</v>
      </c>
      <c r="L852" s="50" t="e">
        <f>'Raw Data'!#REF!/L$1</f>
        <v>#REF!</v>
      </c>
      <c r="M852" s="50" t="e">
        <f>'Raw Data'!#REF!/M$1</f>
        <v>#REF!</v>
      </c>
      <c r="N852" s="50" t="e">
        <f>'Raw Data'!#REF!/N$1</f>
        <v>#REF!</v>
      </c>
      <c r="O852" s="50" t="e">
        <f>'Raw Data'!#REF!/O$1</f>
        <v>#REF!</v>
      </c>
      <c r="P852" s="50" t="str">
        <f t="shared" si="134"/>
        <v/>
      </c>
      <c r="Q852" s="50" t="e">
        <f t="shared" si="135"/>
        <v>#REF!</v>
      </c>
    </row>
    <row r="853" spans="1:17">
      <c r="A853" s="101" t="s">
        <v>212</v>
      </c>
      <c r="B853" s="101">
        <v>5</v>
      </c>
      <c r="C853" s="101">
        <v>2024</v>
      </c>
      <c r="D853" s="101" t="s">
        <v>211</v>
      </c>
      <c r="E853" s="101" t="s">
        <v>211</v>
      </c>
      <c r="F853" s="194">
        <v>45474</v>
      </c>
      <c r="G853" s="101">
        <f t="shared" si="133"/>
        <v>31</v>
      </c>
      <c r="H853" s="103">
        <f t="shared" si="136"/>
        <v>45502</v>
      </c>
      <c r="I853" s="141">
        <f>_xlfn.XLOOKUP(Table12[[#This Row],[Month Year]],'Modelling New'!D:D,'Modelling New'!N:N)</f>
        <v>10.507</v>
      </c>
      <c r="J853" s="50" t="e">
        <f>'Raw Data'!#REF!/J$1</f>
        <v>#REF!</v>
      </c>
      <c r="K853" s="50" t="e">
        <f>'Raw Data'!#REF!/K$1</f>
        <v>#REF!</v>
      </c>
      <c r="L853" s="50" t="e">
        <f>'Raw Data'!#REF!/L$1</f>
        <v>#REF!</v>
      </c>
      <c r="M853" s="50" t="e">
        <f>'Raw Data'!#REF!/M$1</f>
        <v>#REF!</v>
      </c>
      <c r="N853" s="50" t="e">
        <f>'Raw Data'!#REF!/N$1</f>
        <v>#REF!</v>
      </c>
      <c r="O853" s="50" t="e">
        <f>'Raw Data'!#REF!/O$1</f>
        <v>#REF!</v>
      </c>
      <c r="P853" s="50" t="str">
        <f t="shared" si="134"/>
        <v/>
      </c>
      <c r="Q853" s="50" t="e">
        <f t="shared" si="135"/>
        <v>#REF!</v>
      </c>
    </row>
    <row r="854" spans="1:17">
      <c r="A854" s="101" t="s">
        <v>212</v>
      </c>
      <c r="B854" s="101">
        <v>5</v>
      </c>
      <c r="C854" s="101">
        <v>2024</v>
      </c>
      <c r="D854" s="101" t="s">
        <v>211</v>
      </c>
      <c r="E854" s="101" t="s">
        <v>211</v>
      </c>
      <c r="F854" s="194">
        <v>45474</v>
      </c>
      <c r="G854" s="101">
        <f t="shared" si="133"/>
        <v>31</v>
      </c>
      <c r="H854" s="103">
        <f t="shared" si="136"/>
        <v>45503</v>
      </c>
      <c r="I854" s="141">
        <f>_xlfn.XLOOKUP(Table12[[#This Row],[Month Year]],'Modelling New'!D:D,'Modelling New'!N:N)</f>
        <v>10.507</v>
      </c>
      <c r="J854" s="50" t="e">
        <f>'Raw Data'!#REF!/J$1</f>
        <v>#REF!</v>
      </c>
      <c r="K854" s="50" t="e">
        <f>'Raw Data'!#REF!/K$1</f>
        <v>#REF!</v>
      </c>
      <c r="L854" s="50" t="e">
        <f>'Raw Data'!#REF!/L$1</f>
        <v>#REF!</v>
      </c>
      <c r="M854" s="50" t="e">
        <f>'Raw Data'!#REF!/M$1</f>
        <v>#REF!</v>
      </c>
      <c r="N854" s="50" t="e">
        <f>'Raw Data'!#REF!/N$1</f>
        <v>#REF!</v>
      </c>
      <c r="O854" s="50" t="e">
        <f>'Raw Data'!#REF!/O$1</f>
        <v>#REF!</v>
      </c>
      <c r="P854" s="50" t="str">
        <f t="shared" si="134"/>
        <v/>
      </c>
      <c r="Q854" s="50" t="e">
        <f t="shared" si="135"/>
        <v>#REF!</v>
      </c>
    </row>
    <row r="855" spans="1:17">
      <c r="A855" s="101" t="s">
        <v>212</v>
      </c>
      <c r="B855" s="101">
        <v>5</v>
      </c>
      <c r="C855" s="101">
        <v>2024</v>
      </c>
      <c r="D855" s="101" t="s">
        <v>211</v>
      </c>
      <c r="E855" s="101" t="s">
        <v>211</v>
      </c>
      <c r="F855" s="194">
        <v>45474</v>
      </c>
      <c r="G855" s="101">
        <f t="shared" si="133"/>
        <v>31</v>
      </c>
      <c r="H855" s="103">
        <f t="shared" si="136"/>
        <v>45504</v>
      </c>
      <c r="I855" s="141">
        <f>_xlfn.XLOOKUP(Table12[[#This Row],[Month Year]],'Modelling New'!D:D,'Modelling New'!N:N)</f>
        <v>10.507</v>
      </c>
      <c r="J855" s="50" t="e">
        <f>'Raw Data'!#REF!/J$1</f>
        <v>#REF!</v>
      </c>
      <c r="K855" s="50" t="e">
        <f>'Raw Data'!#REF!/K$1</f>
        <v>#REF!</v>
      </c>
      <c r="L855" s="50" t="e">
        <f>'Raw Data'!#REF!/L$1</f>
        <v>#REF!</v>
      </c>
      <c r="M855" s="50" t="e">
        <f>'Raw Data'!#REF!/M$1</f>
        <v>#REF!</v>
      </c>
      <c r="N855" s="50" t="e">
        <f>'Raw Data'!#REF!/N$1</f>
        <v>#REF!</v>
      </c>
      <c r="O855" s="50" t="e">
        <f>'Raw Data'!#REF!/O$1</f>
        <v>#REF!</v>
      </c>
      <c r="P855" s="50" t="str">
        <f t="shared" si="134"/>
        <v/>
      </c>
      <c r="Q855" s="50" t="e">
        <f t="shared" si="135"/>
        <v>#REF!</v>
      </c>
    </row>
    <row r="856" spans="1:17">
      <c r="A856" s="101" t="s">
        <v>212</v>
      </c>
      <c r="B856" s="101">
        <v>5</v>
      </c>
      <c r="C856" s="101">
        <v>2024</v>
      </c>
      <c r="D856" s="101" t="s">
        <v>211</v>
      </c>
      <c r="E856" s="101" t="s">
        <v>211</v>
      </c>
      <c r="F856" s="194">
        <v>45505</v>
      </c>
      <c r="G856" s="101">
        <f t="shared" ref="G856:G887" si="137">DAY(EOMONTH(F856,0))</f>
        <v>31</v>
      </c>
      <c r="H856" s="103">
        <f t="shared" si="136"/>
        <v>45505</v>
      </c>
      <c r="I856" s="141">
        <f>_xlfn.XLOOKUP(Table12[[#This Row],[Month Year]],'Modelling New'!D:D,'Modelling New'!N:N)</f>
        <v>10.507</v>
      </c>
      <c r="J856" s="50" t="e">
        <f>'Raw Data'!#REF!/J$1</f>
        <v>#REF!</v>
      </c>
      <c r="K856" s="50" t="e">
        <f>'Raw Data'!#REF!/K$1</f>
        <v>#REF!</v>
      </c>
      <c r="L856" s="50" t="e">
        <f>'Raw Data'!#REF!/L$1</f>
        <v>#REF!</v>
      </c>
      <c r="M856" s="50" t="e">
        <f>'Raw Data'!#REF!/M$1</f>
        <v>#REF!</v>
      </c>
      <c r="N856" s="50" t="e">
        <f>'Raw Data'!#REF!/N$1</f>
        <v>#REF!</v>
      </c>
      <c r="O856" s="50" t="e">
        <f>'Raw Data'!#REF!/O$1</f>
        <v>#REF!</v>
      </c>
      <c r="P856" s="50" t="str">
        <f t="shared" ref="P856:P887" si="138">IFERROR(AVERAGEIF(J856:O856,"&gt;"&amp;0,J856:O856),"")</f>
        <v/>
      </c>
      <c r="Q856" s="50" t="e">
        <f t="shared" ref="Q856:Q887" si="139">MAXA(J856:O856)</f>
        <v>#REF!</v>
      </c>
    </row>
    <row r="857" spans="1:17">
      <c r="A857" s="101" t="s">
        <v>212</v>
      </c>
      <c r="B857" s="101">
        <v>5</v>
      </c>
      <c r="C857" s="101">
        <v>2024</v>
      </c>
      <c r="D857" s="101" t="s">
        <v>211</v>
      </c>
      <c r="E857" s="101" t="s">
        <v>211</v>
      </c>
      <c r="F857" s="194">
        <v>45505</v>
      </c>
      <c r="G857" s="101">
        <f t="shared" si="137"/>
        <v>31</v>
      </c>
      <c r="H857" s="103">
        <f t="shared" si="136"/>
        <v>45506</v>
      </c>
      <c r="I857" s="141">
        <f>_xlfn.XLOOKUP(Table12[[#This Row],[Month Year]],'Modelling New'!D:D,'Modelling New'!N:N)</f>
        <v>10.507</v>
      </c>
      <c r="J857" s="50" t="e">
        <f>'Raw Data'!#REF!/J$1</f>
        <v>#REF!</v>
      </c>
      <c r="K857" s="50" t="e">
        <f>'Raw Data'!#REF!/K$1</f>
        <v>#REF!</v>
      </c>
      <c r="L857" s="50" t="e">
        <f>'Raw Data'!#REF!/L$1</f>
        <v>#REF!</v>
      </c>
      <c r="M857" s="50" t="e">
        <f>'Raw Data'!#REF!/M$1</f>
        <v>#REF!</v>
      </c>
      <c r="N857" s="50" t="e">
        <f>'Raw Data'!#REF!/N$1</f>
        <v>#REF!</v>
      </c>
      <c r="O857" s="50" t="e">
        <f>'Raw Data'!#REF!/O$1</f>
        <v>#REF!</v>
      </c>
      <c r="P857" s="50" t="str">
        <f t="shared" si="138"/>
        <v/>
      </c>
      <c r="Q857" s="50" t="e">
        <f t="shared" si="139"/>
        <v>#REF!</v>
      </c>
    </row>
    <row r="858" spans="1:17">
      <c r="A858" s="101" t="s">
        <v>212</v>
      </c>
      <c r="B858" s="101">
        <v>5</v>
      </c>
      <c r="C858" s="101">
        <v>2024</v>
      </c>
      <c r="D858" s="101" t="s">
        <v>211</v>
      </c>
      <c r="E858" s="101" t="s">
        <v>211</v>
      </c>
      <c r="F858" s="194">
        <v>45505</v>
      </c>
      <c r="G858" s="101">
        <f t="shared" si="137"/>
        <v>31</v>
      </c>
      <c r="H858" s="103">
        <f t="shared" si="136"/>
        <v>45507</v>
      </c>
      <c r="I858" s="141">
        <f>_xlfn.XLOOKUP(Table12[[#This Row],[Month Year]],'Modelling New'!D:D,'Modelling New'!N:N)</f>
        <v>10.507</v>
      </c>
      <c r="J858" s="50" t="e">
        <f>'Raw Data'!#REF!/J$1</f>
        <v>#REF!</v>
      </c>
      <c r="K858" s="50" t="e">
        <f>'Raw Data'!#REF!/K$1</f>
        <v>#REF!</v>
      </c>
      <c r="L858" s="50" t="e">
        <f>'Raw Data'!#REF!/L$1</f>
        <v>#REF!</v>
      </c>
      <c r="M858" s="50" t="e">
        <f>'Raw Data'!#REF!/M$1</f>
        <v>#REF!</v>
      </c>
      <c r="N858" s="50" t="e">
        <f>'Raw Data'!#REF!/N$1</f>
        <v>#REF!</v>
      </c>
      <c r="O858" s="50" t="e">
        <f>'Raw Data'!#REF!/O$1</f>
        <v>#REF!</v>
      </c>
      <c r="P858" s="50" t="str">
        <f t="shared" si="138"/>
        <v/>
      </c>
      <c r="Q858" s="50" t="e">
        <f t="shared" si="139"/>
        <v>#REF!</v>
      </c>
    </row>
    <row r="859" spans="1:17">
      <c r="A859" s="101" t="s">
        <v>212</v>
      </c>
      <c r="B859" s="101">
        <v>5</v>
      </c>
      <c r="C859" s="101">
        <v>2024</v>
      </c>
      <c r="D859" s="101" t="s">
        <v>211</v>
      </c>
      <c r="E859" s="101" t="s">
        <v>211</v>
      </c>
      <c r="F859" s="194">
        <v>45505</v>
      </c>
      <c r="G859" s="101">
        <f t="shared" si="137"/>
        <v>31</v>
      </c>
      <c r="H859" s="103">
        <f t="shared" si="136"/>
        <v>45508</v>
      </c>
      <c r="I859" s="141">
        <f>_xlfn.XLOOKUP(Table12[[#This Row],[Month Year]],'Modelling New'!D:D,'Modelling New'!N:N)</f>
        <v>10.507</v>
      </c>
      <c r="J859" s="50" t="e">
        <f>'Raw Data'!#REF!/J$1</f>
        <v>#REF!</v>
      </c>
      <c r="K859" s="50" t="e">
        <f>'Raw Data'!#REF!/K$1</f>
        <v>#REF!</v>
      </c>
      <c r="L859" s="50" t="e">
        <f>'Raw Data'!#REF!/L$1</f>
        <v>#REF!</v>
      </c>
      <c r="M859" s="50" t="e">
        <f>'Raw Data'!#REF!/M$1</f>
        <v>#REF!</v>
      </c>
      <c r="N859" s="50" t="e">
        <f>'Raw Data'!#REF!/N$1</f>
        <v>#REF!</v>
      </c>
      <c r="O859" s="50" t="e">
        <f>'Raw Data'!#REF!/O$1</f>
        <v>#REF!</v>
      </c>
      <c r="P859" s="50" t="str">
        <f t="shared" si="138"/>
        <v/>
      </c>
      <c r="Q859" s="50" t="e">
        <f t="shared" si="139"/>
        <v>#REF!</v>
      </c>
    </row>
    <row r="860" spans="1:17">
      <c r="A860" s="101" t="s">
        <v>212</v>
      </c>
      <c r="B860" s="101">
        <v>5</v>
      </c>
      <c r="C860" s="101">
        <v>2024</v>
      </c>
      <c r="D860" s="101" t="s">
        <v>211</v>
      </c>
      <c r="E860" s="101" t="s">
        <v>211</v>
      </c>
      <c r="F860" s="194">
        <v>45505</v>
      </c>
      <c r="G860" s="101">
        <f t="shared" si="137"/>
        <v>31</v>
      </c>
      <c r="H860" s="103">
        <f t="shared" si="136"/>
        <v>45509</v>
      </c>
      <c r="I860" s="141">
        <f>_xlfn.XLOOKUP(Table12[[#This Row],[Month Year]],'Modelling New'!D:D,'Modelling New'!N:N)</f>
        <v>10.507</v>
      </c>
      <c r="J860" s="50" t="e">
        <f>'Raw Data'!#REF!/J$1</f>
        <v>#REF!</v>
      </c>
      <c r="K860" s="50" t="e">
        <f>'Raw Data'!#REF!/K$1</f>
        <v>#REF!</v>
      </c>
      <c r="L860" s="50" t="e">
        <f>'Raw Data'!#REF!/L$1</f>
        <v>#REF!</v>
      </c>
      <c r="M860" s="50" t="e">
        <f>'Raw Data'!#REF!/M$1</f>
        <v>#REF!</v>
      </c>
      <c r="N860" s="50" t="e">
        <f>'Raw Data'!#REF!/N$1</f>
        <v>#REF!</v>
      </c>
      <c r="O860" s="50" t="e">
        <f>'Raw Data'!#REF!/O$1</f>
        <v>#REF!</v>
      </c>
      <c r="P860" s="50" t="str">
        <f t="shared" si="138"/>
        <v/>
      </c>
      <c r="Q860" s="50" t="e">
        <f t="shared" si="139"/>
        <v>#REF!</v>
      </c>
    </row>
    <row r="861" spans="1:17">
      <c r="A861" s="101" t="s">
        <v>212</v>
      </c>
      <c r="B861" s="101">
        <v>5</v>
      </c>
      <c r="C861" s="101">
        <v>2024</v>
      </c>
      <c r="D861" s="101" t="s">
        <v>211</v>
      </c>
      <c r="E861" s="101" t="s">
        <v>211</v>
      </c>
      <c r="F861" s="194">
        <v>45505</v>
      </c>
      <c r="G861" s="101">
        <f t="shared" si="137"/>
        <v>31</v>
      </c>
      <c r="H861" s="103">
        <f t="shared" si="136"/>
        <v>45510</v>
      </c>
      <c r="I861" s="141">
        <f>_xlfn.XLOOKUP(Table12[[#This Row],[Month Year]],'Modelling New'!D:D,'Modelling New'!N:N)</f>
        <v>10.507</v>
      </c>
      <c r="J861" s="50" t="e">
        <f>'Raw Data'!#REF!/J$1</f>
        <v>#REF!</v>
      </c>
      <c r="K861" s="50" t="e">
        <f>'Raw Data'!#REF!/K$1</f>
        <v>#REF!</v>
      </c>
      <c r="L861" s="50" t="e">
        <f>'Raw Data'!#REF!/L$1</f>
        <v>#REF!</v>
      </c>
      <c r="M861" s="50" t="e">
        <f>'Raw Data'!#REF!/M$1</f>
        <v>#REF!</v>
      </c>
      <c r="N861" s="50" t="e">
        <f>'Raw Data'!#REF!/N$1</f>
        <v>#REF!</v>
      </c>
      <c r="O861" s="50" t="e">
        <f>'Raw Data'!#REF!/O$1</f>
        <v>#REF!</v>
      </c>
      <c r="P861" s="50" t="str">
        <f t="shared" si="138"/>
        <v/>
      </c>
      <c r="Q861" s="50" t="e">
        <f t="shared" si="139"/>
        <v>#REF!</v>
      </c>
    </row>
    <row r="862" spans="1:17">
      <c r="A862" s="101" t="s">
        <v>212</v>
      </c>
      <c r="B862" s="101">
        <v>5</v>
      </c>
      <c r="C862" s="101">
        <v>2024</v>
      </c>
      <c r="D862" s="101" t="s">
        <v>211</v>
      </c>
      <c r="E862" s="101" t="s">
        <v>211</v>
      </c>
      <c r="F862" s="194">
        <v>45505</v>
      </c>
      <c r="G862" s="101">
        <f t="shared" si="137"/>
        <v>31</v>
      </c>
      <c r="H862" s="103">
        <f t="shared" si="136"/>
        <v>45511</v>
      </c>
      <c r="I862" s="141">
        <f>_xlfn.XLOOKUP(Table12[[#This Row],[Month Year]],'Modelling New'!D:D,'Modelling New'!N:N)</f>
        <v>10.507</v>
      </c>
      <c r="J862" s="50" t="e">
        <f>'Raw Data'!#REF!/J$1</f>
        <v>#REF!</v>
      </c>
      <c r="K862" s="50" t="e">
        <f>'Raw Data'!#REF!/K$1</f>
        <v>#REF!</v>
      </c>
      <c r="L862" s="50" t="e">
        <f>'Raw Data'!#REF!/L$1</f>
        <v>#REF!</v>
      </c>
      <c r="M862" s="50" t="e">
        <f>'Raw Data'!#REF!/M$1</f>
        <v>#REF!</v>
      </c>
      <c r="N862" s="50" t="e">
        <f>'Raw Data'!#REF!/N$1</f>
        <v>#REF!</v>
      </c>
      <c r="O862" s="50" t="e">
        <f>'Raw Data'!#REF!/O$1</f>
        <v>#REF!</v>
      </c>
      <c r="P862" s="50" t="str">
        <f t="shared" si="138"/>
        <v/>
      </c>
      <c r="Q862" s="50" t="e">
        <f t="shared" si="139"/>
        <v>#REF!</v>
      </c>
    </row>
    <row r="863" spans="1:17">
      <c r="A863" s="101" t="s">
        <v>212</v>
      </c>
      <c r="B863" s="101">
        <v>5</v>
      </c>
      <c r="C863" s="101">
        <v>2024</v>
      </c>
      <c r="D863" s="101" t="s">
        <v>211</v>
      </c>
      <c r="E863" s="101" t="s">
        <v>211</v>
      </c>
      <c r="F863" s="194">
        <v>45505</v>
      </c>
      <c r="G863" s="101">
        <f t="shared" si="137"/>
        <v>31</v>
      </c>
      <c r="H863" s="103">
        <f t="shared" si="136"/>
        <v>45512</v>
      </c>
      <c r="I863" s="141">
        <f>_xlfn.XLOOKUP(Table12[[#This Row],[Month Year]],'Modelling New'!D:D,'Modelling New'!N:N)</f>
        <v>10.507</v>
      </c>
      <c r="J863" s="50" t="e">
        <f>'Raw Data'!#REF!/J$1</f>
        <v>#REF!</v>
      </c>
      <c r="K863" s="50" t="e">
        <f>'Raw Data'!#REF!/K$1</f>
        <v>#REF!</v>
      </c>
      <c r="L863" s="50" t="e">
        <f>'Raw Data'!#REF!/L$1</f>
        <v>#REF!</v>
      </c>
      <c r="M863" s="50" t="e">
        <f>'Raw Data'!#REF!/M$1</f>
        <v>#REF!</v>
      </c>
      <c r="N863" s="50" t="e">
        <f>'Raw Data'!#REF!/N$1</f>
        <v>#REF!</v>
      </c>
      <c r="O863" s="50" t="e">
        <f>'Raw Data'!#REF!/O$1</f>
        <v>#REF!</v>
      </c>
      <c r="P863" s="50" t="str">
        <f t="shared" si="138"/>
        <v/>
      </c>
      <c r="Q863" s="50" t="e">
        <f t="shared" si="139"/>
        <v>#REF!</v>
      </c>
    </row>
    <row r="864" spans="1:17">
      <c r="A864" s="101" t="s">
        <v>212</v>
      </c>
      <c r="B864" s="101">
        <v>5</v>
      </c>
      <c r="C864" s="101">
        <v>2024</v>
      </c>
      <c r="D864" s="101" t="s">
        <v>211</v>
      </c>
      <c r="E864" s="101" t="s">
        <v>211</v>
      </c>
      <c r="F864" s="194">
        <v>45505</v>
      </c>
      <c r="G864" s="101">
        <f t="shared" si="137"/>
        <v>31</v>
      </c>
      <c r="H864" s="103">
        <f t="shared" si="136"/>
        <v>45513</v>
      </c>
      <c r="I864" s="141">
        <f>_xlfn.XLOOKUP(Table12[[#This Row],[Month Year]],'Modelling New'!D:D,'Modelling New'!N:N)</f>
        <v>10.507</v>
      </c>
      <c r="J864" s="50" t="e">
        <f>'Raw Data'!#REF!/J$1</f>
        <v>#REF!</v>
      </c>
      <c r="K864" s="50" t="e">
        <f>'Raw Data'!#REF!/K$1</f>
        <v>#REF!</v>
      </c>
      <c r="L864" s="50" t="e">
        <f>'Raw Data'!#REF!/L$1</f>
        <v>#REF!</v>
      </c>
      <c r="M864" s="50" t="e">
        <f>'Raw Data'!#REF!/M$1</f>
        <v>#REF!</v>
      </c>
      <c r="N864" s="50" t="e">
        <f>'Raw Data'!#REF!/N$1</f>
        <v>#REF!</v>
      </c>
      <c r="O864" s="50" t="e">
        <f>'Raw Data'!#REF!/O$1</f>
        <v>#REF!</v>
      </c>
      <c r="P864" s="50" t="str">
        <f t="shared" si="138"/>
        <v/>
      </c>
      <c r="Q864" s="50" t="e">
        <f t="shared" si="139"/>
        <v>#REF!</v>
      </c>
    </row>
    <row r="865" spans="1:17">
      <c r="A865" s="101" t="s">
        <v>212</v>
      </c>
      <c r="B865" s="101">
        <v>5</v>
      </c>
      <c r="C865" s="101">
        <v>2024</v>
      </c>
      <c r="D865" s="101" t="s">
        <v>211</v>
      </c>
      <c r="E865" s="101" t="s">
        <v>211</v>
      </c>
      <c r="F865" s="194">
        <v>45505</v>
      </c>
      <c r="G865" s="101">
        <f t="shared" si="137"/>
        <v>31</v>
      </c>
      <c r="H865" s="103">
        <f t="shared" si="136"/>
        <v>45514</v>
      </c>
      <c r="I865" s="141">
        <f>_xlfn.XLOOKUP(Table12[[#This Row],[Month Year]],'Modelling New'!D:D,'Modelling New'!N:N)</f>
        <v>10.507</v>
      </c>
      <c r="J865" s="50" t="e">
        <f>'Raw Data'!#REF!/J$1</f>
        <v>#REF!</v>
      </c>
      <c r="K865" s="50" t="e">
        <f>'Raw Data'!#REF!/K$1</f>
        <v>#REF!</v>
      </c>
      <c r="L865" s="50" t="e">
        <f>'Raw Data'!#REF!/L$1</f>
        <v>#REF!</v>
      </c>
      <c r="M865" s="50" t="e">
        <f>'Raw Data'!#REF!/M$1</f>
        <v>#REF!</v>
      </c>
      <c r="N865" s="50" t="e">
        <f>'Raw Data'!#REF!/N$1</f>
        <v>#REF!</v>
      </c>
      <c r="O865" s="50" t="e">
        <f>'Raw Data'!#REF!/O$1</f>
        <v>#REF!</v>
      </c>
      <c r="P865" s="50" t="str">
        <f t="shared" si="138"/>
        <v/>
      </c>
      <c r="Q865" s="50" t="e">
        <f t="shared" si="139"/>
        <v>#REF!</v>
      </c>
    </row>
    <row r="866" spans="1:17">
      <c r="A866" s="101" t="s">
        <v>212</v>
      </c>
      <c r="B866" s="101">
        <v>5</v>
      </c>
      <c r="C866" s="101">
        <v>2024</v>
      </c>
      <c r="D866" s="101" t="s">
        <v>211</v>
      </c>
      <c r="E866" s="101" t="s">
        <v>211</v>
      </c>
      <c r="F866" s="194">
        <v>45505</v>
      </c>
      <c r="G866" s="101">
        <f t="shared" si="137"/>
        <v>31</v>
      </c>
      <c r="H866" s="103">
        <f t="shared" si="136"/>
        <v>45515</v>
      </c>
      <c r="I866" s="141">
        <f>_xlfn.XLOOKUP(Table12[[#This Row],[Month Year]],'Modelling New'!D:D,'Modelling New'!N:N)</f>
        <v>10.507</v>
      </c>
      <c r="J866" s="50" t="e">
        <f>'Raw Data'!#REF!/J$1</f>
        <v>#REF!</v>
      </c>
      <c r="K866" s="50" t="e">
        <f>'Raw Data'!#REF!/K$1</f>
        <v>#REF!</v>
      </c>
      <c r="L866" s="50" t="e">
        <f>'Raw Data'!#REF!/L$1</f>
        <v>#REF!</v>
      </c>
      <c r="M866" s="50" t="e">
        <f>'Raw Data'!#REF!/M$1</f>
        <v>#REF!</v>
      </c>
      <c r="N866" s="50" t="e">
        <f>'Raw Data'!#REF!/N$1</f>
        <v>#REF!</v>
      </c>
      <c r="O866" s="50" t="e">
        <f>'Raw Data'!#REF!/O$1</f>
        <v>#REF!</v>
      </c>
      <c r="P866" s="50" t="str">
        <f t="shared" si="138"/>
        <v/>
      </c>
      <c r="Q866" s="50" t="e">
        <f t="shared" si="139"/>
        <v>#REF!</v>
      </c>
    </row>
    <row r="867" spans="1:17">
      <c r="A867" s="101" t="s">
        <v>212</v>
      </c>
      <c r="B867" s="101">
        <v>5</v>
      </c>
      <c r="C867" s="101">
        <v>2024</v>
      </c>
      <c r="D867" s="101" t="s">
        <v>211</v>
      </c>
      <c r="E867" s="101" t="s">
        <v>211</v>
      </c>
      <c r="F867" s="194">
        <v>45505</v>
      </c>
      <c r="G867" s="101">
        <f t="shared" si="137"/>
        <v>31</v>
      </c>
      <c r="H867" s="103">
        <f t="shared" si="136"/>
        <v>45516</v>
      </c>
      <c r="I867" s="141">
        <f>_xlfn.XLOOKUP(Table12[[#This Row],[Month Year]],'Modelling New'!D:D,'Modelling New'!N:N)</f>
        <v>10.507</v>
      </c>
      <c r="J867" s="50" t="e">
        <f>'Raw Data'!#REF!/J$1</f>
        <v>#REF!</v>
      </c>
      <c r="K867" s="50" t="e">
        <f>'Raw Data'!#REF!/K$1</f>
        <v>#REF!</v>
      </c>
      <c r="L867" s="50" t="e">
        <f>'Raw Data'!#REF!/L$1</f>
        <v>#REF!</v>
      </c>
      <c r="M867" s="50" t="e">
        <f>'Raw Data'!#REF!/M$1</f>
        <v>#REF!</v>
      </c>
      <c r="N867" s="50" t="e">
        <f>'Raw Data'!#REF!/N$1</f>
        <v>#REF!</v>
      </c>
      <c r="O867" s="50" t="e">
        <f>'Raw Data'!#REF!/O$1</f>
        <v>#REF!</v>
      </c>
      <c r="P867" s="50" t="str">
        <f t="shared" si="138"/>
        <v/>
      </c>
      <c r="Q867" s="50" t="e">
        <f t="shared" si="139"/>
        <v>#REF!</v>
      </c>
    </row>
    <row r="868" spans="1:17">
      <c r="A868" s="101" t="s">
        <v>212</v>
      </c>
      <c r="B868" s="101">
        <v>5</v>
      </c>
      <c r="C868" s="101">
        <v>2024</v>
      </c>
      <c r="D868" s="101" t="s">
        <v>211</v>
      </c>
      <c r="E868" s="101" t="s">
        <v>211</v>
      </c>
      <c r="F868" s="194">
        <v>45505</v>
      </c>
      <c r="G868" s="101">
        <f t="shared" si="137"/>
        <v>31</v>
      </c>
      <c r="H868" s="103">
        <f t="shared" si="136"/>
        <v>45517</v>
      </c>
      <c r="I868" s="141">
        <f>_xlfn.XLOOKUP(Table12[[#This Row],[Month Year]],'Modelling New'!D:D,'Modelling New'!N:N)</f>
        <v>10.507</v>
      </c>
      <c r="J868" s="50" t="e">
        <f>'Raw Data'!#REF!/J$1</f>
        <v>#REF!</v>
      </c>
      <c r="K868" s="50" t="e">
        <f>'Raw Data'!#REF!/K$1</f>
        <v>#REF!</v>
      </c>
      <c r="L868" s="50" t="e">
        <f>'Raw Data'!#REF!/L$1</f>
        <v>#REF!</v>
      </c>
      <c r="M868" s="50" t="e">
        <f>'Raw Data'!#REF!/M$1</f>
        <v>#REF!</v>
      </c>
      <c r="N868" s="50" t="e">
        <f>'Raw Data'!#REF!/N$1</f>
        <v>#REF!</v>
      </c>
      <c r="O868" s="50" t="e">
        <f>'Raw Data'!#REF!/O$1</f>
        <v>#REF!</v>
      </c>
      <c r="P868" s="50" t="str">
        <f t="shared" si="138"/>
        <v/>
      </c>
      <c r="Q868" s="50" t="e">
        <f t="shared" si="139"/>
        <v>#REF!</v>
      </c>
    </row>
    <row r="869" spans="1:17">
      <c r="A869" s="101" t="s">
        <v>212</v>
      </c>
      <c r="B869" s="101">
        <v>5</v>
      </c>
      <c r="C869" s="101">
        <v>2024</v>
      </c>
      <c r="D869" s="101" t="s">
        <v>211</v>
      </c>
      <c r="E869" s="101" t="s">
        <v>211</v>
      </c>
      <c r="F869" s="194">
        <v>45505</v>
      </c>
      <c r="G869" s="101">
        <f t="shared" si="137"/>
        <v>31</v>
      </c>
      <c r="H869" s="103">
        <f t="shared" si="136"/>
        <v>45518</v>
      </c>
      <c r="I869" s="141">
        <f>_xlfn.XLOOKUP(Table12[[#This Row],[Month Year]],'Modelling New'!D:D,'Modelling New'!N:N)</f>
        <v>10.507</v>
      </c>
      <c r="J869" s="50" t="e">
        <f>'Raw Data'!#REF!/J$1</f>
        <v>#REF!</v>
      </c>
      <c r="K869" s="50" t="e">
        <f>'Raw Data'!#REF!/K$1</f>
        <v>#REF!</v>
      </c>
      <c r="L869" s="50" t="e">
        <f>'Raw Data'!#REF!/L$1</f>
        <v>#REF!</v>
      </c>
      <c r="M869" s="50" t="e">
        <f>'Raw Data'!#REF!/M$1</f>
        <v>#REF!</v>
      </c>
      <c r="N869" s="50" t="e">
        <f>'Raw Data'!#REF!/N$1</f>
        <v>#REF!</v>
      </c>
      <c r="O869" s="50" t="e">
        <f>'Raw Data'!#REF!/O$1</f>
        <v>#REF!</v>
      </c>
      <c r="P869" s="50" t="str">
        <f t="shared" si="138"/>
        <v/>
      </c>
      <c r="Q869" s="50" t="e">
        <f t="shared" si="139"/>
        <v>#REF!</v>
      </c>
    </row>
    <row r="870" spans="1:17">
      <c r="A870" s="101" t="s">
        <v>212</v>
      </c>
      <c r="B870" s="101">
        <v>5</v>
      </c>
      <c r="C870" s="101">
        <v>2024</v>
      </c>
      <c r="D870" s="101" t="s">
        <v>211</v>
      </c>
      <c r="E870" s="101" t="s">
        <v>211</v>
      </c>
      <c r="F870" s="194">
        <v>45505</v>
      </c>
      <c r="G870" s="101">
        <f t="shared" si="137"/>
        <v>31</v>
      </c>
      <c r="H870" s="103">
        <f t="shared" si="136"/>
        <v>45519</v>
      </c>
      <c r="I870" s="141">
        <f>_xlfn.XLOOKUP(Table12[[#This Row],[Month Year]],'Modelling New'!D:D,'Modelling New'!N:N)</f>
        <v>10.507</v>
      </c>
      <c r="J870" s="50" t="e">
        <f>'Raw Data'!#REF!/J$1</f>
        <v>#REF!</v>
      </c>
      <c r="K870" s="50" t="e">
        <f>'Raw Data'!#REF!/K$1</f>
        <v>#REF!</v>
      </c>
      <c r="L870" s="50" t="e">
        <f>'Raw Data'!#REF!/L$1</f>
        <v>#REF!</v>
      </c>
      <c r="M870" s="50" t="e">
        <f>'Raw Data'!#REF!/M$1</f>
        <v>#REF!</v>
      </c>
      <c r="N870" s="50" t="e">
        <f>'Raw Data'!#REF!/N$1</f>
        <v>#REF!</v>
      </c>
      <c r="O870" s="50" t="e">
        <f>'Raw Data'!#REF!/O$1</f>
        <v>#REF!</v>
      </c>
      <c r="P870" s="50" t="str">
        <f t="shared" si="138"/>
        <v/>
      </c>
      <c r="Q870" s="50" t="e">
        <f t="shared" si="139"/>
        <v>#REF!</v>
      </c>
    </row>
    <row r="871" spans="1:17">
      <c r="A871" s="101" t="s">
        <v>212</v>
      </c>
      <c r="B871" s="101">
        <v>5</v>
      </c>
      <c r="C871" s="101">
        <v>2024</v>
      </c>
      <c r="D871" s="101" t="s">
        <v>211</v>
      </c>
      <c r="E871" s="101" t="s">
        <v>211</v>
      </c>
      <c r="F871" s="194">
        <v>45505</v>
      </c>
      <c r="G871" s="101">
        <f t="shared" si="137"/>
        <v>31</v>
      </c>
      <c r="H871" s="103">
        <f t="shared" si="136"/>
        <v>45520</v>
      </c>
      <c r="I871" s="141">
        <f>_xlfn.XLOOKUP(Table12[[#This Row],[Month Year]],'Modelling New'!D:D,'Modelling New'!N:N)</f>
        <v>10.507</v>
      </c>
      <c r="J871" s="50" t="e">
        <f>'Raw Data'!#REF!/J$1</f>
        <v>#REF!</v>
      </c>
      <c r="K871" s="50" t="e">
        <f>'Raw Data'!#REF!/K$1</f>
        <v>#REF!</v>
      </c>
      <c r="L871" s="50" t="e">
        <f>'Raw Data'!#REF!/L$1</f>
        <v>#REF!</v>
      </c>
      <c r="M871" s="50" t="e">
        <f>'Raw Data'!#REF!/M$1</f>
        <v>#REF!</v>
      </c>
      <c r="N871" s="50" t="e">
        <f>'Raw Data'!#REF!/N$1</f>
        <v>#REF!</v>
      </c>
      <c r="O871" s="50" t="e">
        <f>'Raw Data'!#REF!/O$1</f>
        <v>#REF!</v>
      </c>
      <c r="P871" s="50" t="str">
        <f t="shared" si="138"/>
        <v/>
      </c>
      <c r="Q871" s="50" t="e">
        <f t="shared" si="139"/>
        <v>#REF!</v>
      </c>
    </row>
    <row r="872" spans="1:17">
      <c r="A872" s="101" t="s">
        <v>212</v>
      </c>
      <c r="B872" s="101">
        <v>5</v>
      </c>
      <c r="C872" s="101">
        <v>2024</v>
      </c>
      <c r="D872" s="101" t="s">
        <v>211</v>
      </c>
      <c r="E872" s="101" t="s">
        <v>211</v>
      </c>
      <c r="F872" s="194">
        <v>45505</v>
      </c>
      <c r="G872" s="101">
        <f t="shared" si="137"/>
        <v>31</v>
      </c>
      <c r="H872" s="103">
        <f t="shared" si="136"/>
        <v>45521</v>
      </c>
      <c r="I872" s="141">
        <f>_xlfn.XLOOKUP(Table12[[#This Row],[Month Year]],'Modelling New'!D:D,'Modelling New'!N:N)</f>
        <v>10.507</v>
      </c>
      <c r="J872" s="50" t="e">
        <f>'Raw Data'!#REF!/J$1</f>
        <v>#REF!</v>
      </c>
      <c r="K872" s="50" t="e">
        <f>'Raw Data'!#REF!/K$1</f>
        <v>#REF!</v>
      </c>
      <c r="L872" s="50" t="e">
        <f>'Raw Data'!#REF!/L$1</f>
        <v>#REF!</v>
      </c>
      <c r="M872" s="50" t="e">
        <f>'Raw Data'!#REF!/M$1</f>
        <v>#REF!</v>
      </c>
      <c r="N872" s="50" t="e">
        <f>'Raw Data'!#REF!/N$1</f>
        <v>#REF!</v>
      </c>
      <c r="O872" s="50" t="e">
        <f>'Raw Data'!#REF!/O$1</f>
        <v>#REF!</v>
      </c>
      <c r="P872" s="50" t="str">
        <f t="shared" si="138"/>
        <v/>
      </c>
      <c r="Q872" s="50" t="e">
        <f t="shared" si="139"/>
        <v>#REF!</v>
      </c>
    </row>
    <row r="873" spans="1:17">
      <c r="A873" s="101" t="s">
        <v>212</v>
      </c>
      <c r="B873" s="101">
        <v>5</v>
      </c>
      <c r="C873" s="101">
        <v>2024</v>
      </c>
      <c r="D873" s="101" t="s">
        <v>211</v>
      </c>
      <c r="E873" s="101" t="s">
        <v>211</v>
      </c>
      <c r="F873" s="194">
        <v>45505</v>
      </c>
      <c r="G873" s="101">
        <f t="shared" si="137"/>
        <v>31</v>
      </c>
      <c r="H873" s="103">
        <f t="shared" si="136"/>
        <v>45522</v>
      </c>
      <c r="I873" s="141">
        <f>_xlfn.XLOOKUP(Table12[[#This Row],[Month Year]],'Modelling New'!D:D,'Modelling New'!N:N)</f>
        <v>10.507</v>
      </c>
      <c r="J873" s="50" t="e">
        <f>'Raw Data'!#REF!/J$1</f>
        <v>#REF!</v>
      </c>
      <c r="K873" s="50" t="e">
        <f>'Raw Data'!#REF!/K$1</f>
        <v>#REF!</v>
      </c>
      <c r="L873" s="50" t="e">
        <f>'Raw Data'!#REF!/L$1</f>
        <v>#REF!</v>
      </c>
      <c r="M873" s="50" t="e">
        <f>'Raw Data'!#REF!/M$1</f>
        <v>#REF!</v>
      </c>
      <c r="N873" s="50" t="e">
        <f>'Raw Data'!#REF!/N$1</f>
        <v>#REF!</v>
      </c>
      <c r="O873" s="50" t="e">
        <f>'Raw Data'!#REF!/O$1</f>
        <v>#REF!</v>
      </c>
      <c r="P873" s="50" t="str">
        <f t="shared" si="138"/>
        <v/>
      </c>
      <c r="Q873" s="50" t="e">
        <f t="shared" si="139"/>
        <v>#REF!</v>
      </c>
    </row>
    <row r="874" spans="1:17">
      <c r="A874" s="101" t="s">
        <v>212</v>
      </c>
      <c r="B874" s="101">
        <v>5</v>
      </c>
      <c r="C874" s="101">
        <v>2024</v>
      </c>
      <c r="D874" s="101" t="s">
        <v>211</v>
      </c>
      <c r="E874" s="101" t="s">
        <v>211</v>
      </c>
      <c r="F874" s="194">
        <v>45505</v>
      </c>
      <c r="G874" s="101">
        <f t="shared" si="137"/>
        <v>31</v>
      </c>
      <c r="H874" s="103">
        <f t="shared" si="136"/>
        <v>45523</v>
      </c>
      <c r="I874" s="141">
        <f>_xlfn.XLOOKUP(Table12[[#This Row],[Month Year]],'Modelling New'!D:D,'Modelling New'!N:N)</f>
        <v>10.507</v>
      </c>
      <c r="J874" s="50" t="e">
        <f>'Raw Data'!#REF!/J$1</f>
        <v>#REF!</v>
      </c>
      <c r="K874" s="50" t="e">
        <f>'Raw Data'!#REF!/K$1</f>
        <v>#REF!</v>
      </c>
      <c r="L874" s="50" t="e">
        <f>'Raw Data'!#REF!/L$1</f>
        <v>#REF!</v>
      </c>
      <c r="M874" s="50" t="e">
        <f>'Raw Data'!#REF!/M$1</f>
        <v>#REF!</v>
      </c>
      <c r="N874" s="50" t="e">
        <f>'Raw Data'!#REF!/N$1</f>
        <v>#REF!</v>
      </c>
      <c r="O874" s="50" t="e">
        <f>'Raw Data'!#REF!/O$1</f>
        <v>#REF!</v>
      </c>
      <c r="P874" s="50" t="str">
        <f t="shared" si="138"/>
        <v/>
      </c>
      <c r="Q874" s="50" t="e">
        <f t="shared" si="139"/>
        <v>#REF!</v>
      </c>
    </row>
    <row r="875" spans="1:17">
      <c r="A875" s="101" t="s">
        <v>212</v>
      </c>
      <c r="B875" s="101">
        <v>5</v>
      </c>
      <c r="C875" s="101">
        <v>2024</v>
      </c>
      <c r="D875" s="101" t="s">
        <v>211</v>
      </c>
      <c r="E875" s="101" t="s">
        <v>211</v>
      </c>
      <c r="F875" s="194">
        <v>45505</v>
      </c>
      <c r="G875" s="101">
        <f t="shared" si="137"/>
        <v>31</v>
      </c>
      <c r="H875" s="103">
        <f t="shared" si="136"/>
        <v>45524</v>
      </c>
      <c r="I875" s="141">
        <f>_xlfn.XLOOKUP(Table12[[#This Row],[Month Year]],'Modelling New'!D:D,'Modelling New'!N:N)</f>
        <v>10.507</v>
      </c>
      <c r="J875" s="50" t="e">
        <f>'Raw Data'!#REF!/J$1</f>
        <v>#REF!</v>
      </c>
      <c r="K875" s="50" t="e">
        <f>'Raw Data'!#REF!/K$1</f>
        <v>#REF!</v>
      </c>
      <c r="L875" s="50" t="e">
        <f>'Raw Data'!#REF!/L$1</f>
        <v>#REF!</v>
      </c>
      <c r="M875" s="50" t="e">
        <f>'Raw Data'!#REF!/M$1</f>
        <v>#REF!</v>
      </c>
      <c r="N875" s="50" t="e">
        <f>'Raw Data'!#REF!/N$1</f>
        <v>#REF!</v>
      </c>
      <c r="O875" s="50" t="e">
        <f>'Raw Data'!#REF!/O$1</f>
        <v>#REF!</v>
      </c>
      <c r="P875" s="50" t="str">
        <f t="shared" si="138"/>
        <v/>
      </c>
      <c r="Q875" s="50" t="e">
        <f t="shared" si="139"/>
        <v>#REF!</v>
      </c>
    </row>
    <row r="876" spans="1:17">
      <c r="A876" s="101" t="s">
        <v>212</v>
      </c>
      <c r="B876" s="101">
        <v>5</v>
      </c>
      <c r="C876" s="101">
        <v>2024</v>
      </c>
      <c r="D876" s="101" t="s">
        <v>211</v>
      </c>
      <c r="E876" s="101" t="s">
        <v>211</v>
      </c>
      <c r="F876" s="194">
        <v>45505</v>
      </c>
      <c r="G876" s="101">
        <f t="shared" si="137"/>
        <v>31</v>
      </c>
      <c r="H876" s="103">
        <f t="shared" si="136"/>
        <v>45525</v>
      </c>
      <c r="I876" s="141">
        <f>_xlfn.XLOOKUP(Table12[[#This Row],[Month Year]],'Modelling New'!D:D,'Modelling New'!N:N)</f>
        <v>10.507</v>
      </c>
      <c r="J876" s="50" t="e">
        <f>'Raw Data'!#REF!/J$1</f>
        <v>#REF!</v>
      </c>
      <c r="K876" s="50" t="e">
        <f>'Raw Data'!#REF!/K$1</f>
        <v>#REF!</v>
      </c>
      <c r="L876" s="50" t="e">
        <f>'Raw Data'!#REF!/L$1</f>
        <v>#REF!</v>
      </c>
      <c r="M876" s="50" t="e">
        <f>'Raw Data'!#REF!/M$1</f>
        <v>#REF!</v>
      </c>
      <c r="N876" s="50" t="e">
        <f>'Raw Data'!#REF!/N$1</f>
        <v>#REF!</v>
      </c>
      <c r="O876" s="50" t="e">
        <f>'Raw Data'!#REF!/O$1</f>
        <v>#REF!</v>
      </c>
      <c r="P876" s="50" t="str">
        <f t="shared" si="138"/>
        <v/>
      </c>
      <c r="Q876" s="50" t="e">
        <f t="shared" si="139"/>
        <v>#REF!</v>
      </c>
    </row>
    <row r="877" spans="1:17">
      <c r="A877" s="101" t="s">
        <v>212</v>
      </c>
      <c r="B877" s="101">
        <v>5</v>
      </c>
      <c r="C877" s="101">
        <v>2024</v>
      </c>
      <c r="D877" s="101" t="s">
        <v>211</v>
      </c>
      <c r="E877" s="101" t="s">
        <v>211</v>
      </c>
      <c r="F877" s="194">
        <v>45505</v>
      </c>
      <c r="G877" s="101">
        <f t="shared" si="137"/>
        <v>31</v>
      </c>
      <c r="H877" s="103">
        <f t="shared" si="136"/>
        <v>45526</v>
      </c>
      <c r="I877" s="141">
        <f>_xlfn.XLOOKUP(Table12[[#This Row],[Month Year]],'Modelling New'!D:D,'Modelling New'!N:N)</f>
        <v>10.507</v>
      </c>
      <c r="J877" s="50" t="e">
        <f>'Raw Data'!#REF!/J$1</f>
        <v>#REF!</v>
      </c>
      <c r="K877" s="50" t="e">
        <f>'Raw Data'!#REF!/K$1</f>
        <v>#REF!</v>
      </c>
      <c r="L877" s="50" t="e">
        <f>'Raw Data'!#REF!/L$1</f>
        <v>#REF!</v>
      </c>
      <c r="M877" s="50" t="e">
        <f>'Raw Data'!#REF!/M$1</f>
        <v>#REF!</v>
      </c>
      <c r="N877" s="50" t="e">
        <f>'Raw Data'!#REF!/N$1</f>
        <v>#REF!</v>
      </c>
      <c r="O877" s="50" t="e">
        <f>'Raw Data'!#REF!/O$1</f>
        <v>#REF!</v>
      </c>
      <c r="P877" s="50" t="str">
        <f t="shared" si="138"/>
        <v/>
      </c>
      <c r="Q877" s="50" t="e">
        <f t="shared" si="139"/>
        <v>#REF!</v>
      </c>
    </row>
    <row r="878" spans="1:17">
      <c r="A878" s="101" t="s">
        <v>212</v>
      </c>
      <c r="B878" s="101">
        <v>5</v>
      </c>
      <c r="C878" s="101">
        <v>2024</v>
      </c>
      <c r="D878" s="101" t="s">
        <v>211</v>
      </c>
      <c r="E878" s="101" t="s">
        <v>211</v>
      </c>
      <c r="F878" s="194">
        <v>45505</v>
      </c>
      <c r="G878" s="101">
        <f t="shared" si="137"/>
        <v>31</v>
      </c>
      <c r="H878" s="103">
        <f t="shared" si="136"/>
        <v>45527</v>
      </c>
      <c r="I878" s="141">
        <f>_xlfn.XLOOKUP(Table12[[#This Row],[Month Year]],'Modelling New'!D:D,'Modelling New'!N:N)</f>
        <v>10.507</v>
      </c>
      <c r="J878" s="50" t="e">
        <f>'Raw Data'!#REF!/J$1</f>
        <v>#REF!</v>
      </c>
      <c r="K878" s="50" t="e">
        <f>'Raw Data'!#REF!/K$1</f>
        <v>#REF!</v>
      </c>
      <c r="L878" s="50" t="e">
        <f>'Raw Data'!#REF!/L$1</f>
        <v>#REF!</v>
      </c>
      <c r="M878" s="50" t="e">
        <f>'Raw Data'!#REF!/M$1</f>
        <v>#REF!</v>
      </c>
      <c r="N878" s="50" t="e">
        <f>'Raw Data'!#REF!/N$1</f>
        <v>#REF!</v>
      </c>
      <c r="O878" s="50" t="e">
        <f>'Raw Data'!#REF!/O$1</f>
        <v>#REF!</v>
      </c>
      <c r="P878" s="50" t="str">
        <f t="shared" si="138"/>
        <v/>
      </c>
      <c r="Q878" s="50" t="e">
        <f t="shared" si="139"/>
        <v>#REF!</v>
      </c>
    </row>
    <row r="879" spans="1:17">
      <c r="A879" s="101" t="s">
        <v>212</v>
      </c>
      <c r="B879" s="101">
        <v>5</v>
      </c>
      <c r="C879" s="101">
        <v>2024</v>
      </c>
      <c r="D879" s="101" t="s">
        <v>211</v>
      </c>
      <c r="E879" s="101" t="s">
        <v>211</v>
      </c>
      <c r="F879" s="194">
        <v>45505</v>
      </c>
      <c r="G879" s="101">
        <f t="shared" si="137"/>
        <v>31</v>
      </c>
      <c r="H879" s="103">
        <f t="shared" si="136"/>
        <v>45528</v>
      </c>
      <c r="I879" s="141">
        <f>_xlfn.XLOOKUP(Table12[[#This Row],[Month Year]],'Modelling New'!D:D,'Modelling New'!N:N)</f>
        <v>10.507</v>
      </c>
      <c r="J879" s="50" t="e">
        <f>'Raw Data'!#REF!/J$1</f>
        <v>#REF!</v>
      </c>
      <c r="K879" s="50" t="e">
        <f>'Raw Data'!#REF!/K$1</f>
        <v>#REF!</v>
      </c>
      <c r="L879" s="50" t="e">
        <f>'Raw Data'!#REF!/L$1</f>
        <v>#REF!</v>
      </c>
      <c r="M879" s="50" t="e">
        <f>'Raw Data'!#REF!/M$1</f>
        <v>#REF!</v>
      </c>
      <c r="N879" s="50" t="e">
        <f>'Raw Data'!#REF!/N$1</f>
        <v>#REF!</v>
      </c>
      <c r="O879" s="50" t="e">
        <f>'Raw Data'!#REF!/O$1</f>
        <v>#REF!</v>
      </c>
      <c r="P879" s="50" t="str">
        <f t="shared" si="138"/>
        <v/>
      </c>
      <c r="Q879" s="50" t="e">
        <f t="shared" si="139"/>
        <v>#REF!</v>
      </c>
    </row>
    <row r="880" spans="1:17">
      <c r="A880" s="101" t="s">
        <v>212</v>
      </c>
      <c r="B880" s="101">
        <v>5</v>
      </c>
      <c r="C880" s="101">
        <v>2024</v>
      </c>
      <c r="D880" s="101" t="s">
        <v>211</v>
      </c>
      <c r="E880" s="101" t="s">
        <v>211</v>
      </c>
      <c r="F880" s="194">
        <v>45505</v>
      </c>
      <c r="G880" s="101">
        <f t="shared" si="137"/>
        <v>31</v>
      </c>
      <c r="H880" s="103">
        <f t="shared" si="136"/>
        <v>45529</v>
      </c>
      <c r="I880" s="141">
        <f>_xlfn.XLOOKUP(Table12[[#This Row],[Month Year]],'Modelling New'!D:D,'Modelling New'!N:N)</f>
        <v>10.507</v>
      </c>
      <c r="J880" s="50" t="e">
        <f>'Raw Data'!#REF!/J$1</f>
        <v>#REF!</v>
      </c>
      <c r="K880" s="50" t="e">
        <f>'Raw Data'!#REF!/K$1</f>
        <v>#REF!</v>
      </c>
      <c r="L880" s="50" t="e">
        <f>'Raw Data'!#REF!/L$1</f>
        <v>#REF!</v>
      </c>
      <c r="M880" s="50" t="e">
        <f>'Raw Data'!#REF!/M$1</f>
        <v>#REF!</v>
      </c>
      <c r="N880" s="50" t="e">
        <f>'Raw Data'!#REF!/N$1</f>
        <v>#REF!</v>
      </c>
      <c r="O880" s="50" t="e">
        <f>'Raw Data'!#REF!/O$1</f>
        <v>#REF!</v>
      </c>
      <c r="P880" s="50" t="str">
        <f t="shared" si="138"/>
        <v/>
      </c>
      <c r="Q880" s="50" t="e">
        <f t="shared" si="139"/>
        <v>#REF!</v>
      </c>
    </row>
    <row r="881" spans="1:17">
      <c r="A881" s="101" t="s">
        <v>212</v>
      </c>
      <c r="B881" s="101">
        <v>5</v>
      </c>
      <c r="C881" s="101">
        <v>2024</v>
      </c>
      <c r="D881" s="101" t="s">
        <v>211</v>
      </c>
      <c r="E881" s="101" t="s">
        <v>211</v>
      </c>
      <c r="F881" s="194">
        <v>45505</v>
      </c>
      <c r="G881" s="101">
        <f t="shared" si="137"/>
        <v>31</v>
      </c>
      <c r="H881" s="103">
        <f t="shared" si="136"/>
        <v>45530</v>
      </c>
      <c r="I881" s="141">
        <f>_xlfn.XLOOKUP(Table12[[#This Row],[Month Year]],'Modelling New'!D:D,'Modelling New'!N:N)</f>
        <v>10.507</v>
      </c>
      <c r="J881" s="50" t="e">
        <f>'Raw Data'!#REF!/J$1</f>
        <v>#REF!</v>
      </c>
      <c r="K881" s="50" t="e">
        <f>'Raw Data'!#REF!/K$1</f>
        <v>#REF!</v>
      </c>
      <c r="L881" s="50" t="e">
        <f>'Raw Data'!#REF!/L$1</f>
        <v>#REF!</v>
      </c>
      <c r="M881" s="50" t="e">
        <f>'Raw Data'!#REF!/M$1</f>
        <v>#REF!</v>
      </c>
      <c r="N881" s="50" t="e">
        <f>'Raw Data'!#REF!/N$1</f>
        <v>#REF!</v>
      </c>
      <c r="O881" s="50" t="e">
        <f>'Raw Data'!#REF!/O$1</f>
        <v>#REF!</v>
      </c>
      <c r="P881" s="50" t="str">
        <f t="shared" si="138"/>
        <v/>
      </c>
      <c r="Q881" s="50" t="e">
        <f t="shared" si="139"/>
        <v>#REF!</v>
      </c>
    </row>
    <row r="882" spans="1:17">
      <c r="A882" s="101" t="s">
        <v>212</v>
      </c>
      <c r="B882" s="101">
        <v>5</v>
      </c>
      <c r="C882" s="101">
        <v>2024</v>
      </c>
      <c r="D882" s="101" t="s">
        <v>211</v>
      </c>
      <c r="E882" s="101" t="s">
        <v>211</v>
      </c>
      <c r="F882" s="194">
        <v>45505</v>
      </c>
      <c r="G882" s="101">
        <f t="shared" si="137"/>
        <v>31</v>
      </c>
      <c r="H882" s="103">
        <f t="shared" si="136"/>
        <v>45531</v>
      </c>
      <c r="I882" s="141">
        <f>_xlfn.XLOOKUP(Table12[[#This Row],[Month Year]],'Modelling New'!D:D,'Modelling New'!N:N)</f>
        <v>10.507</v>
      </c>
      <c r="J882" s="50" t="e">
        <f>'Raw Data'!#REF!/J$1</f>
        <v>#REF!</v>
      </c>
      <c r="K882" s="50" t="e">
        <f>'Raw Data'!#REF!/K$1</f>
        <v>#REF!</v>
      </c>
      <c r="L882" s="50" t="e">
        <f>'Raw Data'!#REF!/L$1</f>
        <v>#REF!</v>
      </c>
      <c r="M882" s="50" t="e">
        <f>'Raw Data'!#REF!/M$1</f>
        <v>#REF!</v>
      </c>
      <c r="N882" s="50" t="e">
        <f>'Raw Data'!#REF!/N$1</f>
        <v>#REF!</v>
      </c>
      <c r="O882" s="50" t="e">
        <f>'Raw Data'!#REF!/O$1</f>
        <v>#REF!</v>
      </c>
      <c r="P882" s="50" t="str">
        <f t="shared" si="138"/>
        <v/>
      </c>
      <c r="Q882" s="50" t="e">
        <f t="shared" si="139"/>
        <v>#REF!</v>
      </c>
    </row>
    <row r="883" spans="1:17">
      <c r="A883" s="101" t="s">
        <v>212</v>
      </c>
      <c r="B883" s="101">
        <v>5</v>
      </c>
      <c r="C883" s="101">
        <v>2024</v>
      </c>
      <c r="D883" s="101" t="s">
        <v>211</v>
      </c>
      <c r="E883" s="101" t="s">
        <v>211</v>
      </c>
      <c r="F883" s="194">
        <v>45505</v>
      </c>
      <c r="G883" s="101">
        <f t="shared" si="137"/>
        <v>31</v>
      </c>
      <c r="H883" s="103">
        <f t="shared" si="136"/>
        <v>45532</v>
      </c>
      <c r="I883" s="141">
        <f>_xlfn.XLOOKUP(Table12[[#This Row],[Month Year]],'Modelling New'!D:D,'Modelling New'!N:N)</f>
        <v>10.507</v>
      </c>
      <c r="J883" s="50" t="e">
        <f>'Raw Data'!#REF!/J$1</f>
        <v>#REF!</v>
      </c>
      <c r="K883" s="50" t="e">
        <f>'Raw Data'!#REF!/K$1</f>
        <v>#REF!</v>
      </c>
      <c r="L883" s="50" t="e">
        <f>'Raw Data'!#REF!/L$1</f>
        <v>#REF!</v>
      </c>
      <c r="M883" s="50" t="e">
        <f>'Raw Data'!#REF!/M$1</f>
        <v>#REF!</v>
      </c>
      <c r="N883" s="50" t="e">
        <f>'Raw Data'!#REF!/N$1</f>
        <v>#REF!</v>
      </c>
      <c r="O883" s="50" t="e">
        <f>'Raw Data'!#REF!/O$1</f>
        <v>#REF!</v>
      </c>
      <c r="P883" s="50" t="str">
        <f t="shared" si="138"/>
        <v/>
      </c>
      <c r="Q883" s="50" t="e">
        <f t="shared" si="139"/>
        <v>#REF!</v>
      </c>
    </row>
    <row r="884" spans="1:17">
      <c r="A884" s="101" t="s">
        <v>212</v>
      </c>
      <c r="B884" s="101">
        <v>5</v>
      </c>
      <c r="C884" s="101">
        <v>2024</v>
      </c>
      <c r="D884" s="101" t="s">
        <v>211</v>
      </c>
      <c r="E884" s="101" t="s">
        <v>211</v>
      </c>
      <c r="F884" s="194">
        <v>45505</v>
      </c>
      <c r="G884" s="101">
        <f t="shared" si="137"/>
        <v>31</v>
      </c>
      <c r="H884" s="103">
        <f t="shared" si="136"/>
        <v>45533</v>
      </c>
      <c r="I884" s="141">
        <f>_xlfn.XLOOKUP(Table12[[#This Row],[Month Year]],'Modelling New'!D:D,'Modelling New'!N:N)</f>
        <v>10.507</v>
      </c>
      <c r="J884" s="50" t="e">
        <f>'Raw Data'!#REF!/J$1</f>
        <v>#REF!</v>
      </c>
      <c r="K884" s="50" t="e">
        <f>'Raw Data'!#REF!/K$1</f>
        <v>#REF!</v>
      </c>
      <c r="L884" s="50" t="e">
        <f>'Raw Data'!#REF!/L$1</f>
        <v>#REF!</v>
      </c>
      <c r="M884" s="50" t="e">
        <f>'Raw Data'!#REF!/M$1</f>
        <v>#REF!</v>
      </c>
      <c r="N884" s="50" t="e">
        <f>'Raw Data'!#REF!/N$1</f>
        <v>#REF!</v>
      </c>
      <c r="O884" s="50" t="e">
        <f>'Raw Data'!#REF!/O$1</f>
        <v>#REF!</v>
      </c>
      <c r="P884" s="50" t="str">
        <f t="shared" si="138"/>
        <v/>
      </c>
      <c r="Q884" s="50" t="e">
        <f t="shared" si="139"/>
        <v>#REF!</v>
      </c>
    </row>
    <row r="885" spans="1:17">
      <c r="A885" s="101" t="s">
        <v>212</v>
      </c>
      <c r="B885" s="101">
        <v>5</v>
      </c>
      <c r="C885" s="101">
        <v>2024</v>
      </c>
      <c r="D885" s="101" t="s">
        <v>211</v>
      </c>
      <c r="E885" s="101" t="s">
        <v>211</v>
      </c>
      <c r="F885" s="194">
        <v>45505</v>
      </c>
      <c r="G885" s="101">
        <f t="shared" si="137"/>
        <v>31</v>
      </c>
      <c r="H885" s="103">
        <f t="shared" si="136"/>
        <v>45534</v>
      </c>
      <c r="I885" s="141">
        <f>_xlfn.XLOOKUP(Table12[[#This Row],[Month Year]],'Modelling New'!D:D,'Modelling New'!N:N)</f>
        <v>10.507</v>
      </c>
      <c r="J885" s="50" t="e">
        <f>'Raw Data'!#REF!/J$1</f>
        <v>#REF!</v>
      </c>
      <c r="K885" s="50" t="e">
        <f>'Raw Data'!#REF!/K$1</f>
        <v>#REF!</v>
      </c>
      <c r="L885" s="50" t="e">
        <f>'Raw Data'!#REF!/L$1</f>
        <v>#REF!</v>
      </c>
      <c r="M885" s="50" t="e">
        <f>'Raw Data'!#REF!/M$1</f>
        <v>#REF!</v>
      </c>
      <c r="N885" s="50" t="e">
        <f>'Raw Data'!#REF!/N$1</f>
        <v>#REF!</v>
      </c>
      <c r="O885" s="50" t="e">
        <f>'Raw Data'!#REF!/O$1</f>
        <v>#REF!</v>
      </c>
      <c r="P885" s="50" t="str">
        <f t="shared" si="138"/>
        <v/>
      </c>
      <c r="Q885" s="50" t="e">
        <f t="shared" si="139"/>
        <v>#REF!</v>
      </c>
    </row>
    <row r="886" spans="1:17">
      <c r="A886" s="101" t="s">
        <v>212</v>
      </c>
      <c r="B886" s="101">
        <v>5</v>
      </c>
      <c r="C886" s="101">
        <v>2024</v>
      </c>
      <c r="D886" s="101" t="s">
        <v>211</v>
      </c>
      <c r="E886" s="101" t="s">
        <v>211</v>
      </c>
      <c r="F886" s="194">
        <v>45505</v>
      </c>
      <c r="G886" s="101">
        <f t="shared" si="137"/>
        <v>31</v>
      </c>
      <c r="H886" s="103">
        <f t="shared" si="136"/>
        <v>45535</v>
      </c>
      <c r="I886" s="141">
        <f>_xlfn.XLOOKUP(Table12[[#This Row],[Month Year]],'Modelling New'!D:D,'Modelling New'!N:N)</f>
        <v>10.507</v>
      </c>
      <c r="J886" s="50" t="e">
        <f>'Raw Data'!#REF!/J$1</f>
        <v>#REF!</v>
      </c>
      <c r="K886" s="50" t="e">
        <f>'Raw Data'!#REF!/K$1</f>
        <v>#REF!</v>
      </c>
      <c r="L886" s="50" t="e">
        <f>'Raw Data'!#REF!/L$1</f>
        <v>#REF!</v>
      </c>
      <c r="M886" s="50" t="e">
        <f>'Raw Data'!#REF!/M$1</f>
        <v>#REF!</v>
      </c>
      <c r="N886" s="50" t="e">
        <f>'Raw Data'!#REF!/N$1</f>
        <v>#REF!</v>
      </c>
      <c r="O886" s="50" t="e">
        <f>'Raw Data'!#REF!/O$1</f>
        <v>#REF!</v>
      </c>
      <c r="P886" s="50" t="str">
        <f t="shared" si="138"/>
        <v/>
      </c>
      <c r="Q886" s="50" t="e">
        <f t="shared" si="139"/>
        <v>#REF!</v>
      </c>
    </row>
    <row r="887" spans="1:17">
      <c r="A887" s="101" t="s">
        <v>212</v>
      </c>
      <c r="B887" s="101">
        <v>5</v>
      </c>
      <c r="C887" s="101">
        <v>2024</v>
      </c>
      <c r="D887" s="101" t="s">
        <v>211</v>
      </c>
      <c r="E887" s="101" t="s">
        <v>211</v>
      </c>
      <c r="F887" s="194">
        <v>45536</v>
      </c>
      <c r="G887" s="101">
        <f t="shared" si="137"/>
        <v>30</v>
      </c>
      <c r="H887" s="103">
        <f t="shared" si="136"/>
        <v>45536</v>
      </c>
      <c r="I887" s="141">
        <f>_xlfn.XLOOKUP(Table12[[#This Row],[Month Year]],'Modelling New'!D:D,'Modelling New'!N:N)</f>
        <v>10.507</v>
      </c>
      <c r="J887" s="50" t="e">
        <f>'Raw Data'!#REF!/J$1</f>
        <v>#REF!</v>
      </c>
      <c r="K887" s="50" t="e">
        <f>'Raw Data'!#REF!/K$1</f>
        <v>#REF!</v>
      </c>
      <c r="L887" s="50" t="e">
        <f>'Raw Data'!#REF!/L$1</f>
        <v>#REF!</v>
      </c>
      <c r="M887" s="50" t="e">
        <f>'Raw Data'!#REF!/M$1</f>
        <v>#REF!</v>
      </c>
      <c r="N887" s="50" t="e">
        <f>'Raw Data'!#REF!/N$1</f>
        <v>#REF!</v>
      </c>
      <c r="O887" s="50" t="e">
        <f>'Raw Data'!#REF!/O$1</f>
        <v>#REF!</v>
      </c>
      <c r="P887" s="50" t="str">
        <f t="shared" si="138"/>
        <v/>
      </c>
      <c r="Q887" s="50" t="e">
        <f t="shared" si="139"/>
        <v>#REF!</v>
      </c>
    </row>
    <row r="888" spans="1:17">
      <c r="A888" s="101" t="s">
        <v>212</v>
      </c>
      <c r="B888" s="101">
        <v>5</v>
      </c>
      <c r="C888" s="101">
        <v>2024</v>
      </c>
      <c r="D888" s="101" t="s">
        <v>211</v>
      </c>
      <c r="E888" s="101" t="s">
        <v>211</v>
      </c>
      <c r="F888" s="194">
        <v>45536</v>
      </c>
      <c r="G888" s="101">
        <f t="shared" ref="G888:G919" si="140">DAY(EOMONTH(F888,0))</f>
        <v>30</v>
      </c>
      <c r="H888" s="103">
        <f t="shared" si="136"/>
        <v>45537</v>
      </c>
      <c r="I888" s="141">
        <f>_xlfn.XLOOKUP(Table12[[#This Row],[Month Year]],'Modelling New'!D:D,'Modelling New'!N:N)</f>
        <v>10.507</v>
      </c>
      <c r="J888" s="50" t="e">
        <f>'Raw Data'!#REF!/J$1</f>
        <v>#REF!</v>
      </c>
      <c r="K888" s="50" t="e">
        <f>'Raw Data'!#REF!/K$1</f>
        <v>#REF!</v>
      </c>
      <c r="L888" s="50" t="e">
        <f>'Raw Data'!#REF!/L$1</f>
        <v>#REF!</v>
      </c>
      <c r="M888" s="50" t="e">
        <f>'Raw Data'!#REF!/M$1</f>
        <v>#REF!</v>
      </c>
      <c r="N888" s="50" t="e">
        <f>'Raw Data'!#REF!/N$1</f>
        <v>#REF!</v>
      </c>
      <c r="O888" s="50" t="e">
        <f>'Raw Data'!#REF!/O$1</f>
        <v>#REF!</v>
      </c>
      <c r="P888" s="50" t="str">
        <f t="shared" ref="P888:P919" si="141">IFERROR(AVERAGEIF(J888:O888,"&gt;"&amp;0,J888:O888),"")</f>
        <v/>
      </c>
      <c r="Q888" s="50" t="e">
        <f t="shared" ref="Q888:Q919" si="142">MAXA(J888:O888)</f>
        <v>#REF!</v>
      </c>
    </row>
    <row r="889" spans="1:17">
      <c r="A889" s="101" t="s">
        <v>212</v>
      </c>
      <c r="B889" s="101">
        <v>5</v>
      </c>
      <c r="C889" s="101">
        <v>2024</v>
      </c>
      <c r="D889" s="101" t="s">
        <v>211</v>
      </c>
      <c r="E889" s="101" t="s">
        <v>211</v>
      </c>
      <c r="F889" s="194">
        <v>45536</v>
      </c>
      <c r="G889" s="101">
        <f t="shared" si="140"/>
        <v>30</v>
      </c>
      <c r="H889" s="103">
        <f t="shared" si="136"/>
        <v>45538</v>
      </c>
      <c r="I889" s="141">
        <f>_xlfn.XLOOKUP(Table12[[#This Row],[Month Year]],'Modelling New'!D:D,'Modelling New'!N:N)</f>
        <v>10.507</v>
      </c>
      <c r="J889" s="50" t="e">
        <f>'Raw Data'!#REF!/J$1</f>
        <v>#REF!</v>
      </c>
      <c r="K889" s="50" t="e">
        <f>'Raw Data'!#REF!/K$1</f>
        <v>#REF!</v>
      </c>
      <c r="L889" s="50" t="e">
        <f>'Raw Data'!#REF!/L$1</f>
        <v>#REF!</v>
      </c>
      <c r="M889" s="50" t="e">
        <f>'Raw Data'!#REF!/M$1</f>
        <v>#REF!</v>
      </c>
      <c r="N889" s="50" t="e">
        <f>'Raw Data'!#REF!/N$1</f>
        <v>#REF!</v>
      </c>
      <c r="O889" s="50" t="e">
        <f>'Raw Data'!#REF!/O$1</f>
        <v>#REF!</v>
      </c>
      <c r="P889" s="50" t="str">
        <f t="shared" si="141"/>
        <v/>
      </c>
      <c r="Q889" s="50" t="e">
        <f t="shared" si="142"/>
        <v>#REF!</v>
      </c>
    </row>
    <row r="890" spans="1:17">
      <c r="A890" s="101" t="s">
        <v>212</v>
      </c>
      <c r="B890" s="101">
        <v>5</v>
      </c>
      <c r="C890" s="101">
        <v>2024</v>
      </c>
      <c r="D890" s="101" t="s">
        <v>211</v>
      </c>
      <c r="E890" s="101" t="s">
        <v>211</v>
      </c>
      <c r="F890" s="194">
        <v>45536</v>
      </c>
      <c r="G890" s="101">
        <f t="shared" si="140"/>
        <v>30</v>
      </c>
      <c r="H890" s="103">
        <f t="shared" si="136"/>
        <v>45539</v>
      </c>
      <c r="I890" s="141">
        <f>_xlfn.XLOOKUP(Table12[[#This Row],[Month Year]],'Modelling New'!D:D,'Modelling New'!N:N)</f>
        <v>10.507</v>
      </c>
      <c r="J890" s="50" t="e">
        <f>'Raw Data'!#REF!/J$1</f>
        <v>#REF!</v>
      </c>
      <c r="K890" s="50" t="e">
        <f>'Raw Data'!#REF!/K$1</f>
        <v>#REF!</v>
      </c>
      <c r="L890" s="50" t="e">
        <f>'Raw Data'!#REF!/L$1</f>
        <v>#REF!</v>
      </c>
      <c r="M890" s="50" t="e">
        <f>'Raw Data'!#REF!/M$1</f>
        <v>#REF!</v>
      </c>
      <c r="N890" s="50" t="e">
        <f>'Raw Data'!#REF!/N$1</f>
        <v>#REF!</v>
      </c>
      <c r="O890" s="50" t="e">
        <f>'Raw Data'!#REF!/O$1</f>
        <v>#REF!</v>
      </c>
      <c r="P890" s="50" t="str">
        <f t="shared" si="141"/>
        <v/>
      </c>
      <c r="Q890" s="50" t="e">
        <f t="shared" si="142"/>
        <v>#REF!</v>
      </c>
    </row>
    <row r="891" spans="1:17">
      <c r="A891" s="101" t="s">
        <v>212</v>
      </c>
      <c r="B891" s="101">
        <v>5</v>
      </c>
      <c r="C891" s="101">
        <v>2024</v>
      </c>
      <c r="D891" s="101" t="s">
        <v>211</v>
      </c>
      <c r="E891" s="101" t="s">
        <v>211</v>
      </c>
      <c r="F891" s="194">
        <v>45536</v>
      </c>
      <c r="G891" s="101">
        <f t="shared" si="140"/>
        <v>30</v>
      </c>
      <c r="H891" s="103">
        <f t="shared" si="136"/>
        <v>45540</v>
      </c>
      <c r="I891" s="141">
        <f>_xlfn.XLOOKUP(Table12[[#This Row],[Month Year]],'Modelling New'!D:D,'Modelling New'!N:N)</f>
        <v>10.507</v>
      </c>
      <c r="J891" s="50" t="e">
        <f>'Raw Data'!#REF!/J$1</f>
        <v>#REF!</v>
      </c>
      <c r="K891" s="50" t="e">
        <f>'Raw Data'!#REF!/K$1</f>
        <v>#REF!</v>
      </c>
      <c r="L891" s="50" t="e">
        <f>'Raw Data'!#REF!/L$1</f>
        <v>#REF!</v>
      </c>
      <c r="M891" s="50" t="e">
        <f>'Raw Data'!#REF!/M$1</f>
        <v>#REF!</v>
      </c>
      <c r="N891" s="50" t="e">
        <f>'Raw Data'!#REF!/N$1</f>
        <v>#REF!</v>
      </c>
      <c r="O891" s="50" t="e">
        <f>'Raw Data'!#REF!/O$1</f>
        <v>#REF!</v>
      </c>
      <c r="P891" s="50" t="str">
        <f t="shared" si="141"/>
        <v/>
      </c>
      <c r="Q891" s="50" t="e">
        <f t="shared" si="142"/>
        <v>#REF!</v>
      </c>
    </row>
    <row r="892" spans="1:17">
      <c r="A892" s="101" t="s">
        <v>212</v>
      </c>
      <c r="B892" s="101">
        <v>5</v>
      </c>
      <c r="C892" s="101">
        <v>2024</v>
      </c>
      <c r="D892" s="101" t="s">
        <v>211</v>
      </c>
      <c r="E892" s="101" t="s">
        <v>211</v>
      </c>
      <c r="F892" s="194">
        <v>45536</v>
      </c>
      <c r="G892" s="101">
        <f t="shared" si="140"/>
        <v>30</v>
      </c>
      <c r="H892" s="103">
        <f t="shared" si="136"/>
        <v>45541</v>
      </c>
      <c r="I892" s="141">
        <f>_xlfn.XLOOKUP(Table12[[#This Row],[Month Year]],'Modelling New'!D:D,'Modelling New'!N:N)</f>
        <v>10.507</v>
      </c>
      <c r="J892" s="50" t="e">
        <f>'Raw Data'!#REF!/J$1</f>
        <v>#REF!</v>
      </c>
      <c r="K892" s="50" t="e">
        <f>'Raw Data'!#REF!/K$1</f>
        <v>#REF!</v>
      </c>
      <c r="L892" s="50" t="e">
        <f>'Raw Data'!#REF!/L$1</f>
        <v>#REF!</v>
      </c>
      <c r="M892" s="50" t="e">
        <f>'Raw Data'!#REF!/M$1</f>
        <v>#REF!</v>
      </c>
      <c r="N892" s="50" t="e">
        <f>'Raw Data'!#REF!/N$1</f>
        <v>#REF!</v>
      </c>
      <c r="O892" s="50" t="e">
        <f>'Raw Data'!#REF!/O$1</f>
        <v>#REF!</v>
      </c>
      <c r="P892" s="50" t="str">
        <f t="shared" si="141"/>
        <v/>
      </c>
      <c r="Q892" s="50" t="e">
        <f t="shared" si="142"/>
        <v>#REF!</v>
      </c>
    </row>
    <row r="893" spans="1:17">
      <c r="A893" s="101" t="s">
        <v>212</v>
      </c>
      <c r="B893" s="101">
        <v>5</v>
      </c>
      <c r="C893" s="101">
        <v>2024</v>
      </c>
      <c r="D893" s="101" t="s">
        <v>211</v>
      </c>
      <c r="E893" s="101" t="s">
        <v>211</v>
      </c>
      <c r="F893" s="194">
        <v>45536</v>
      </c>
      <c r="G893" s="101">
        <f t="shared" si="140"/>
        <v>30</v>
      </c>
      <c r="H893" s="103">
        <f t="shared" si="136"/>
        <v>45542</v>
      </c>
      <c r="I893" s="141">
        <f>_xlfn.XLOOKUP(Table12[[#This Row],[Month Year]],'Modelling New'!D:D,'Modelling New'!N:N)</f>
        <v>10.507</v>
      </c>
      <c r="J893" s="50" t="e">
        <f>'Raw Data'!#REF!/J$1</f>
        <v>#REF!</v>
      </c>
      <c r="K893" s="50" t="e">
        <f>'Raw Data'!#REF!/K$1</f>
        <v>#REF!</v>
      </c>
      <c r="L893" s="50" t="e">
        <f>'Raw Data'!#REF!/L$1</f>
        <v>#REF!</v>
      </c>
      <c r="M893" s="50" t="e">
        <f>'Raw Data'!#REF!/M$1</f>
        <v>#REF!</v>
      </c>
      <c r="N893" s="50" t="e">
        <f>'Raw Data'!#REF!/N$1</f>
        <v>#REF!</v>
      </c>
      <c r="O893" s="50" t="e">
        <f>'Raw Data'!#REF!/O$1</f>
        <v>#REF!</v>
      </c>
      <c r="P893" s="50" t="str">
        <f t="shared" si="141"/>
        <v/>
      </c>
      <c r="Q893" s="50" t="e">
        <f t="shared" si="142"/>
        <v>#REF!</v>
      </c>
    </row>
    <row r="894" spans="1:17">
      <c r="A894" s="101" t="s">
        <v>212</v>
      </c>
      <c r="B894" s="101">
        <v>5</v>
      </c>
      <c r="C894" s="101">
        <v>2024</v>
      </c>
      <c r="D894" s="101" t="s">
        <v>211</v>
      </c>
      <c r="E894" s="101" t="s">
        <v>211</v>
      </c>
      <c r="F894" s="194">
        <v>45536</v>
      </c>
      <c r="G894" s="101">
        <f t="shared" si="140"/>
        <v>30</v>
      </c>
      <c r="H894" s="103">
        <f t="shared" si="136"/>
        <v>45543</v>
      </c>
      <c r="I894" s="141">
        <f>_xlfn.XLOOKUP(Table12[[#This Row],[Month Year]],'Modelling New'!D:D,'Modelling New'!N:N)</f>
        <v>10.507</v>
      </c>
      <c r="J894" s="50" t="e">
        <f>'Raw Data'!#REF!/J$1</f>
        <v>#REF!</v>
      </c>
      <c r="K894" s="50" t="e">
        <f>'Raw Data'!#REF!/K$1</f>
        <v>#REF!</v>
      </c>
      <c r="L894" s="50" t="e">
        <f>'Raw Data'!#REF!/L$1</f>
        <v>#REF!</v>
      </c>
      <c r="M894" s="50" t="e">
        <f>'Raw Data'!#REF!/M$1</f>
        <v>#REF!</v>
      </c>
      <c r="N894" s="50" t="e">
        <f>'Raw Data'!#REF!/N$1</f>
        <v>#REF!</v>
      </c>
      <c r="O894" s="50" t="e">
        <f>'Raw Data'!#REF!/O$1</f>
        <v>#REF!</v>
      </c>
      <c r="P894" s="50" t="str">
        <f t="shared" si="141"/>
        <v/>
      </c>
      <c r="Q894" s="50" t="e">
        <f t="shared" si="142"/>
        <v>#REF!</v>
      </c>
    </row>
    <row r="895" spans="1:17">
      <c r="A895" s="101" t="s">
        <v>212</v>
      </c>
      <c r="B895" s="101">
        <v>5</v>
      </c>
      <c r="C895" s="101">
        <v>2024</v>
      </c>
      <c r="D895" s="101" t="s">
        <v>211</v>
      </c>
      <c r="E895" s="101" t="s">
        <v>211</v>
      </c>
      <c r="F895" s="194">
        <v>45536</v>
      </c>
      <c r="G895" s="101">
        <f t="shared" si="140"/>
        <v>30</v>
      </c>
      <c r="H895" s="103">
        <f t="shared" si="136"/>
        <v>45544</v>
      </c>
      <c r="I895" s="141">
        <f>_xlfn.XLOOKUP(Table12[[#This Row],[Month Year]],'Modelling New'!D:D,'Modelling New'!N:N)</f>
        <v>10.507</v>
      </c>
      <c r="J895" s="50" t="e">
        <f>'Raw Data'!#REF!/J$1</f>
        <v>#REF!</v>
      </c>
      <c r="K895" s="50" t="e">
        <f>'Raw Data'!#REF!/K$1</f>
        <v>#REF!</v>
      </c>
      <c r="L895" s="50" t="e">
        <f>'Raw Data'!#REF!/L$1</f>
        <v>#REF!</v>
      </c>
      <c r="M895" s="50" t="e">
        <f>'Raw Data'!#REF!/M$1</f>
        <v>#REF!</v>
      </c>
      <c r="N895" s="50" t="e">
        <f>'Raw Data'!#REF!/N$1</f>
        <v>#REF!</v>
      </c>
      <c r="O895" s="50" t="e">
        <f>'Raw Data'!#REF!/O$1</f>
        <v>#REF!</v>
      </c>
      <c r="P895" s="50" t="str">
        <f t="shared" si="141"/>
        <v/>
      </c>
      <c r="Q895" s="50" t="e">
        <f t="shared" si="142"/>
        <v>#REF!</v>
      </c>
    </row>
    <row r="896" spans="1:17">
      <c r="A896" s="101" t="s">
        <v>212</v>
      </c>
      <c r="B896" s="101">
        <v>5</v>
      </c>
      <c r="C896" s="101">
        <v>2024</v>
      </c>
      <c r="D896" s="101" t="s">
        <v>211</v>
      </c>
      <c r="E896" s="101" t="s">
        <v>211</v>
      </c>
      <c r="F896" s="194">
        <v>45536</v>
      </c>
      <c r="G896" s="101">
        <f t="shared" si="140"/>
        <v>30</v>
      </c>
      <c r="H896" s="103">
        <f t="shared" si="136"/>
        <v>45545</v>
      </c>
      <c r="I896" s="141">
        <f>_xlfn.XLOOKUP(Table12[[#This Row],[Month Year]],'Modelling New'!D:D,'Modelling New'!N:N)</f>
        <v>10.507</v>
      </c>
      <c r="J896" s="50" t="e">
        <f>'Raw Data'!#REF!/J$1</f>
        <v>#REF!</v>
      </c>
      <c r="K896" s="50" t="e">
        <f>'Raw Data'!#REF!/K$1</f>
        <v>#REF!</v>
      </c>
      <c r="L896" s="50" t="e">
        <f>'Raw Data'!#REF!/L$1</f>
        <v>#REF!</v>
      </c>
      <c r="M896" s="50" t="e">
        <f>'Raw Data'!#REF!/M$1</f>
        <v>#REF!</v>
      </c>
      <c r="N896" s="50" t="e">
        <f>'Raw Data'!#REF!/N$1</f>
        <v>#REF!</v>
      </c>
      <c r="O896" s="50" t="e">
        <f>'Raw Data'!#REF!/O$1</f>
        <v>#REF!</v>
      </c>
      <c r="P896" s="50" t="str">
        <f t="shared" si="141"/>
        <v/>
      </c>
      <c r="Q896" s="50" t="e">
        <f t="shared" si="142"/>
        <v>#REF!</v>
      </c>
    </row>
    <row r="897" spans="1:17">
      <c r="A897" s="101" t="s">
        <v>212</v>
      </c>
      <c r="B897" s="101">
        <v>5</v>
      </c>
      <c r="C897" s="101">
        <v>2024</v>
      </c>
      <c r="D897" s="101" t="s">
        <v>211</v>
      </c>
      <c r="E897" s="101" t="s">
        <v>211</v>
      </c>
      <c r="F897" s="194">
        <v>45536</v>
      </c>
      <c r="G897" s="101">
        <f t="shared" si="140"/>
        <v>30</v>
      </c>
      <c r="H897" s="103">
        <f t="shared" si="136"/>
        <v>45546</v>
      </c>
      <c r="I897" s="141">
        <f>_xlfn.XLOOKUP(Table12[[#This Row],[Month Year]],'Modelling New'!D:D,'Modelling New'!N:N)</f>
        <v>10.507</v>
      </c>
      <c r="J897" s="50" t="e">
        <f>'Raw Data'!#REF!/J$1</f>
        <v>#REF!</v>
      </c>
      <c r="K897" s="50" t="e">
        <f>'Raw Data'!#REF!/K$1</f>
        <v>#REF!</v>
      </c>
      <c r="L897" s="50" t="e">
        <f>'Raw Data'!#REF!/L$1</f>
        <v>#REF!</v>
      </c>
      <c r="M897" s="50" t="e">
        <f>'Raw Data'!#REF!/M$1</f>
        <v>#REF!</v>
      </c>
      <c r="N897" s="50" t="e">
        <f>'Raw Data'!#REF!/N$1</f>
        <v>#REF!</v>
      </c>
      <c r="O897" s="50" t="e">
        <f>'Raw Data'!#REF!/O$1</f>
        <v>#REF!</v>
      </c>
      <c r="P897" s="50" t="str">
        <f t="shared" si="141"/>
        <v/>
      </c>
      <c r="Q897" s="50" t="e">
        <f t="shared" si="142"/>
        <v>#REF!</v>
      </c>
    </row>
    <row r="898" spans="1:17">
      <c r="A898" s="101" t="s">
        <v>212</v>
      </c>
      <c r="B898" s="101">
        <v>5</v>
      </c>
      <c r="C898" s="101">
        <v>2024</v>
      </c>
      <c r="D898" s="101" t="s">
        <v>211</v>
      </c>
      <c r="E898" s="101" t="s">
        <v>211</v>
      </c>
      <c r="F898" s="194">
        <v>45536</v>
      </c>
      <c r="G898" s="101">
        <f t="shared" si="140"/>
        <v>30</v>
      </c>
      <c r="H898" s="103">
        <f t="shared" si="136"/>
        <v>45547</v>
      </c>
      <c r="I898" s="141">
        <f>_xlfn.XLOOKUP(Table12[[#This Row],[Month Year]],'Modelling New'!D:D,'Modelling New'!N:N)</f>
        <v>10.507</v>
      </c>
      <c r="J898" s="50" t="e">
        <f>'Raw Data'!#REF!/J$1</f>
        <v>#REF!</v>
      </c>
      <c r="K898" s="50" t="e">
        <f>'Raw Data'!#REF!/K$1</f>
        <v>#REF!</v>
      </c>
      <c r="L898" s="50" t="e">
        <f>'Raw Data'!#REF!/L$1</f>
        <v>#REF!</v>
      </c>
      <c r="M898" s="50" t="e">
        <f>'Raw Data'!#REF!/M$1</f>
        <v>#REF!</v>
      </c>
      <c r="N898" s="50" t="e">
        <f>'Raw Data'!#REF!/N$1</f>
        <v>#REF!</v>
      </c>
      <c r="O898" s="50" t="e">
        <f>'Raw Data'!#REF!/O$1</f>
        <v>#REF!</v>
      </c>
      <c r="P898" s="50" t="str">
        <f t="shared" si="141"/>
        <v/>
      </c>
      <c r="Q898" s="50" t="e">
        <f t="shared" si="142"/>
        <v>#REF!</v>
      </c>
    </row>
    <row r="899" spans="1:17">
      <c r="A899" s="101" t="s">
        <v>212</v>
      </c>
      <c r="B899" s="101">
        <v>5</v>
      </c>
      <c r="C899" s="101">
        <v>2024</v>
      </c>
      <c r="D899" s="101" t="s">
        <v>211</v>
      </c>
      <c r="E899" s="101" t="s">
        <v>211</v>
      </c>
      <c r="F899" s="194">
        <v>45536</v>
      </c>
      <c r="G899" s="101">
        <f t="shared" si="140"/>
        <v>30</v>
      </c>
      <c r="H899" s="103">
        <f t="shared" si="136"/>
        <v>45548</v>
      </c>
      <c r="I899" s="141">
        <f>_xlfn.XLOOKUP(Table12[[#This Row],[Month Year]],'Modelling New'!D:D,'Modelling New'!N:N)</f>
        <v>10.507</v>
      </c>
      <c r="J899" s="50" t="e">
        <f>'Raw Data'!#REF!/J$1</f>
        <v>#REF!</v>
      </c>
      <c r="K899" s="50" t="e">
        <f>'Raw Data'!#REF!/K$1</f>
        <v>#REF!</v>
      </c>
      <c r="L899" s="50" t="e">
        <f>'Raw Data'!#REF!/L$1</f>
        <v>#REF!</v>
      </c>
      <c r="M899" s="50" t="e">
        <f>'Raw Data'!#REF!/M$1</f>
        <v>#REF!</v>
      </c>
      <c r="N899" s="50" t="e">
        <f>'Raw Data'!#REF!/N$1</f>
        <v>#REF!</v>
      </c>
      <c r="O899" s="50" t="e">
        <f>'Raw Data'!#REF!/O$1</f>
        <v>#REF!</v>
      </c>
      <c r="P899" s="50" t="str">
        <f t="shared" si="141"/>
        <v/>
      </c>
      <c r="Q899" s="50" t="e">
        <f t="shared" si="142"/>
        <v>#REF!</v>
      </c>
    </row>
    <row r="900" spans="1:17">
      <c r="A900" s="101" t="s">
        <v>212</v>
      </c>
      <c r="B900" s="101">
        <v>5</v>
      </c>
      <c r="C900" s="101">
        <v>2024</v>
      </c>
      <c r="D900" s="101" t="s">
        <v>211</v>
      </c>
      <c r="E900" s="101" t="s">
        <v>211</v>
      </c>
      <c r="F900" s="194">
        <v>45536</v>
      </c>
      <c r="G900" s="101">
        <f t="shared" si="140"/>
        <v>30</v>
      </c>
      <c r="H900" s="103">
        <f t="shared" si="136"/>
        <v>45549</v>
      </c>
      <c r="I900" s="141">
        <f>_xlfn.XLOOKUP(Table12[[#This Row],[Month Year]],'Modelling New'!D:D,'Modelling New'!N:N)</f>
        <v>10.507</v>
      </c>
      <c r="J900" s="50" t="e">
        <f>'Raw Data'!#REF!/J$1</f>
        <v>#REF!</v>
      </c>
      <c r="K900" s="50" t="e">
        <f>'Raw Data'!#REF!/K$1</f>
        <v>#REF!</v>
      </c>
      <c r="L900" s="50" t="e">
        <f>'Raw Data'!#REF!/L$1</f>
        <v>#REF!</v>
      </c>
      <c r="M900" s="50" t="e">
        <f>'Raw Data'!#REF!/M$1</f>
        <v>#REF!</v>
      </c>
      <c r="N900" s="50" t="e">
        <f>'Raw Data'!#REF!/N$1</f>
        <v>#REF!</v>
      </c>
      <c r="O900" s="50" t="e">
        <f>'Raw Data'!#REF!/O$1</f>
        <v>#REF!</v>
      </c>
      <c r="P900" s="50" t="str">
        <f t="shared" si="141"/>
        <v/>
      </c>
      <c r="Q900" s="50" t="e">
        <f t="shared" si="142"/>
        <v>#REF!</v>
      </c>
    </row>
    <row r="901" spans="1:17">
      <c r="A901" s="101" t="s">
        <v>212</v>
      </c>
      <c r="B901" s="101">
        <v>5</v>
      </c>
      <c r="C901" s="101">
        <v>2024</v>
      </c>
      <c r="D901" s="101" t="s">
        <v>211</v>
      </c>
      <c r="E901" s="101" t="s">
        <v>211</v>
      </c>
      <c r="F901" s="194">
        <v>45536</v>
      </c>
      <c r="G901" s="101">
        <f t="shared" si="140"/>
        <v>30</v>
      </c>
      <c r="H901" s="103">
        <f t="shared" si="136"/>
        <v>45550</v>
      </c>
      <c r="I901" s="141">
        <f>_xlfn.XLOOKUP(Table12[[#This Row],[Month Year]],'Modelling New'!D:D,'Modelling New'!N:N)</f>
        <v>10.507</v>
      </c>
      <c r="J901" s="50" t="e">
        <f>'Raw Data'!#REF!/J$1</f>
        <v>#REF!</v>
      </c>
      <c r="K901" s="50" t="e">
        <f>'Raw Data'!#REF!/K$1</f>
        <v>#REF!</v>
      </c>
      <c r="L901" s="50" t="e">
        <f>'Raw Data'!#REF!/L$1</f>
        <v>#REF!</v>
      </c>
      <c r="M901" s="50" t="e">
        <f>'Raw Data'!#REF!/M$1</f>
        <v>#REF!</v>
      </c>
      <c r="N901" s="50" t="e">
        <f>'Raw Data'!#REF!/N$1</f>
        <v>#REF!</v>
      </c>
      <c r="O901" s="50" t="e">
        <f>'Raw Data'!#REF!/O$1</f>
        <v>#REF!</v>
      </c>
      <c r="P901" s="50" t="str">
        <f t="shared" si="141"/>
        <v/>
      </c>
      <c r="Q901" s="50" t="e">
        <f t="shared" si="142"/>
        <v>#REF!</v>
      </c>
    </row>
    <row r="902" spans="1:17">
      <c r="A902" s="101" t="s">
        <v>212</v>
      </c>
      <c r="B902" s="101">
        <v>5</v>
      </c>
      <c r="C902" s="101">
        <v>2024</v>
      </c>
      <c r="D902" s="101" t="s">
        <v>211</v>
      </c>
      <c r="E902" s="101" t="s">
        <v>211</v>
      </c>
      <c r="F902" s="194">
        <v>45536</v>
      </c>
      <c r="G902" s="101">
        <f t="shared" si="140"/>
        <v>30</v>
      </c>
      <c r="H902" s="103">
        <f t="shared" si="136"/>
        <v>45551</v>
      </c>
      <c r="I902" s="141">
        <f>_xlfn.XLOOKUP(Table12[[#This Row],[Month Year]],'Modelling New'!D:D,'Modelling New'!N:N)</f>
        <v>10.507</v>
      </c>
      <c r="J902" s="50" t="e">
        <f>'Raw Data'!#REF!/J$1</f>
        <v>#REF!</v>
      </c>
      <c r="K902" s="50" t="e">
        <f>'Raw Data'!#REF!/K$1</f>
        <v>#REF!</v>
      </c>
      <c r="L902" s="50" t="e">
        <f>'Raw Data'!#REF!/L$1</f>
        <v>#REF!</v>
      </c>
      <c r="M902" s="50" t="e">
        <f>'Raw Data'!#REF!/M$1</f>
        <v>#REF!</v>
      </c>
      <c r="N902" s="50" t="e">
        <f>'Raw Data'!#REF!/N$1</f>
        <v>#REF!</v>
      </c>
      <c r="O902" s="50" t="e">
        <f>'Raw Data'!#REF!/O$1</f>
        <v>#REF!</v>
      </c>
      <c r="P902" s="50" t="str">
        <f t="shared" si="141"/>
        <v/>
      </c>
      <c r="Q902" s="50" t="e">
        <f t="shared" si="142"/>
        <v>#REF!</v>
      </c>
    </row>
    <row r="903" spans="1:17">
      <c r="A903" s="101" t="s">
        <v>212</v>
      </c>
      <c r="B903" s="101">
        <v>5</v>
      </c>
      <c r="C903" s="101">
        <v>2024</v>
      </c>
      <c r="D903" s="101" t="s">
        <v>211</v>
      </c>
      <c r="E903" s="101" t="s">
        <v>211</v>
      </c>
      <c r="F903" s="194">
        <v>45536</v>
      </c>
      <c r="G903" s="101">
        <f t="shared" si="140"/>
        <v>30</v>
      </c>
      <c r="H903" s="103">
        <f t="shared" si="136"/>
        <v>45552</v>
      </c>
      <c r="I903" s="141">
        <f>_xlfn.XLOOKUP(Table12[[#This Row],[Month Year]],'Modelling New'!D:D,'Modelling New'!N:N)</f>
        <v>10.507</v>
      </c>
      <c r="J903" s="50" t="e">
        <f>'Raw Data'!#REF!/J$1</f>
        <v>#REF!</v>
      </c>
      <c r="K903" s="50" t="e">
        <f>'Raw Data'!#REF!/K$1</f>
        <v>#REF!</v>
      </c>
      <c r="L903" s="50" t="e">
        <f>'Raw Data'!#REF!/L$1</f>
        <v>#REF!</v>
      </c>
      <c r="M903" s="50" t="e">
        <f>'Raw Data'!#REF!/M$1</f>
        <v>#REF!</v>
      </c>
      <c r="N903" s="50" t="e">
        <f>'Raw Data'!#REF!/N$1</f>
        <v>#REF!</v>
      </c>
      <c r="O903" s="50" t="e">
        <f>'Raw Data'!#REF!/O$1</f>
        <v>#REF!</v>
      </c>
      <c r="P903" s="50" t="str">
        <f t="shared" si="141"/>
        <v/>
      </c>
      <c r="Q903" s="50" t="e">
        <f t="shared" si="142"/>
        <v>#REF!</v>
      </c>
    </row>
    <row r="904" spans="1:17">
      <c r="A904" s="101" t="s">
        <v>212</v>
      </c>
      <c r="B904" s="101">
        <v>5</v>
      </c>
      <c r="C904" s="101">
        <v>2024</v>
      </c>
      <c r="D904" s="101" t="s">
        <v>211</v>
      </c>
      <c r="E904" s="101" t="s">
        <v>211</v>
      </c>
      <c r="F904" s="194">
        <v>45536</v>
      </c>
      <c r="G904" s="101">
        <f t="shared" si="140"/>
        <v>30</v>
      </c>
      <c r="H904" s="103">
        <f t="shared" si="136"/>
        <v>45553</v>
      </c>
      <c r="I904" s="141">
        <f>_xlfn.XLOOKUP(Table12[[#This Row],[Month Year]],'Modelling New'!D:D,'Modelling New'!N:N)</f>
        <v>10.507</v>
      </c>
      <c r="J904" s="50" t="e">
        <f>'Raw Data'!#REF!/J$1</f>
        <v>#REF!</v>
      </c>
      <c r="K904" s="50" t="e">
        <f>'Raw Data'!#REF!/K$1</f>
        <v>#REF!</v>
      </c>
      <c r="L904" s="50" t="e">
        <f>'Raw Data'!#REF!/L$1</f>
        <v>#REF!</v>
      </c>
      <c r="M904" s="50" t="e">
        <f>'Raw Data'!#REF!/M$1</f>
        <v>#REF!</v>
      </c>
      <c r="N904" s="50" t="e">
        <f>'Raw Data'!#REF!/N$1</f>
        <v>#REF!</v>
      </c>
      <c r="O904" s="50" t="e">
        <f>'Raw Data'!#REF!/O$1</f>
        <v>#REF!</v>
      </c>
      <c r="P904" s="50" t="str">
        <f t="shared" si="141"/>
        <v/>
      </c>
      <c r="Q904" s="50" t="e">
        <f t="shared" si="142"/>
        <v>#REF!</v>
      </c>
    </row>
    <row r="905" spans="1:17">
      <c r="A905" s="101" t="s">
        <v>212</v>
      </c>
      <c r="B905" s="101">
        <v>5</v>
      </c>
      <c r="C905" s="101">
        <v>2024</v>
      </c>
      <c r="D905" s="101" t="s">
        <v>211</v>
      </c>
      <c r="E905" s="101" t="s">
        <v>211</v>
      </c>
      <c r="F905" s="194">
        <v>45536</v>
      </c>
      <c r="G905" s="101">
        <f t="shared" si="140"/>
        <v>30</v>
      </c>
      <c r="H905" s="103">
        <f t="shared" si="136"/>
        <v>45554</v>
      </c>
      <c r="I905" s="141">
        <f>_xlfn.XLOOKUP(Table12[[#This Row],[Month Year]],'Modelling New'!D:D,'Modelling New'!N:N)</f>
        <v>10.507</v>
      </c>
      <c r="J905" s="50" t="e">
        <f>'Raw Data'!#REF!/J$1</f>
        <v>#REF!</v>
      </c>
      <c r="K905" s="50" t="e">
        <f>'Raw Data'!#REF!/K$1</f>
        <v>#REF!</v>
      </c>
      <c r="L905" s="50" t="e">
        <f>'Raw Data'!#REF!/L$1</f>
        <v>#REF!</v>
      </c>
      <c r="M905" s="50" t="e">
        <f>'Raw Data'!#REF!/M$1</f>
        <v>#REF!</v>
      </c>
      <c r="N905" s="50" t="e">
        <f>'Raw Data'!#REF!/N$1</f>
        <v>#REF!</v>
      </c>
      <c r="O905" s="50" t="e">
        <f>'Raw Data'!#REF!/O$1</f>
        <v>#REF!</v>
      </c>
      <c r="P905" s="50" t="str">
        <f t="shared" si="141"/>
        <v/>
      </c>
      <c r="Q905" s="50" t="e">
        <f t="shared" si="142"/>
        <v>#REF!</v>
      </c>
    </row>
    <row r="906" spans="1:17">
      <c r="A906" s="101" t="s">
        <v>212</v>
      </c>
      <c r="B906" s="101">
        <v>5</v>
      </c>
      <c r="C906" s="101">
        <v>2024</v>
      </c>
      <c r="D906" s="101" t="s">
        <v>211</v>
      </c>
      <c r="E906" s="101" t="s">
        <v>211</v>
      </c>
      <c r="F906" s="194">
        <v>45536</v>
      </c>
      <c r="G906" s="101">
        <f t="shared" si="140"/>
        <v>30</v>
      </c>
      <c r="H906" s="103">
        <f t="shared" si="136"/>
        <v>45555</v>
      </c>
      <c r="I906" s="141">
        <f>_xlfn.XLOOKUP(Table12[[#This Row],[Month Year]],'Modelling New'!D:D,'Modelling New'!N:N)</f>
        <v>10.507</v>
      </c>
      <c r="J906" s="50" t="e">
        <f>'Raw Data'!#REF!/J$1</f>
        <v>#REF!</v>
      </c>
      <c r="K906" s="50" t="e">
        <f>'Raw Data'!#REF!/K$1</f>
        <v>#REF!</v>
      </c>
      <c r="L906" s="50" t="e">
        <f>'Raw Data'!#REF!/L$1</f>
        <v>#REF!</v>
      </c>
      <c r="M906" s="50" t="e">
        <f>'Raw Data'!#REF!/M$1</f>
        <v>#REF!</v>
      </c>
      <c r="N906" s="50" t="e">
        <f>'Raw Data'!#REF!/N$1</f>
        <v>#REF!</v>
      </c>
      <c r="O906" s="50" t="e">
        <f>'Raw Data'!#REF!/O$1</f>
        <v>#REF!</v>
      </c>
      <c r="P906" s="50" t="str">
        <f t="shared" si="141"/>
        <v/>
      </c>
      <c r="Q906" s="50" t="e">
        <f t="shared" si="142"/>
        <v>#REF!</v>
      </c>
    </row>
    <row r="907" spans="1:17">
      <c r="A907" s="101" t="s">
        <v>212</v>
      </c>
      <c r="B907" s="101">
        <v>5</v>
      </c>
      <c r="C907" s="101">
        <v>2024</v>
      </c>
      <c r="D907" s="101" t="s">
        <v>211</v>
      </c>
      <c r="E907" s="101" t="s">
        <v>211</v>
      </c>
      <c r="F907" s="194">
        <v>45536</v>
      </c>
      <c r="G907" s="101">
        <f t="shared" si="140"/>
        <v>30</v>
      </c>
      <c r="H907" s="103">
        <f t="shared" si="136"/>
        <v>45556</v>
      </c>
      <c r="I907" s="141">
        <f>_xlfn.XLOOKUP(Table12[[#This Row],[Month Year]],'Modelling New'!D:D,'Modelling New'!N:N)</f>
        <v>10.507</v>
      </c>
      <c r="J907" s="50" t="e">
        <f>'Raw Data'!#REF!/J$1</f>
        <v>#REF!</v>
      </c>
      <c r="K907" s="50" t="e">
        <f>'Raw Data'!#REF!/K$1</f>
        <v>#REF!</v>
      </c>
      <c r="L907" s="50" t="e">
        <f>'Raw Data'!#REF!/L$1</f>
        <v>#REF!</v>
      </c>
      <c r="M907" s="50" t="e">
        <f>'Raw Data'!#REF!/M$1</f>
        <v>#REF!</v>
      </c>
      <c r="N907" s="50" t="e">
        <f>'Raw Data'!#REF!/N$1</f>
        <v>#REF!</v>
      </c>
      <c r="O907" s="50" t="e">
        <f>'Raw Data'!#REF!/O$1</f>
        <v>#REF!</v>
      </c>
      <c r="P907" s="50" t="str">
        <f t="shared" si="141"/>
        <v/>
      </c>
      <c r="Q907" s="50" t="e">
        <f t="shared" si="142"/>
        <v>#REF!</v>
      </c>
    </row>
    <row r="908" spans="1:17">
      <c r="A908" s="101" t="s">
        <v>212</v>
      </c>
      <c r="B908" s="101">
        <v>5</v>
      </c>
      <c r="C908" s="101">
        <v>2024</v>
      </c>
      <c r="D908" s="101" t="s">
        <v>211</v>
      </c>
      <c r="E908" s="101" t="s">
        <v>211</v>
      </c>
      <c r="F908" s="194">
        <v>45536</v>
      </c>
      <c r="G908" s="101">
        <f t="shared" si="140"/>
        <v>30</v>
      </c>
      <c r="H908" s="103">
        <f t="shared" si="136"/>
        <v>45557</v>
      </c>
      <c r="I908" s="141">
        <f>_xlfn.XLOOKUP(Table12[[#This Row],[Month Year]],'Modelling New'!D:D,'Modelling New'!N:N)</f>
        <v>10.507</v>
      </c>
      <c r="J908" s="50" t="e">
        <f>'Raw Data'!#REF!/J$1</f>
        <v>#REF!</v>
      </c>
      <c r="K908" s="50" t="e">
        <f>'Raw Data'!#REF!/K$1</f>
        <v>#REF!</v>
      </c>
      <c r="L908" s="50" t="e">
        <f>'Raw Data'!#REF!/L$1</f>
        <v>#REF!</v>
      </c>
      <c r="M908" s="50" t="e">
        <f>'Raw Data'!#REF!/M$1</f>
        <v>#REF!</v>
      </c>
      <c r="N908" s="50" t="e">
        <f>'Raw Data'!#REF!/N$1</f>
        <v>#REF!</v>
      </c>
      <c r="O908" s="50" t="e">
        <f>'Raw Data'!#REF!/O$1</f>
        <v>#REF!</v>
      </c>
      <c r="P908" s="50" t="str">
        <f t="shared" si="141"/>
        <v/>
      </c>
      <c r="Q908" s="50" t="e">
        <f t="shared" si="142"/>
        <v>#REF!</v>
      </c>
    </row>
    <row r="909" spans="1:17">
      <c r="A909" s="101" t="s">
        <v>212</v>
      </c>
      <c r="B909" s="101">
        <v>5</v>
      </c>
      <c r="C909" s="101">
        <v>2024</v>
      </c>
      <c r="D909" s="101" t="s">
        <v>211</v>
      </c>
      <c r="E909" s="101" t="s">
        <v>211</v>
      </c>
      <c r="F909" s="194">
        <v>45536</v>
      </c>
      <c r="G909" s="101">
        <f t="shared" si="140"/>
        <v>30</v>
      </c>
      <c r="H909" s="103">
        <f t="shared" si="136"/>
        <v>45558</v>
      </c>
      <c r="I909" s="141">
        <f>_xlfn.XLOOKUP(Table12[[#This Row],[Month Year]],'Modelling New'!D:D,'Modelling New'!N:N)</f>
        <v>10.507</v>
      </c>
      <c r="J909" s="50" t="e">
        <f>'Raw Data'!#REF!/J$1</f>
        <v>#REF!</v>
      </c>
      <c r="K909" s="50" t="e">
        <f>'Raw Data'!#REF!/K$1</f>
        <v>#REF!</v>
      </c>
      <c r="L909" s="50" t="e">
        <f>'Raw Data'!#REF!/L$1</f>
        <v>#REF!</v>
      </c>
      <c r="M909" s="50" t="e">
        <f>'Raw Data'!#REF!/M$1</f>
        <v>#REF!</v>
      </c>
      <c r="N909" s="50" t="e">
        <f>'Raw Data'!#REF!/N$1</f>
        <v>#REF!</v>
      </c>
      <c r="O909" s="50" t="e">
        <f>'Raw Data'!#REF!/O$1</f>
        <v>#REF!</v>
      </c>
      <c r="P909" s="50" t="str">
        <f t="shared" si="141"/>
        <v/>
      </c>
      <c r="Q909" s="50" t="e">
        <f t="shared" si="142"/>
        <v>#REF!</v>
      </c>
    </row>
    <row r="910" spans="1:17">
      <c r="A910" s="101" t="s">
        <v>212</v>
      </c>
      <c r="B910" s="101">
        <v>5</v>
      </c>
      <c r="C910" s="101">
        <v>2024</v>
      </c>
      <c r="D910" s="101" t="s">
        <v>211</v>
      </c>
      <c r="E910" s="101" t="s">
        <v>211</v>
      </c>
      <c r="F910" s="194">
        <v>45536</v>
      </c>
      <c r="G910" s="101">
        <f t="shared" si="140"/>
        <v>30</v>
      </c>
      <c r="H910" s="103">
        <f t="shared" ref="H910:H973" si="143">H909+1</f>
        <v>45559</v>
      </c>
      <c r="I910" s="141">
        <f>_xlfn.XLOOKUP(Table12[[#This Row],[Month Year]],'Modelling New'!D:D,'Modelling New'!N:N)</f>
        <v>10.507</v>
      </c>
      <c r="J910" s="50" t="e">
        <f>'Raw Data'!#REF!/J$1</f>
        <v>#REF!</v>
      </c>
      <c r="K910" s="50" t="e">
        <f>'Raw Data'!#REF!/K$1</f>
        <v>#REF!</v>
      </c>
      <c r="L910" s="50" t="e">
        <f>'Raw Data'!#REF!/L$1</f>
        <v>#REF!</v>
      </c>
      <c r="M910" s="50" t="e">
        <f>'Raw Data'!#REF!/M$1</f>
        <v>#REF!</v>
      </c>
      <c r="N910" s="50" t="e">
        <f>'Raw Data'!#REF!/N$1</f>
        <v>#REF!</v>
      </c>
      <c r="O910" s="50" t="e">
        <f>'Raw Data'!#REF!/O$1</f>
        <v>#REF!</v>
      </c>
      <c r="P910" s="50" t="str">
        <f t="shared" si="141"/>
        <v/>
      </c>
      <c r="Q910" s="50" t="e">
        <f t="shared" si="142"/>
        <v>#REF!</v>
      </c>
    </row>
    <row r="911" spans="1:17">
      <c r="A911" s="101" t="s">
        <v>212</v>
      </c>
      <c r="B911" s="101">
        <v>5</v>
      </c>
      <c r="C911" s="101">
        <v>2024</v>
      </c>
      <c r="D911" s="101" t="s">
        <v>211</v>
      </c>
      <c r="E911" s="101" t="s">
        <v>211</v>
      </c>
      <c r="F911" s="194">
        <v>45536</v>
      </c>
      <c r="G911" s="101">
        <f t="shared" si="140"/>
        <v>30</v>
      </c>
      <c r="H911" s="103">
        <f t="shared" si="143"/>
        <v>45560</v>
      </c>
      <c r="I911" s="141">
        <f>_xlfn.XLOOKUP(Table12[[#This Row],[Month Year]],'Modelling New'!D:D,'Modelling New'!N:N)</f>
        <v>10.507</v>
      </c>
      <c r="J911" s="50" t="e">
        <f>'Raw Data'!#REF!/J$1</f>
        <v>#REF!</v>
      </c>
      <c r="K911" s="50" t="e">
        <f>'Raw Data'!#REF!/K$1</f>
        <v>#REF!</v>
      </c>
      <c r="L911" s="50" t="e">
        <f>'Raw Data'!#REF!/L$1</f>
        <v>#REF!</v>
      </c>
      <c r="M911" s="50" t="e">
        <f>'Raw Data'!#REF!/M$1</f>
        <v>#REF!</v>
      </c>
      <c r="N911" s="50" t="e">
        <f>'Raw Data'!#REF!/N$1</f>
        <v>#REF!</v>
      </c>
      <c r="O911" s="50" t="e">
        <f>'Raw Data'!#REF!/O$1</f>
        <v>#REF!</v>
      </c>
      <c r="P911" s="50" t="str">
        <f t="shared" si="141"/>
        <v/>
      </c>
      <c r="Q911" s="50" t="e">
        <f t="shared" si="142"/>
        <v>#REF!</v>
      </c>
    </row>
    <row r="912" spans="1:17">
      <c r="A912" s="101" t="s">
        <v>212</v>
      </c>
      <c r="B912" s="101">
        <v>5</v>
      </c>
      <c r="C912" s="101">
        <v>2024</v>
      </c>
      <c r="D912" s="101" t="s">
        <v>211</v>
      </c>
      <c r="E912" s="101" t="s">
        <v>211</v>
      </c>
      <c r="F912" s="194">
        <v>45536</v>
      </c>
      <c r="G912" s="101">
        <f t="shared" si="140"/>
        <v>30</v>
      </c>
      <c r="H912" s="103">
        <f t="shared" si="143"/>
        <v>45561</v>
      </c>
      <c r="I912" s="141">
        <f>_xlfn.XLOOKUP(Table12[[#This Row],[Month Year]],'Modelling New'!D:D,'Modelling New'!N:N)</f>
        <v>10.507</v>
      </c>
      <c r="J912" s="50" t="e">
        <f>'Raw Data'!#REF!/J$1</f>
        <v>#REF!</v>
      </c>
      <c r="K912" s="50" t="e">
        <f>'Raw Data'!#REF!/K$1</f>
        <v>#REF!</v>
      </c>
      <c r="L912" s="50" t="e">
        <f>'Raw Data'!#REF!/L$1</f>
        <v>#REF!</v>
      </c>
      <c r="M912" s="50" t="e">
        <f>'Raw Data'!#REF!/M$1</f>
        <v>#REF!</v>
      </c>
      <c r="N912" s="50" t="e">
        <f>'Raw Data'!#REF!/N$1</f>
        <v>#REF!</v>
      </c>
      <c r="O912" s="50" t="e">
        <f>'Raw Data'!#REF!/O$1</f>
        <v>#REF!</v>
      </c>
      <c r="P912" s="50" t="str">
        <f t="shared" si="141"/>
        <v/>
      </c>
      <c r="Q912" s="50" t="e">
        <f t="shared" si="142"/>
        <v>#REF!</v>
      </c>
    </row>
    <row r="913" spans="1:17">
      <c r="A913" s="101" t="s">
        <v>212</v>
      </c>
      <c r="B913" s="101">
        <v>5</v>
      </c>
      <c r="C913" s="101">
        <v>2024</v>
      </c>
      <c r="D913" s="101" t="s">
        <v>211</v>
      </c>
      <c r="E913" s="101" t="s">
        <v>211</v>
      </c>
      <c r="F913" s="194">
        <v>45536</v>
      </c>
      <c r="G913" s="101">
        <f t="shared" si="140"/>
        <v>30</v>
      </c>
      <c r="H913" s="103">
        <f t="shared" si="143"/>
        <v>45562</v>
      </c>
      <c r="I913" s="141">
        <f>_xlfn.XLOOKUP(Table12[[#This Row],[Month Year]],'Modelling New'!D:D,'Modelling New'!N:N)</f>
        <v>10.507</v>
      </c>
      <c r="J913" s="50" t="e">
        <f>'Raw Data'!#REF!/J$1</f>
        <v>#REF!</v>
      </c>
      <c r="K913" s="50" t="e">
        <f>'Raw Data'!#REF!/K$1</f>
        <v>#REF!</v>
      </c>
      <c r="L913" s="50" t="e">
        <f>'Raw Data'!#REF!/L$1</f>
        <v>#REF!</v>
      </c>
      <c r="M913" s="50" t="e">
        <f>'Raw Data'!#REF!/M$1</f>
        <v>#REF!</v>
      </c>
      <c r="N913" s="50" t="e">
        <f>'Raw Data'!#REF!/N$1</f>
        <v>#REF!</v>
      </c>
      <c r="O913" s="50" t="e">
        <f>'Raw Data'!#REF!/O$1</f>
        <v>#REF!</v>
      </c>
      <c r="P913" s="50" t="str">
        <f t="shared" si="141"/>
        <v/>
      </c>
      <c r="Q913" s="50" t="e">
        <f t="shared" si="142"/>
        <v>#REF!</v>
      </c>
    </row>
    <row r="914" spans="1:17">
      <c r="A914" s="101" t="s">
        <v>212</v>
      </c>
      <c r="B914" s="101">
        <v>5</v>
      </c>
      <c r="C914" s="101">
        <v>2024</v>
      </c>
      <c r="D914" s="101" t="s">
        <v>211</v>
      </c>
      <c r="E914" s="101" t="s">
        <v>211</v>
      </c>
      <c r="F914" s="194">
        <v>45536</v>
      </c>
      <c r="G914" s="101">
        <f t="shared" si="140"/>
        <v>30</v>
      </c>
      <c r="H914" s="103">
        <f t="shared" si="143"/>
        <v>45563</v>
      </c>
      <c r="I914" s="141">
        <f>_xlfn.XLOOKUP(Table12[[#This Row],[Month Year]],'Modelling New'!D:D,'Modelling New'!N:N)</f>
        <v>10.507</v>
      </c>
      <c r="J914" s="50" t="e">
        <f>'Raw Data'!#REF!/J$1</f>
        <v>#REF!</v>
      </c>
      <c r="K914" s="50" t="e">
        <f>'Raw Data'!#REF!/K$1</f>
        <v>#REF!</v>
      </c>
      <c r="L914" s="50" t="e">
        <f>'Raw Data'!#REF!/L$1</f>
        <v>#REF!</v>
      </c>
      <c r="M914" s="50" t="e">
        <f>'Raw Data'!#REF!/M$1</f>
        <v>#REF!</v>
      </c>
      <c r="N914" s="50" t="e">
        <f>'Raw Data'!#REF!/N$1</f>
        <v>#REF!</v>
      </c>
      <c r="O914" s="50" t="e">
        <f>'Raw Data'!#REF!/O$1</f>
        <v>#REF!</v>
      </c>
      <c r="P914" s="50" t="str">
        <f t="shared" si="141"/>
        <v/>
      </c>
      <c r="Q914" s="50" t="e">
        <f t="shared" si="142"/>
        <v>#REF!</v>
      </c>
    </row>
    <row r="915" spans="1:17">
      <c r="A915" s="101" t="s">
        <v>212</v>
      </c>
      <c r="B915" s="101">
        <v>5</v>
      </c>
      <c r="C915" s="101">
        <v>2024</v>
      </c>
      <c r="D915" s="101" t="s">
        <v>211</v>
      </c>
      <c r="E915" s="101" t="s">
        <v>211</v>
      </c>
      <c r="F915" s="194">
        <v>45536</v>
      </c>
      <c r="G915" s="101">
        <f t="shared" si="140"/>
        <v>30</v>
      </c>
      <c r="H915" s="103">
        <f t="shared" si="143"/>
        <v>45564</v>
      </c>
      <c r="I915" s="141">
        <f>_xlfn.XLOOKUP(Table12[[#This Row],[Month Year]],'Modelling New'!D:D,'Modelling New'!N:N)</f>
        <v>10.507</v>
      </c>
      <c r="J915" s="50" t="e">
        <f>'Raw Data'!#REF!/J$1</f>
        <v>#REF!</v>
      </c>
      <c r="K915" s="50" t="e">
        <f>'Raw Data'!#REF!/K$1</f>
        <v>#REF!</v>
      </c>
      <c r="L915" s="50" t="e">
        <f>'Raw Data'!#REF!/L$1</f>
        <v>#REF!</v>
      </c>
      <c r="M915" s="50" t="e">
        <f>'Raw Data'!#REF!/M$1</f>
        <v>#REF!</v>
      </c>
      <c r="N915" s="50" t="e">
        <f>'Raw Data'!#REF!/N$1</f>
        <v>#REF!</v>
      </c>
      <c r="O915" s="50" t="e">
        <f>'Raw Data'!#REF!/O$1</f>
        <v>#REF!</v>
      </c>
      <c r="P915" s="50" t="str">
        <f t="shared" si="141"/>
        <v/>
      </c>
      <c r="Q915" s="50" t="e">
        <f t="shared" si="142"/>
        <v>#REF!</v>
      </c>
    </row>
    <row r="916" spans="1:17">
      <c r="A916" s="101" t="s">
        <v>212</v>
      </c>
      <c r="B916" s="101">
        <v>5</v>
      </c>
      <c r="C916" s="101">
        <v>2024</v>
      </c>
      <c r="D916" s="101" t="s">
        <v>211</v>
      </c>
      <c r="E916" s="101" t="s">
        <v>211</v>
      </c>
      <c r="F916" s="194">
        <v>45536</v>
      </c>
      <c r="G916" s="101">
        <f t="shared" si="140"/>
        <v>30</v>
      </c>
      <c r="H916" s="103">
        <f t="shared" si="143"/>
        <v>45565</v>
      </c>
      <c r="I916" s="141">
        <f>_xlfn.XLOOKUP(Table12[[#This Row],[Month Year]],'Modelling New'!D:D,'Modelling New'!N:N)</f>
        <v>10.507</v>
      </c>
      <c r="J916" s="50" t="e">
        <f>'Raw Data'!#REF!/J$1</f>
        <v>#REF!</v>
      </c>
      <c r="K916" s="50" t="e">
        <f>'Raw Data'!#REF!/K$1</f>
        <v>#REF!</v>
      </c>
      <c r="L916" s="50" t="e">
        <f>'Raw Data'!#REF!/L$1</f>
        <v>#REF!</v>
      </c>
      <c r="M916" s="50" t="e">
        <f>'Raw Data'!#REF!/M$1</f>
        <v>#REF!</v>
      </c>
      <c r="N916" s="50" t="e">
        <f>'Raw Data'!#REF!/N$1</f>
        <v>#REF!</v>
      </c>
      <c r="O916" s="50" t="e">
        <f>'Raw Data'!#REF!/O$1</f>
        <v>#REF!</v>
      </c>
      <c r="P916" s="50" t="str">
        <f t="shared" si="141"/>
        <v/>
      </c>
      <c r="Q916" s="50" t="e">
        <f t="shared" si="142"/>
        <v>#REF!</v>
      </c>
    </row>
    <row r="917" spans="1:17">
      <c r="A917" s="101" t="s">
        <v>212</v>
      </c>
      <c r="B917" s="101">
        <v>5</v>
      </c>
      <c r="C917" s="101">
        <v>2024</v>
      </c>
      <c r="D917" s="101" t="s">
        <v>211</v>
      </c>
      <c r="E917" s="101" t="s">
        <v>211</v>
      </c>
      <c r="F917" s="194">
        <v>45566</v>
      </c>
      <c r="G917" s="101">
        <f t="shared" si="140"/>
        <v>31</v>
      </c>
      <c r="H917" s="103">
        <f t="shared" si="143"/>
        <v>45566</v>
      </c>
      <c r="I917" s="141">
        <f>_xlfn.XLOOKUP(Table12[[#This Row],[Month Year]],'Modelling New'!D:D,'Modelling New'!N:N)</f>
        <v>10.507</v>
      </c>
      <c r="J917" s="50" t="e">
        <f>'Raw Data'!#REF!/J$1</f>
        <v>#REF!</v>
      </c>
      <c r="K917" s="50" t="e">
        <f>'Raw Data'!#REF!/K$1</f>
        <v>#REF!</v>
      </c>
      <c r="L917" s="50" t="e">
        <f>'Raw Data'!#REF!/L$1</f>
        <v>#REF!</v>
      </c>
      <c r="M917" s="50" t="e">
        <f>'Raw Data'!#REF!/M$1</f>
        <v>#REF!</v>
      </c>
      <c r="N917" s="50" t="e">
        <f>'Raw Data'!#REF!/N$1</f>
        <v>#REF!</v>
      </c>
      <c r="O917" s="50" t="e">
        <f>'Raw Data'!#REF!/O$1</f>
        <v>#REF!</v>
      </c>
      <c r="P917" s="50" t="str">
        <f t="shared" si="141"/>
        <v/>
      </c>
      <c r="Q917" s="50" t="e">
        <f t="shared" si="142"/>
        <v>#REF!</v>
      </c>
    </row>
    <row r="918" spans="1:17">
      <c r="A918" s="101" t="s">
        <v>212</v>
      </c>
      <c r="B918" s="101">
        <v>5</v>
      </c>
      <c r="C918" s="101">
        <v>2024</v>
      </c>
      <c r="D918" s="101" t="s">
        <v>211</v>
      </c>
      <c r="E918" s="101" t="s">
        <v>211</v>
      </c>
      <c r="F918" s="194">
        <v>45566</v>
      </c>
      <c r="G918" s="101">
        <f t="shared" si="140"/>
        <v>31</v>
      </c>
      <c r="H918" s="103">
        <f t="shared" si="143"/>
        <v>45567</v>
      </c>
      <c r="I918" s="141">
        <f>_xlfn.XLOOKUP(Table12[[#This Row],[Month Year]],'Modelling New'!D:D,'Modelling New'!N:N)</f>
        <v>10.507</v>
      </c>
      <c r="J918" s="50" t="e">
        <f>'Raw Data'!#REF!/J$1</f>
        <v>#REF!</v>
      </c>
      <c r="K918" s="50" t="e">
        <f>'Raw Data'!#REF!/K$1</f>
        <v>#REF!</v>
      </c>
      <c r="L918" s="50" t="e">
        <f>'Raw Data'!#REF!/L$1</f>
        <v>#REF!</v>
      </c>
      <c r="M918" s="50" t="e">
        <f>'Raw Data'!#REF!/M$1</f>
        <v>#REF!</v>
      </c>
      <c r="N918" s="50" t="e">
        <f>'Raw Data'!#REF!/N$1</f>
        <v>#REF!</v>
      </c>
      <c r="O918" s="50" t="e">
        <f>'Raw Data'!#REF!/O$1</f>
        <v>#REF!</v>
      </c>
      <c r="P918" s="50" t="str">
        <f t="shared" si="141"/>
        <v/>
      </c>
      <c r="Q918" s="50" t="e">
        <f t="shared" si="142"/>
        <v>#REF!</v>
      </c>
    </row>
    <row r="919" spans="1:17">
      <c r="A919" s="101" t="s">
        <v>212</v>
      </c>
      <c r="B919" s="101">
        <v>5</v>
      </c>
      <c r="C919" s="101">
        <v>2024</v>
      </c>
      <c r="D919" s="101" t="s">
        <v>211</v>
      </c>
      <c r="E919" s="101" t="s">
        <v>211</v>
      </c>
      <c r="F919" s="194">
        <v>45566</v>
      </c>
      <c r="G919" s="101">
        <f t="shared" si="140"/>
        <v>31</v>
      </c>
      <c r="H919" s="103">
        <f t="shared" si="143"/>
        <v>45568</v>
      </c>
      <c r="I919" s="141">
        <f>_xlfn.XLOOKUP(Table12[[#This Row],[Month Year]],'Modelling New'!D:D,'Modelling New'!N:N)</f>
        <v>10.507</v>
      </c>
      <c r="J919" s="50" t="e">
        <f>'Raw Data'!#REF!/J$1</f>
        <v>#REF!</v>
      </c>
      <c r="K919" s="50" t="e">
        <f>'Raw Data'!#REF!/K$1</f>
        <v>#REF!</v>
      </c>
      <c r="L919" s="50" t="e">
        <f>'Raw Data'!#REF!/L$1</f>
        <v>#REF!</v>
      </c>
      <c r="M919" s="50" t="e">
        <f>'Raw Data'!#REF!/M$1</f>
        <v>#REF!</v>
      </c>
      <c r="N919" s="50" t="e">
        <f>'Raw Data'!#REF!/N$1</f>
        <v>#REF!</v>
      </c>
      <c r="O919" s="50" t="e">
        <f>'Raw Data'!#REF!/O$1</f>
        <v>#REF!</v>
      </c>
      <c r="P919" s="50" t="str">
        <f t="shared" si="141"/>
        <v/>
      </c>
      <c r="Q919" s="50" t="e">
        <f t="shared" si="142"/>
        <v>#REF!</v>
      </c>
    </row>
    <row r="920" spans="1:17">
      <c r="A920" s="101" t="s">
        <v>212</v>
      </c>
      <c r="B920" s="101">
        <v>5</v>
      </c>
      <c r="C920" s="101">
        <v>2024</v>
      </c>
      <c r="D920" s="101" t="s">
        <v>211</v>
      </c>
      <c r="E920" s="101" t="s">
        <v>211</v>
      </c>
      <c r="F920" s="194">
        <v>45566</v>
      </c>
      <c r="G920" s="101">
        <f t="shared" ref="G920:G951" si="144">DAY(EOMONTH(F920,0))</f>
        <v>31</v>
      </c>
      <c r="H920" s="103">
        <f t="shared" si="143"/>
        <v>45569</v>
      </c>
      <c r="I920" s="141">
        <f>_xlfn.XLOOKUP(Table12[[#This Row],[Month Year]],'Modelling New'!D:D,'Modelling New'!N:N)</f>
        <v>10.507</v>
      </c>
      <c r="J920" s="50" t="e">
        <f>'Raw Data'!#REF!/J$1</f>
        <v>#REF!</v>
      </c>
      <c r="K920" s="50" t="e">
        <f>'Raw Data'!#REF!/K$1</f>
        <v>#REF!</v>
      </c>
      <c r="L920" s="50" t="e">
        <f>'Raw Data'!#REF!/L$1</f>
        <v>#REF!</v>
      </c>
      <c r="M920" s="50" t="e">
        <f>'Raw Data'!#REF!/M$1</f>
        <v>#REF!</v>
      </c>
      <c r="N920" s="50" t="e">
        <f>'Raw Data'!#REF!/N$1</f>
        <v>#REF!</v>
      </c>
      <c r="O920" s="50" t="e">
        <f>'Raw Data'!#REF!/O$1</f>
        <v>#REF!</v>
      </c>
      <c r="P920" s="50" t="str">
        <f t="shared" ref="P920:P951" si="145">IFERROR(AVERAGEIF(J920:O920,"&gt;"&amp;0,J920:O920),"")</f>
        <v/>
      </c>
      <c r="Q920" s="50" t="e">
        <f t="shared" ref="Q920:Q951" si="146">MAXA(J920:O920)</f>
        <v>#REF!</v>
      </c>
    </row>
    <row r="921" spans="1:17">
      <c r="A921" s="101" t="s">
        <v>212</v>
      </c>
      <c r="B921" s="101">
        <v>5</v>
      </c>
      <c r="C921" s="101">
        <v>2024</v>
      </c>
      <c r="D921" s="101" t="s">
        <v>211</v>
      </c>
      <c r="E921" s="101" t="s">
        <v>211</v>
      </c>
      <c r="F921" s="194">
        <v>45566</v>
      </c>
      <c r="G921" s="101">
        <f t="shared" si="144"/>
        <v>31</v>
      </c>
      <c r="H921" s="103">
        <f t="shared" si="143"/>
        <v>45570</v>
      </c>
      <c r="I921" s="141">
        <f>_xlfn.XLOOKUP(Table12[[#This Row],[Month Year]],'Modelling New'!D:D,'Modelling New'!N:N)</f>
        <v>10.507</v>
      </c>
      <c r="J921" s="50" t="e">
        <f>'Raw Data'!#REF!/J$1</f>
        <v>#REF!</v>
      </c>
      <c r="K921" s="50" t="e">
        <f>'Raw Data'!#REF!/K$1</f>
        <v>#REF!</v>
      </c>
      <c r="L921" s="50" t="e">
        <f>'Raw Data'!#REF!/L$1</f>
        <v>#REF!</v>
      </c>
      <c r="M921" s="50" t="e">
        <f>'Raw Data'!#REF!/M$1</f>
        <v>#REF!</v>
      </c>
      <c r="N921" s="50" t="e">
        <f>'Raw Data'!#REF!/N$1</f>
        <v>#REF!</v>
      </c>
      <c r="O921" s="50" t="e">
        <f>'Raw Data'!#REF!/O$1</f>
        <v>#REF!</v>
      </c>
      <c r="P921" s="50" t="str">
        <f t="shared" si="145"/>
        <v/>
      </c>
      <c r="Q921" s="50" t="e">
        <f t="shared" si="146"/>
        <v>#REF!</v>
      </c>
    </row>
    <row r="922" spans="1:17">
      <c r="A922" s="101" t="s">
        <v>212</v>
      </c>
      <c r="B922" s="101">
        <v>5</v>
      </c>
      <c r="C922" s="101">
        <v>2024</v>
      </c>
      <c r="D922" s="101" t="s">
        <v>211</v>
      </c>
      <c r="E922" s="101" t="s">
        <v>211</v>
      </c>
      <c r="F922" s="194">
        <v>45566</v>
      </c>
      <c r="G922" s="101">
        <f t="shared" si="144"/>
        <v>31</v>
      </c>
      <c r="H922" s="103">
        <f t="shared" si="143"/>
        <v>45571</v>
      </c>
      <c r="I922" s="141">
        <f>_xlfn.XLOOKUP(Table12[[#This Row],[Month Year]],'Modelling New'!D:D,'Modelling New'!N:N)</f>
        <v>10.507</v>
      </c>
      <c r="J922" s="50" t="e">
        <f>'Raw Data'!#REF!/J$1</f>
        <v>#REF!</v>
      </c>
      <c r="K922" s="50" t="e">
        <f>'Raw Data'!#REF!/K$1</f>
        <v>#REF!</v>
      </c>
      <c r="L922" s="50" t="e">
        <f>'Raw Data'!#REF!/L$1</f>
        <v>#REF!</v>
      </c>
      <c r="M922" s="50" t="e">
        <f>'Raw Data'!#REF!/M$1</f>
        <v>#REF!</v>
      </c>
      <c r="N922" s="50" t="e">
        <f>'Raw Data'!#REF!/N$1</f>
        <v>#REF!</v>
      </c>
      <c r="O922" s="50" t="e">
        <f>'Raw Data'!#REF!/O$1</f>
        <v>#REF!</v>
      </c>
      <c r="P922" s="50" t="str">
        <f t="shared" si="145"/>
        <v/>
      </c>
      <c r="Q922" s="50" t="e">
        <f t="shared" si="146"/>
        <v>#REF!</v>
      </c>
    </row>
    <row r="923" spans="1:17">
      <c r="A923" s="101" t="s">
        <v>212</v>
      </c>
      <c r="B923" s="101">
        <v>5</v>
      </c>
      <c r="C923" s="101">
        <v>2024</v>
      </c>
      <c r="D923" s="101" t="s">
        <v>211</v>
      </c>
      <c r="E923" s="101" t="s">
        <v>211</v>
      </c>
      <c r="F923" s="194">
        <v>45566</v>
      </c>
      <c r="G923" s="101">
        <f t="shared" si="144"/>
        <v>31</v>
      </c>
      <c r="H923" s="103">
        <f t="shared" si="143"/>
        <v>45572</v>
      </c>
      <c r="I923" s="141">
        <f>_xlfn.XLOOKUP(Table12[[#This Row],[Month Year]],'Modelling New'!D:D,'Modelling New'!N:N)</f>
        <v>10.507</v>
      </c>
      <c r="J923" s="50" t="e">
        <f>'Raw Data'!#REF!/J$1</f>
        <v>#REF!</v>
      </c>
      <c r="K923" s="50" t="e">
        <f>'Raw Data'!#REF!/K$1</f>
        <v>#REF!</v>
      </c>
      <c r="L923" s="50" t="e">
        <f>'Raw Data'!#REF!/L$1</f>
        <v>#REF!</v>
      </c>
      <c r="M923" s="50" t="e">
        <f>'Raw Data'!#REF!/M$1</f>
        <v>#REF!</v>
      </c>
      <c r="N923" s="50" t="e">
        <f>'Raw Data'!#REF!/N$1</f>
        <v>#REF!</v>
      </c>
      <c r="O923" s="50" t="e">
        <f>'Raw Data'!#REF!/O$1</f>
        <v>#REF!</v>
      </c>
      <c r="P923" s="50" t="str">
        <f t="shared" si="145"/>
        <v/>
      </c>
      <c r="Q923" s="50" t="e">
        <f t="shared" si="146"/>
        <v>#REF!</v>
      </c>
    </row>
    <row r="924" spans="1:17">
      <c r="A924" s="101" t="s">
        <v>212</v>
      </c>
      <c r="B924" s="101">
        <v>5</v>
      </c>
      <c r="C924" s="101">
        <v>2024</v>
      </c>
      <c r="D924" s="101" t="s">
        <v>211</v>
      </c>
      <c r="E924" s="101" t="s">
        <v>211</v>
      </c>
      <c r="F924" s="194">
        <v>45566</v>
      </c>
      <c r="G924" s="101">
        <f t="shared" si="144"/>
        <v>31</v>
      </c>
      <c r="H924" s="103">
        <f t="shared" si="143"/>
        <v>45573</v>
      </c>
      <c r="I924" s="141">
        <f>_xlfn.XLOOKUP(Table12[[#This Row],[Month Year]],'Modelling New'!D:D,'Modelling New'!N:N)</f>
        <v>10.507</v>
      </c>
      <c r="J924" s="50" t="e">
        <f>'Raw Data'!#REF!/J$1</f>
        <v>#REF!</v>
      </c>
      <c r="K924" s="50" t="e">
        <f>'Raw Data'!#REF!/K$1</f>
        <v>#REF!</v>
      </c>
      <c r="L924" s="50" t="e">
        <f>'Raw Data'!#REF!/L$1</f>
        <v>#REF!</v>
      </c>
      <c r="M924" s="50" t="e">
        <f>'Raw Data'!#REF!/M$1</f>
        <v>#REF!</v>
      </c>
      <c r="N924" s="50" t="e">
        <f>'Raw Data'!#REF!/N$1</f>
        <v>#REF!</v>
      </c>
      <c r="O924" s="50" t="e">
        <f>'Raw Data'!#REF!/O$1</f>
        <v>#REF!</v>
      </c>
      <c r="P924" s="50" t="str">
        <f t="shared" si="145"/>
        <v/>
      </c>
      <c r="Q924" s="50" t="e">
        <f t="shared" si="146"/>
        <v>#REF!</v>
      </c>
    </row>
    <row r="925" spans="1:17">
      <c r="A925" s="101" t="s">
        <v>212</v>
      </c>
      <c r="B925" s="101">
        <v>5</v>
      </c>
      <c r="C925" s="101">
        <v>2024</v>
      </c>
      <c r="D925" s="101" t="s">
        <v>211</v>
      </c>
      <c r="E925" s="101" t="s">
        <v>211</v>
      </c>
      <c r="F925" s="194">
        <v>45566</v>
      </c>
      <c r="G925" s="101">
        <f t="shared" si="144"/>
        <v>31</v>
      </c>
      <c r="H925" s="103">
        <f t="shared" si="143"/>
        <v>45574</v>
      </c>
      <c r="I925" s="141">
        <f>_xlfn.XLOOKUP(Table12[[#This Row],[Month Year]],'Modelling New'!D:D,'Modelling New'!N:N)</f>
        <v>10.507</v>
      </c>
      <c r="J925" s="50" t="e">
        <f>'Raw Data'!#REF!/J$1</f>
        <v>#REF!</v>
      </c>
      <c r="K925" s="50" t="e">
        <f>'Raw Data'!#REF!/K$1</f>
        <v>#REF!</v>
      </c>
      <c r="L925" s="50" t="e">
        <f>'Raw Data'!#REF!/L$1</f>
        <v>#REF!</v>
      </c>
      <c r="M925" s="50" t="e">
        <f>'Raw Data'!#REF!/M$1</f>
        <v>#REF!</v>
      </c>
      <c r="N925" s="50" t="e">
        <f>'Raw Data'!#REF!/N$1</f>
        <v>#REF!</v>
      </c>
      <c r="O925" s="50" t="e">
        <f>'Raw Data'!#REF!/O$1</f>
        <v>#REF!</v>
      </c>
      <c r="P925" s="50" t="str">
        <f t="shared" si="145"/>
        <v/>
      </c>
      <c r="Q925" s="50" t="e">
        <f t="shared" si="146"/>
        <v>#REF!</v>
      </c>
    </row>
    <row r="926" spans="1:17">
      <c r="A926" s="101" t="s">
        <v>212</v>
      </c>
      <c r="B926" s="101">
        <v>5</v>
      </c>
      <c r="C926" s="101">
        <v>2024</v>
      </c>
      <c r="D926" s="101" t="s">
        <v>211</v>
      </c>
      <c r="E926" s="101" t="s">
        <v>211</v>
      </c>
      <c r="F926" s="194">
        <v>45566</v>
      </c>
      <c r="G926" s="101">
        <f t="shared" si="144"/>
        <v>31</v>
      </c>
      <c r="H926" s="103">
        <f t="shared" si="143"/>
        <v>45575</v>
      </c>
      <c r="I926" s="141">
        <f>_xlfn.XLOOKUP(Table12[[#This Row],[Month Year]],'Modelling New'!D:D,'Modelling New'!N:N)</f>
        <v>10.507</v>
      </c>
      <c r="J926" s="50" t="e">
        <f>'Raw Data'!#REF!/J$1</f>
        <v>#REF!</v>
      </c>
      <c r="K926" s="50" t="e">
        <f>'Raw Data'!#REF!/K$1</f>
        <v>#REF!</v>
      </c>
      <c r="L926" s="50" t="e">
        <f>'Raw Data'!#REF!/L$1</f>
        <v>#REF!</v>
      </c>
      <c r="M926" s="50" t="e">
        <f>'Raw Data'!#REF!/M$1</f>
        <v>#REF!</v>
      </c>
      <c r="N926" s="50" t="e">
        <f>'Raw Data'!#REF!/N$1</f>
        <v>#REF!</v>
      </c>
      <c r="O926" s="50" t="e">
        <f>'Raw Data'!#REF!/O$1</f>
        <v>#REF!</v>
      </c>
      <c r="P926" s="50" t="str">
        <f t="shared" si="145"/>
        <v/>
      </c>
      <c r="Q926" s="50" t="e">
        <f t="shared" si="146"/>
        <v>#REF!</v>
      </c>
    </row>
    <row r="927" spans="1:17">
      <c r="A927" s="101" t="s">
        <v>212</v>
      </c>
      <c r="B927" s="101">
        <v>5</v>
      </c>
      <c r="C927" s="101">
        <v>2024</v>
      </c>
      <c r="D927" s="101" t="s">
        <v>211</v>
      </c>
      <c r="E927" s="101" t="s">
        <v>211</v>
      </c>
      <c r="F927" s="194">
        <v>45566</v>
      </c>
      <c r="G927" s="101">
        <f t="shared" si="144"/>
        <v>31</v>
      </c>
      <c r="H927" s="103">
        <f t="shared" si="143"/>
        <v>45576</v>
      </c>
      <c r="I927" s="141">
        <f>_xlfn.XLOOKUP(Table12[[#This Row],[Month Year]],'Modelling New'!D:D,'Modelling New'!N:N)</f>
        <v>10.507</v>
      </c>
      <c r="J927" s="50" t="e">
        <f>'Raw Data'!#REF!/J$1</f>
        <v>#REF!</v>
      </c>
      <c r="K927" s="50" t="e">
        <f>'Raw Data'!#REF!/K$1</f>
        <v>#REF!</v>
      </c>
      <c r="L927" s="50" t="e">
        <f>'Raw Data'!#REF!/L$1</f>
        <v>#REF!</v>
      </c>
      <c r="M927" s="50" t="e">
        <f>'Raw Data'!#REF!/M$1</f>
        <v>#REF!</v>
      </c>
      <c r="N927" s="50" t="e">
        <f>'Raw Data'!#REF!/N$1</f>
        <v>#REF!</v>
      </c>
      <c r="O927" s="50" t="e">
        <f>'Raw Data'!#REF!/O$1</f>
        <v>#REF!</v>
      </c>
      <c r="P927" s="50" t="str">
        <f t="shared" si="145"/>
        <v/>
      </c>
      <c r="Q927" s="50" t="e">
        <f t="shared" si="146"/>
        <v>#REF!</v>
      </c>
    </row>
    <row r="928" spans="1:17">
      <c r="A928" s="101" t="s">
        <v>212</v>
      </c>
      <c r="B928" s="101">
        <v>5</v>
      </c>
      <c r="C928" s="101">
        <v>2024</v>
      </c>
      <c r="D928" s="101" t="s">
        <v>211</v>
      </c>
      <c r="E928" s="101" t="s">
        <v>211</v>
      </c>
      <c r="F928" s="194">
        <v>45566</v>
      </c>
      <c r="G928" s="101">
        <f t="shared" si="144"/>
        <v>31</v>
      </c>
      <c r="H928" s="103">
        <f t="shared" si="143"/>
        <v>45577</v>
      </c>
      <c r="I928" s="141">
        <f>_xlfn.XLOOKUP(Table12[[#This Row],[Month Year]],'Modelling New'!D:D,'Modelling New'!N:N)</f>
        <v>10.507</v>
      </c>
      <c r="J928" s="50" t="e">
        <f>'Raw Data'!#REF!/J$1</f>
        <v>#REF!</v>
      </c>
      <c r="K928" s="50" t="e">
        <f>'Raw Data'!#REF!/K$1</f>
        <v>#REF!</v>
      </c>
      <c r="L928" s="50" t="e">
        <f>'Raw Data'!#REF!/L$1</f>
        <v>#REF!</v>
      </c>
      <c r="M928" s="50" t="e">
        <f>'Raw Data'!#REF!/M$1</f>
        <v>#REF!</v>
      </c>
      <c r="N928" s="50" t="e">
        <f>'Raw Data'!#REF!/N$1</f>
        <v>#REF!</v>
      </c>
      <c r="O928" s="50" t="e">
        <f>'Raw Data'!#REF!/O$1</f>
        <v>#REF!</v>
      </c>
      <c r="P928" s="50" t="str">
        <f t="shared" si="145"/>
        <v/>
      </c>
      <c r="Q928" s="50" t="e">
        <f t="shared" si="146"/>
        <v>#REF!</v>
      </c>
    </row>
    <row r="929" spans="1:17">
      <c r="A929" s="101" t="s">
        <v>212</v>
      </c>
      <c r="B929" s="101">
        <v>5</v>
      </c>
      <c r="C929" s="101">
        <v>2024</v>
      </c>
      <c r="D929" s="101" t="s">
        <v>211</v>
      </c>
      <c r="E929" s="101" t="s">
        <v>211</v>
      </c>
      <c r="F929" s="194">
        <v>45566</v>
      </c>
      <c r="G929" s="101">
        <f t="shared" si="144"/>
        <v>31</v>
      </c>
      <c r="H929" s="103">
        <f t="shared" si="143"/>
        <v>45578</v>
      </c>
      <c r="I929" s="141">
        <f>_xlfn.XLOOKUP(Table12[[#This Row],[Month Year]],'Modelling New'!D:D,'Modelling New'!N:N)</f>
        <v>10.507</v>
      </c>
      <c r="J929" s="50" t="e">
        <f>'Raw Data'!#REF!/J$1</f>
        <v>#REF!</v>
      </c>
      <c r="K929" s="50" t="e">
        <f>'Raw Data'!#REF!/K$1</f>
        <v>#REF!</v>
      </c>
      <c r="L929" s="50" t="e">
        <f>'Raw Data'!#REF!/L$1</f>
        <v>#REF!</v>
      </c>
      <c r="M929" s="50" t="e">
        <f>'Raw Data'!#REF!/M$1</f>
        <v>#REF!</v>
      </c>
      <c r="N929" s="50" t="e">
        <f>'Raw Data'!#REF!/N$1</f>
        <v>#REF!</v>
      </c>
      <c r="O929" s="50" t="e">
        <f>'Raw Data'!#REF!/O$1</f>
        <v>#REF!</v>
      </c>
      <c r="P929" s="50" t="str">
        <f t="shared" si="145"/>
        <v/>
      </c>
      <c r="Q929" s="50" t="e">
        <f t="shared" si="146"/>
        <v>#REF!</v>
      </c>
    </row>
    <row r="930" spans="1:17">
      <c r="A930" s="101" t="s">
        <v>212</v>
      </c>
      <c r="B930" s="101">
        <v>5</v>
      </c>
      <c r="C930" s="101">
        <v>2024</v>
      </c>
      <c r="D930" s="101" t="s">
        <v>211</v>
      </c>
      <c r="E930" s="101" t="s">
        <v>211</v>
      </c>
      <c r="F930" s="194">
        <v>45566</v>
      </c>
      <c r="G930" s="101">
        <f t="shared" si="144"/>
        <v>31</v>
      </c>
      <c r="H930" s="103">
        <f t="shared" si="143"/>
        <v>45579</v>
      </c>
      <c r="I930" s="141">
        <f>_xlfn.XLOOKUP(Table12[[#This Row],[Month Year]],'Modelling New'!D:D,'Modelling New'!N:N)</f>
        <v>10.507</v>
      </c>
      <c r="J930" s="50" t="e">
        <f>'Raw Data'!#REF!/J$1</f>
        <v>#REF!</v>
      </c>
      <c r="K930" s="50" t="e">
        <f>'Raw Data'!#REF!/K$1</f>
        <v>#REF!</v>
      </c>
      <c r="L930" s="50" t="e">
        <f>'Raw Data'!#REF!/L$1</f>
        <v>#REF!</v>
      </c>
      <c r="M930" s="50" t="e">
        <f>'Raw Data'!#REF!/M$1</f>
        <v>#REF!</v>
      </c>
      <c r="N930" s="50" t="e">
        <f>'Raw Data'!#REF!/N$1</f>
        <v>#REF!</v>
      </c>
      <c r="O930" s="50" t="e">
        <f>'Raw Data'!#REF!/O$1</f>
        <v>#REF!</v>
      </c>
      <c r="P930" s="50" t="str">
        <f t="shared" si="145"/>
        <v/>
      </c>
      <c r="Q930" s="50" t="e">
        <f t="shared" si="146"/>
        <v>#REF!</v>
      </c>
    </row>
    <row r="931" spans="1:17">
      <c r="A931" s="101" t="s">
        <v>212</v>
      </c>
      <c r="B931" s="101">
        <v>5</v>
      </c>
      <c r="C931" s="101">
        <v>2024</v>
      </c>
      <c r="D931" s="101" t="s">
        <v>211</v>
      </c>
      <c r="E931" s="101" t="s">
        <v>211</v>
      </c>
      <c r="F931" s="194">
        <v>45566</v>
      </c>
      <c r="G931" s="101">
        <f t="shared" si="144"/>
        <v>31</v>
      </c>
      <c r="H931" s="103">
        <f t="shared" si="143"/>
        <v>45580</v>
      </c>
      <c r="I931" s="141">
        <f>_xlfn.XLOOKUP(Table12[[#This Row],[Month Year]],'Modelling New'!D:D,'Modelling New'!N:N)</f>
        <v>10.507</v>
      </c>
      <c r="J931" s="50" t="e">
        <f>'Raw Data'!#REF!/J$1</f>
        <v>#REF!</v>
      </c>
      <c r="K931" s="50" t="e">
        <f>'Raw Data'!#REF!/K$1</f>
        <v>#REF!</v>
      </c>
      <c r="L931" s="50" t="e">
        <f>'Raw Data'!#REF!/L$1</f>
        <v>#REF!</v>
      </c>
      <c r="M931" s="50" t="e">
        <f>'Raw Data'!#REF!/M$1</f>
        <v>#REF!</v>
      </c>
      <c r="N931" s="50" t="e">
        <f>'Raw Data'!#REF!/N$1</f>
        <v>#REF!</v>
      </c>
      <c r="O931" s="50" t="e">
        <f>'Raw Data'!#REF!/O$1</f>
        <v>#REF!</v>
      </c>
      <c r="P931" s="50" t="str">
        <f t="shared" si="145"/>
        <v/>
      </c>
      <c r="Q931" s="50" t="e">
        <f t="shared" si="146"/>
        <v>#REF!</v>
      </c>
    </row>
    <row r="932" spans="1:17">
      <c r="A932" s="101" t="s">
        <v>212</v>
      </c>
      <c r="B932" s="101">
        <v>5</v>
      </c>
      <c r="C932" s="101">
        <v>2024</v>
      </c>
      <c r="D932" s="101" t="s">
        <v>211</v>
      </c>
      <c r="E932" s="101" t="s">
        <v>211</v>
      </c>
      <c r="F932" s="194">
        <v>45566</v>
      </c>
      <c r="G932" s="101">
        <f t="shared" si="144"/>
        <v>31</v>
      </c>
      <c r="H932" s="103">
        <f t="shared" si="143"/>
        <v>45581</v>
      </c>
      <c r="I932" s="141">
        <f>_xlfn.XLOOKUP(Table12[[#This Row],[Month Year]],'Modelling New'!D:D,'Modelling New'!N:N)</f>
        <v>10.507</v>
      </c>
      <c r="J932" s="50" t="e">
        <f>'Raw Data'!#REF!/J$1</f>
        <v>#REF!</v>
      </c>
      <c r="K932" s="50" t="e">
        <f>'Raw Data'!#REF!/K$1</f>
        <v>#REF!</v>
      </c>
      <c r="L932" s="50" t="e">
        <f>'Raw Data'!#REF!/L$1</f>
        <v>#REF!</v>
      </c>
      <c r="M932" s="50" t="e">
        <f>'Raw Data'!#REF!/M$1</f>
        <v>#REF!</v>
      </c>
      <c r="N932" s="50" t="e">
        <f>'Raw Data'!#REF!/N$1</f>
        <v>#REF!</v>
      </c>
      <c r="O932" s="50" t="e">
        <f>'Raw Data'!#REF!/O$1</f>
        <v>#REF!</v>
      </c>
      <c r="P932" s="50" t="str">
        <f t="shared" si="145"/>
        <v/>
      </c>
      <c r="Q932" s="50" t="e">
        <f t="shared" si="146"/>
        <v>#REF!</v>
      </c>
    </row>
    <row r="933" spans="1:17">
      <c r="A933" s="101" t="s">
        <v>212</v>
      </c>
      <c r="B933" s="101">
        <v>5</v>
      </c>
      <c r="C933" s="101">
        <v>2024</v>
      </c>
      <c r="D933" s="101" t="s">
        <v>211</v>
      </c>
      <c r="E933" s="101" t="s">
        <v>211</v>
      </c>
      <c r="F933" s="194">
        <v>45566</v>
      </c>
      <c r="G933" s="101">
        <f t="shared" si="144"/>
        <v>31</v>
      </c>
      <c r="H933" s="103">
        <f t="shared" si="143"/>
        <v>45582</v>
      </c>
      <c r="I933" s="141">
        <f>_xlfn.XLOOKUP(Table12[[#This Row],[Month Year]],'Modelling New'!D:D,'Modelling New'!N:N)</f>
        <v>10.507</v>
      </c>
      <c r="J933" s="50" t="e">
        <f>'Raw Data'!#REF!/J$1</f>
        <v>#REF!</v>
      </c>
      <c r="K933" s="50" t="e">
        <f>'Raw Data'!#REF!/K$1</f>
        <v>#REF!</v>
      </c>
      <c r="L933" s="50" t="e">
        <f>'Raw Data'!#REF!/L$1</f>
        <v>#REF!</v>
      </c>
      <c r="M933" s="50" t="e">
        <f>'Raw Data'!#REF!/M$1</f>
        <v>#REF!</v>
      </c>
      <c r="N933" s="50" t="e">
        <f>'Raw Data'!#REF!/N$1</f>
        <v>#REF!</v>
      </c>
      <c r="O933" s="50" t="e">
        <f>'Raw Data'!#REF!/O$1</f>
        <v>#REF!</v>
      </c>
      <c r="P933" s="50" t="str">
        <f t="shared" si="145"/>
        <v/>
      </c>
      <c r="Q933" s="50" t="e">
        <f t="shared" si="146"/>
        <v>#REF!</v>
      </c>
    </row>
    <row r="934" spans="1:17">
      <c r="A934" s="101" t="s">
        <v>212</v>
      </c>
      <c r="B934" s="101">
        <v>5</v>
      </c>
      <c r="C934" s="101">
        <v>2024</v>
      </c>
      <c r="D934" s="101" t="s">
        <v>211</v>
      </c>
      <c r="E934" s="101" t="s">
        <v>211</v>
      </c>
      <c r="F934" s="194">
        <v>45566</v>
      </c>
      <c r="G934" s="101">
        <f t="shared" si="144"/>
        <v>31</v>
      </c>
      <c r="H934" s="103">
        <f t="shared" si="143"/>
        <v>45583</v>
      </c>
      <c r="I934" s="141">
        <f>_xlfn.XLOOKUP(Table12[[#This Row],[Month Year]],'Modelling New'!D:D,'Modelling New'!N:N)</f>
        <v>10.507</v>
      </c>
      <c r="J934" s="50" t="e">
        <f>'Raw Data'!#REF!/J$1</f>
        <v>#REF!</v>
      </c>
      <c r="K934" s="50" t="e">
        <f>'Raw Data'!#REF!/K$1</f>
        <v>#REF!</v>
      </c>
      <c r="L934" s="50" t="e">
        <f>'Raw Data'!#REF!/L$1</f>
        <v>#REF!</v>
      </c>
      <c r="M934" s="50" t="e">
        <f>'Raw Data'!#REF!/M$1</f>
        <v>#REF!</v>
      </c>
      <c r="N934" s="50" t="e">
        <f>'Raw Data'!#REF!/N$1</f>
        <v>#REF!</v>
      </c>
      <c r="O934" s="50" t="e">
        <f>'Raw Data'!#REF!/O$1</f>
        <v>#REF!</v>
      </c>
      <c r="P934" s="50" t="str">
        <f t="shared" si="145"/>
        <v/>
      </c>
      <c r="Q934" s="50" t="e">
        <f t="shared" si="146"/>
        <v>#REF!</v>
      </c>
    </row>
    <row r="935" spans="1:17">
      <c r="A935" s="101" t="s">
        <v>212</v>
      </c>
      <c r="B935" s="101">
        <v>5</v>
      </c>
      <c r="C935" s="101">
        <v>2024</v>
      </c>
      <c r="D935" s="101" t="s">
        <v>211</v>
      </c>
      <c r="E935" s="101" t="s">
        <v>211</v>
      </c>
      <c r="F935" s="194">
        <v>45566</v>
      </c>
      <c r="G935" s="101">
        <f t="shared" si="144"/>
        <v>31</v>
      </c>
      <c r="H935" s="103">
        <f t="shared" si="143"/>
        <v>45584</v>
      </c>
      <c r="I935" s="141">
        <f>_xlfn.XLOOKUP(Table12[[#This Row],[Month Year]],'Modelling New'!D:D,'Modelling New'!N:N)</f>
        <v>10.507</v>
      </c>
      <c r="J935" s="50" t="e">
        <f>'Raw Data'!#REF!/J$1</f>
        <v>#REF!</v>
      </c>
      <c r="K935" s="50" t="e">
        <f>'Raw Data'!#REF!/K$1</f>
        <v>#REF!</v>
      </c>
      <c r="L935" s="50" t="e">
        <f>'Raw Data'!#REF!/L$1</f>
        <v>#REF!</v>
      </c>
      <c r="M935" s="50" t="e">
        <f>'Raw Data'!#REF!/M$1</f>
        <v>#REF!</v>
      </c>
      <c r="N935" s="50" t="e">
        <f>'Raw Data'!#REF!/N$1</f>
        <v>#REF!</v>
      </c>
      <c r="O935" s="50" t="e">
        <f>'Raw Data'!#REF!/O$1</f>
        <v>#REF!</v>
      </c>
      <c r="P935" s="50" t="str">
        <f t="shared" si="145"/>
        <v/>
      </c>
      <c r="Q935" s="50" t="e">
        <f t="shared" si="146"/>
        <v>#REF!</v>
      </c>
    </row>
    <row r="936" spans="1:17">
      <c r="A936" s="101" t="s">
        <v>212</v>
      </c>
      <c r="B936" s="101">
        <v>5</v>
      </c>
      <c r="C936" s="101">
        <v>2024</v>
      </c>
      <c r="D936" s="101" t="s">
        <v>211</v>
      </c>
      <c r="E936" s="101" t="s">
        <v>211</v>
      </c>
      <c r="F936" s="194">
        <v>45566</v>
      </c>
      <c r="G936" s="101">
        <f t="shared" si="144"/>
        <v>31</v>
      </c>
      <c r="H936" s="103">
        <f t="shared" si="143"/>
        <v>45585</v>
      </c>
      <c r="I936" s="141">
        <f>_xlfn.XLOOKUP(Table12[[#This Row],[Month Year]],'Modelling New'!D:D,'Modelling New'!N:N)</f>
        <v>10.507</v>
      </c>
      <c r="J936" s="50" t="e">
        <f>'Raw Data'!#REF!/J$1</f>
        <v>#REF!</v>
      </c>
      <c r="K936" s="50" t="e">
        <f>'Raw Data'!#REF!/K$1</f>
        <v>#REF!</v>
      </c>
      <c r="L936" s="50" t="e">
        <f>'Raw Data'!#REF!/L$1</f>
        <v>#REF!</v>
      </c>
      <c r="M936" s="50" t="e">
        <f>'Raw Data'!#REF!/M$1</f>
        <v>#REF!</v>
      </c>
      <c r="N936" s="50" t="e">
        <f>'Raw Data'!#REF!/N$1</f>
        <v>#REF!</v>
      </c>
      <c r="O936" s="50" t="e">
        <f>'Raw Data'!#REF!/O$1</f>
        <v>#REF!</v>
      </c>
      <c r="P936" s="50" t="str">
        <f t="shared" si="145"/>
        <v/>
      </c>
      <c r="Q936" s="50" t="e">
        <f t="shared" si="146"/>
        <v>#REF!</v>
      </c>
    </row>
    <row r="937" spans="1:17">
      <c r="A937" s="101" t="s">
        <v>212</v>
      </c>
      <c r="B937" s="101">
        <v>5</v>
      </c>
      <c r="C937" s="101">
        <v>2024</v>
      </c>
      <c r="D937" s="101" t="s">
        <v>211</v>
      </c>
      <c r="E937" s="101" t="s">
        <v>211</v>
      </c>
      <c r="F937" s="194">
        <v>45566</v>
      </c>
      <c r="G937" s="101">
        <f t="shared" si="144"/>
        <v>31</v>
      </c>
      <c r="H937" s="103">
        <f t="shared" si="143"/>
        <v>45586</v>
      </c>
      <c r="I937" s="141">
        <f>_xlfn.XLOOKUP(Table12[[#This Row],[Month Year]],'Modelling New'!D:D,'Modelling New'!N:N)</f>
        <v>10.507</v>
      </c>
      <c r="J937" s="50" t="e">
        <f>'Raw Data'!#REF!/J$1</f>
        <v>#REF!</v>
      </c>
      <c r="K937" s="50" t="e">
        <f>'Raw Data'!#REF!/K$1</f>
        <v>#REF!</v>
      </c>
      <c r="L937" s="50" t="e">
        <f>'Raw Data'!#REF!/L$1</f>
        <v>#REF!</v>
      </c>
      <c r="M937" s="50" t="e">
        <f>'Raw Data'!#REF!/M$1</f>
        <v>#REF!</v>
      </c>
      <c r="N937" s="50" t="e">
        <f>'Raw Data'!#REF!/N$1</f>
        <v>#REF!</v>
      </c>
      <c r="O937" s="50" t="e">
        <f>'Raw Data'!#REF!/O$1</f>
        <v>#REF!</v>
      </c>
      <c r="P937" s="50" t="str">
        <f t="shared" si="145"/>
        <v/>
      </c>
      <c r="Q937" s="50" t="e">
        <f t="shared" si="146"/>
        <v>#REF!</v>
      </c>
    </row>
    <row r="938" spans="1:17">
      <c r="A938" s="101" t="s">
        <v>212</v>
      </c>
      <c r="B938" s="101">
        <v>5</v>
      </c>
      <c r="C938" s="101">
        <v>2024</v>
      </c>
      <c r="D938" s="101" t="s">
        <v>211</v>
      </c>
      <c r="E938" s="101" t="s">
        <v>211</v>
      </c>
      <c r="F938" s="194">
        <v>45566</v>
      </c>
      <c r="G938" s="101">
        <f t="shared" si="144"/>
        <v>31</v>
      </c>
      <c r="H938" s="103">
        <f t="shared" si="143"/>
        <v>45587</v>
      </c>
      <c r="I938" s="141">
        <f>_xlfn.XLOOKUP(Table12[[#This Row],[Month Year]],'Modelling New'!D:D,'Modelling New'!N:N)</f>
        <v>10.507</v>
      </c>
      <c r="J938" s="50" t="e">
        <f>'Raw Data'!#REF!/J$1</f>
        <v>#REF!</v>
      </c>
      <c r="K938" s="50" t="e">
        <f>'Raw Data'!#REF!/K$1</f>
        <v>#REF!</v>
      </c>
      <c r="L938" s="50" t="e">
        <f>'Raw Data'!#REF!/L$1</f>
        <v>#REF!</v>
      </c>
      <c r="M938" s="50" t="e">
        <f>'Raw Data'!#REF!/M$1</f>
        <v>#REF!</v>
      </c>
      <c r="N938" s="50" t="e">
        <f>'Raw Data'!#REF!/N$1</f>
        <v>#REF!</v>
      </c>
      <c r="O938" s="50" t="e">
        <f>'Raw Data'!#REF!/O$1</f>
        <v>#REF!</v>
      </c>
      <c r="P938" s="50" t="str">
        <f t="shared" si="145"/>
        <v/>
      </c>
      <c r="Q938" s="50" t="e">
        <f t="shared" si="146"/>
        <v>#REF!</v>
      </c>
    </row>
    <row r="939" spans="1:17">
      <c r="A939" s="101" t="s">
        <v>212</v>
      </c>
      <c r="B939" s="101">
        <v>5</v>
      </c>
      <c r="C939" s="101">
        <v>2024</v>
      </c>
      <c r="D939" s="101" t="s">
        <v>211</v>
      </c>
      <c r="E939" s="101" t="s">
        <v>211</v>
      </c>
      <c r="F939" s="194">
        <v>45566</v>
      </c>
      <c r="G939" s="101">
        <f t="shared" si="144"/>
        <v>31</v>
      </c>
      <c r="H939" s="103">
        <f t="shared" si="143"/>
        <v>45588</v>
      </c>
      <c r="I939" s="141">
        <f>_xlfn.XLOOKUP(Table12[[#This Row],[Month Year]],'Modelling New'!D:D,'Modelling New'!N:N)</f>
        <v>10.507</v>
      </c>
      <c r="J939" s="50" t="e">
        <f>'Raw Data'!#REF!/J$1</f>
        <v>#REF!</v>
      </c>
      <c r="K939" s="50" t="e">
        <f>'Raw Data'!#REF!/K$1</f>
        <v>#REF!</v>
      </c>
      <c r="L939" s="50" t="e">
        <f>'Raw Data'!#REF!/L$1</f>
        <v>#REF!</v>
      </c>
      <c r="M939" s="50" t="e">
        <f>'Raw Data'!#REF!/M$1</f>
        <v>#REF!</v>
      </c>
      <c r="N939" s="50" t="e">
        <f>'Raw Data'!#REF!/N$1</f>
        <v>#REF!</v>
      </c>
      <c r="O939" s="50" t="e">
        <f>'Raw Data'!#REF!/O$1</f>
        <v>#REF!</v>
      </c>
      <c r="P939" s="50" t="str">
        <f t="shared" si="145"/>
        <v/>
      </c>
      <c r="Q939" s="50" t="e">
        <f t="shared" si="146"/>
        <v>#REF!</v>
      </c>
    </row>
    <row r="940" spans="1:17">
      <c r="A940" s="101" t="s">
        <v>212</v>
      </c>
      <c r="B940" s="101">
        <v>5</v>
      </c>
      <c r="C940" s="101">
        <v>2024</v>
      </c>
      <c r="D940" s="101" t="s">
        <v>211</v>
      </c>
      <c r="E940" s="101" t="s">
        <v>211</v>
      </c>
      <c r="F940" s="194">
        <v>45566</v>
      </c>
      <c r="G940" s="101">
        <f t="shared" si="144"/>
        <v>31</v>
      </c>
      <c r="H940" s="103">
        <f t="shared" si="143"/>
        <v>45589</v>
      </c>
      <c r="I940" s="141">
        <f>_xlfn.XLOOKUP(Table12[[#This Row],[Month Year]],'Modelling New'!D:D,'Modelling New'!N:N)</f>
        <v>10.507</v>
      </c>
      <c r="J940" s="50" t="e">
        <f>'Raw Data'!#REF!/J$1</f>
        <v>#REF!</v>
      </c>
      <c r="K940" s="50" t="e">
        <f>'Raw Data'!#REF!/K$1</f>
        <v>#REF!</v>
      </c>
      <c r="L940" s="50" t="e">
        <f>'Raw Data'!#REF!/L$1</f>
        <v>#REF!</v>
      </c>
      <c r="M940" s="50" t="e">
        <f>'Raw Data'!#REF!/M$1</f>
        <v>#REF!</v>
      </c>
      <c r="N940" s="50" t="e">
        <f>'Raw Data'!#REF!/N$1</f>
        <v>#REF!</v>
      </c>
      <c r="O940" s="50" t="e">
        <f>'Raw Data'!#REF!/O$1</f>
        <v>#REF!</v>
      </c>
      <c r="P940" s="50" t="str">
        <f t="shared" si="145"/>
        <v/>
      </c>
      <c r="Q940" s="50" t="e">
        <f t="shared" si="146"/>
        <v>#REF!</v>
      </c>
    </row>
    <row r="941" spans="1:17">
      <c r="A941" s="101" t="s">
        <v>212</v>
      </c>
      <c r="B941" s="101">
        <v>5</v>
      </c>
      <c r="C941" s="101">
        <v>2024</v>
      </c>
      <c r="D941" s="101" t="s">
        <v>211</v>
      </c>
      <c r="E941" s="101" t="s">
        <v>211</v>
      </c>
      <c r="F941" s="194">
        <v>45566</v>
      </c>
      <c r="G941" s="101">
        <f t="shared" si="144"/>
        <v>31</v>
      </c>
      <c r="H941" s="103">
        <f t="shared" si="143"/>
        <v>45590</v>
      </c>
      <c r="I941" s="141">
        <f>_xlfn.XLOOKUP(Table12[[#This Row],[Month Year]],'Modelling New'!D:D,'Modelling New'!N:N)</f>
        <v>10.507</v>
      </c>
      <c r="J941" s="50" t="e">
        <f>'Raw Data'!#REF!/J$1</f>
        <v>#REF!</v>
      </c>
      <c r="K941" s="50" t="e">
        <f>'Raw Data'!#REF!/K$1</f>
        <v>#REF!</v>
      </c>
      <c r="L941" s="50" t="e">
        <f>'Raw Data'!#REF!/L$1</f>
        <v>#REF!</v>
      </c>
      <c r="M941" s="50" t="e">
        <f>'Raw Data'!#REF!/M$1</f>
        <v>#REF!</v>
      </c>
      <c r="N941" s="50" t="e">
        <f>'Raw Data'!#REF!/N$1</f>
        <v>#REF!</v>
      </c>
      <c r="O941" s="50" t="e">
        <f>'Raw Data'!#REF!/O$1</f>
        <v>#REF!</v>
      </c>
      <c r="P941" s="50" t="str">
        <f t="shared" si="145"/>
        <v/>
      </c>
      <c r="Q941" s="50" t="e">
        <f t="shared" si="146"/>
        <v>#REF!</v>
      </c>
    </row>
    <row r="942" spans="1:17">
      <c r="A942" s="101" t="s">
        <v>212</v>
      </c>
      <c r="B942" s="101">
        <v>5</v>
      </c>
      <c r="C942" s="101">
        <v>2024</v>
      </c>
      <c r="D942" s="101" t="s">
        <v>211</v>
      </c>
      <c r="E942" s="101" t="s">
        <v>211</v>
      </c>
      <c r="F942" s="194">
        <v>45566</v>
      </c>
      <c r="G942" s="101">
        <f t="shared" si="144"/>
        <v>31</v>
      </c>
      <c r="H942" s="103">
        <f t="shared" si="143"/>
        <v>45591</v>
      </c>
      <c r="I942" s="141">
        <f>_xlfn.XLOOKUP(Table12[[#This Row],[Month Year]],'Modelling New'!D:D,'Modelling New'!N:N)</f>
        <v>10.507</v>
      </c>
      <c r="J942" s="50" t="e">
        <f>'Raw Data'!#REF!/J$1</f>
        <v>#REF!</v>
      </c>
      <c r="K942" s="50" t="e">
        <f>'Raw Data'!#REF!/K$1</f>
        <v>#REF!</v>
      </c>
      <c r="L942" s="50" t="e">
        <f>'Raw Data'!#REF!/L$1</f>
        <v>#REF!</v>
      </c>
      <c r="M942" s="50" t="e">
        <f>'Raw Data'!#REF!/M$1</f>
        <v>#REF!</v>
      </c>
      <c r="N942" s="50" t="e">
        <f>'Raw Data'!#REF!/N$1</f>
        <v>#REF!</v>
      </c>
      <c r="O942" s="50" t="e">
        <f>'Raw Data'!#REF!/O$1</f>
        <v>#REF!</v>
      </c>
      <c r="P942" s="50" t="str">
        <f t="shared" si="145"/>
        <v/>
      </c>
      <c r="Q942" s="50" t="e">
        <f t="shared" si="146"/>
        <v>#REF!</v>
      </c>
    </row>
    <row r="943" spans="1:17">
      <c r="A943" s="101" t="s">
        <v>212</v>
      </c>
      <c r="B943" s="101">
        <v>5</v>
      </c>
      <c r="C943" s="101">
        <v>2024</v>
      </c>
      <c r="D943" s="101" t="s">
        <v>211</v>
      </c>
      <c r="E943" s="101" t="s">
        <v>211</v>
      </c>
      <c r="F943" s="194">
        <v>45566</v>
      </c>
      <c r="G943" s="101">
        <f t="shared" si="144"/>
        <v>31</v>
      </c>
      <c r="H943" s="103">
        <f t="shared" si="143"/>
        <v>45592</v>
      </c>
      <c r="I943" s="141">
        <f>_xlfn.XLOOKUP(Table12[[#This Row],[Month Year]],'Modelling New'!D:D,'Modelling New'!N:N)</f>
        <v>10.507</v>
      </c>
      <c r="J943" s="50" t="e">
        <f>'Raw Data'!#REF!/J$1</f>
        <v>#REF!</v>
      </c>
      <c r="K943" s="50" t="e">
        <f>'Raw Data'!#REF!/K$1</f>
        <v>#REF!</v>
      </c>
      <c r="L943" s="50" t="e">
        <f>'Raw Data'!#REF!/L$1</f>
        <v>#REF!</v>
      </c>
      <c r="M943" s="50" t="e">
        <f>'Raw Data'!#REF!/M$1</f>
        <v>#REF!</v>
      </c>
      <c r="N943" s="50" t="e">
        <f>'Raw Data'!#REF!/N$1</f>
        <v>#REF!</v>
      </c>
      <c r="O943" s="50" t="e">
        <f>'Raw Data'!#REF!/O$1</f>
        <v>#REF!</v>
      </c>
      <c r="P943" s="50" t="str">
        <f t="shared" si="145"/>
        <v/>
      </c>
      <c r="Q943" s="50" t="e">
        <f t="shared" si="146"/>
        <v>#REF!</v>
      </c>
    </row>
    <row r="944" spans="1:17">
      <c r="A944" s="101" t="s">
        <v>212</v>
      </c>
      <c r="B944" s="101">
        <v>5</v>
      </c>
      <c r="C944" s="101">
        <v>2024</v>
      </c>
      <c r="D944" s="101" t="s">
        <v>211</v>
      </c>
      <c r="E944" s="101" t="s">
        <v>211</v>
      </c>
      <c r="F944" s="194">
        <v>45566</v>
      </c>
      <c r="G944" s="101">
        <f t="shared" si="144"/>
        <v>31</v>
      </c>
      <c r="H944" s="103">
        <f t="shared" si="143"/>
        <v>45593</v>
      </c>
      <c r="I944" s="141">
        <f>_xlfn.XLOOKUP(Table12[[#This Row],[Month Year]],'Modelling New'!D:D,'Modelling New'!N:N)</f>
        <v>10.507</v>
      </c>
      <c r="J944" s="50" t="e">
        <f>'Raw Data'!#REF!/J$1</f>
        <v>#REF!</v>
      </c>
      <c r="K944" s="50" t="e">
        <f>'Raw Data'!#REF!/K$1</f>
        <v>#REF!</v>
      </c>
      <c r="L944" s="50" t="e">
        <f>'Raw Data'!#REF!/L$1</f>
        <v>#REF!</v>
      </c>
      <c r="M944" s="50" t="e">
        <f>'Raw Data'!#REF!/M$1</f>
        <v>#REF!</v>
      </c>
      <c r="N944" s="50" t="e">
        <f>'Raw Data'!#REF!/N$1</f>
        <v>#REF!</v>
      </c>
      <c r="O944" s="50" t="e">
        <f>'Raw Data'!#REF!/O$1</f>
        <v>#REF!</v>
      </c>
      <c r="P944" s="50" t="str">
        <f t="shared" si="145"/>
        <v/>
      </c>
      <c r="Q944" s="50" t="e">
        <f t="shared" si="146"/>
        <v>#REF!</v>
      </c>
    </row>
    <row r="945" spans="1:17">
      <c r="A945" s="101" t="s">
        <v>212</v>
      </c>
      <c r="B945" s="101">
        <v>5</v>
      </c>
      <c r="C945" s="101">
        <v>2024</v>
      </c>
      <c r="D945" s="101" t="s">
        <v>211</v>
      </c>
      <c r="E945" s="101" t="s">
        <v>211</v>
      </c>
      <c r="F945" s="194">
        <v>45566</v>
      </c>
      <c r="G945" s="101">
        <f t="shared" si="144"/>
        <v>31</v>
      </c>
      <c r="H945" s="103">
        <f t="shared" si="143"/>
        <v>45594</v>
      </c>
      <c r="I945" s="141">
        <f>_xlfn.XLOOKUP(Table12[[#This Row],[Month Year]],'Modelling New'!D:D,'Modelling New'!N:N)</f>
        <v>10.507</v>
      </c>
      <c r="J945" s="50" t="e">
        <f>'Raw Data'!#REF!/J$1</f>
        <v>#REF!</v>
      </c>
      <c r="K945" s="50" t="e">
        <f>'Raw Data'!#REF!/K$1</f>
        <v>#REF!</v>
      </c>
      <c r="L945" s="50" t="e">
        <f>'Raw Data'!#REF!/L$1</f>
        <v>#REF!</v>
      </c>
      <c r="M945" s="50" t="e">
        <f>'Raw Data'!#REF!/M$1</f>
        <v>#REF!</v>
      </c>
      <c r="N945" s="50" t="e">
        <f>'Raw Data'!#REF!/N$1</f>
        <v>#REF!</v>
      </c>
      <c r="O945" s="50" t="e">
        <f>'Raw Data'!#REF!/O$1</f>
        <v>#REF!</v>
      </c>
      <c r="P945" s="50" t="str">
        <f t="shared" si="145"/>
        <v/>
      </c>
      <c r="Q945" s="50" t="e">
        <f t="shared" si="146"/>
        <v>#REF!</v>
      </c>
    </row>
    <row r="946" spans="1:17">
      <c r="A946" s="101" t="s">
        <v>212</v>
      </c>
      <c r="B946" s="101">
        <v>5</v>
      </c>
      <c r="C946" s="101">
        <v>2024</v>
      </c>
      <c r="D946" s="101" t="s">
        <v>211</v>
      </c>
      <c r="E946" s="101" t="s">
        <v>211</v>
      </c>
      <c r="F946" s="194">
        <v>45566</v>
      </c>
      <c r="G946" s="101">
        <f t="shared" si="144"/>
        <v>31</v>
      </c>
      <c r="H946" s="103">
        <f t="shared" si="143"/>
        <v>45595</v>
      </c>
      <c r="I946" s="141">
        <f>_xlfn.XLOOKUP(Table12[[#This Row],[Month Year]],'Modelling New'!D:D,'Modelling New'!N:N)</f>
        <v>10.507</v>
      </c>
      <c r="J946" s="50" t="e">
        <f>'Raw Data'!#REF!/J$1</f>
        <v>#REF!</v>
      </c>
      <c r="K946" s="50" t="e">
        <f>'Raw Data'!#REF!/K$1</f>
        <v>#REF!</v>
      </c>
      <c r="L946" s="50" t="e">
        <f>'Raw Data'!#REF!/L$1</f>
        <v>#REF!</v>
      </c>
      <c r="M946" s="50" t="e">
        <f>'Raw Data'!#REF!/M$1</f>
        <v>#REF!</v>
      </c>
      <c r="N946" s="50" t="e">
        <f>'Raw Data'!#REF!/N$1</f>
        <v>#REF!</v>
      </c>
      <c r="O946" s="50" t="e">
        <f>'Raw Data'!#REF!/O$1</f>
        <v>#REF!</v>
      </c>
      <c r="P946" s="50" t="str">
        <f t="shared" si="145"/>
        <v/>
      </c>
      <c r="Q946" s="50" t="e">
        <f t="shared" si="146"/>
        <v>#REF!</v>
      </c>
    </row>
    <row r="947" spans="1:17">
      <c r="A947" s="101" t="s">
        <v>212</v>
      </c>
      <c r="B947" s="101">
        <v>5</v>
      </c>
      <c r="C947" s="101">
        <v>2024</v>
      </c>
      <c r="D947" s="101" t="s">
        <v>211</v>
      </c>
      <c r="E947" s="101" t="s">
        <v>211</v>
      </c>
      <c r="F947" s="194">
        <v>45566</v>
      </c>
      <c r="G947" s="101">
        <f t="shared" si="144"/>
        <v>31</v>
      </c>
      <c r="H947" s="103">
        <f t="shared" si="143"/>
        <v>45596</v>
      </c>
      <c r="I947" s="141">
        <f>_xlfn.XLOOKUP(Table12[[#This Row],[Month Year]],'Modelling New'!D:D,'Modelling New'!N:N)</f>
        <v>10.507</v>
      </c>
      <c r="J947" s="50" t="e">
        <f>'Raw Data'!#REF!/J$1</f>
        <v>#REF!</v>
      </c>
      <c r="K947" s="50" t="e">
        <f>'Raw Data'!#REF!/K$1</f>
        <v>#REF!</v>
      </c>
      <c r="L947" s="50" t="e">
        <f>'Raw Data'!#REF!/L$1</f>
        <v>#REF!</v>
      </c>
      <c r="M947" s="50" t="e">
        <f>'Raw Data'!#REF!/M$1</f>
        <v>#REF!</v>
      </c>
      <c r="N947" s="50" t="e">
        <f>'Raw Data'!#REF!/N$1</f>
        <v>#REF!</v>
      </c>
      <c r="O947" s="50" t="e">
        <f>'Raw Data'!#REF!/O$1</f>
        <v>#REF!</v>
      </c>
      <c r="P947" s="50" t="str">
        <f t="shared" si="145"/>
        <v/>
      </c>
      <c r="Q947" s="50" t="e">
        <f t="shared" si="146"/>
        <v>#REF!</v>
      </c>
    </row>
    <row r="948" spans="1:17">
      <c r="A948" s="101" t="s">
        <v>212</v>
      </c>
      <c r="B948" s="101">
        <v>5</v>
      </c>
      <c r="C948" s="101">
        <v>2024</v>
      </c>
      <c r="D948" s="101" t="s">
        <v>211</v>
      </c>
      <c r="E948" s="101" t="s">
        <v>211</v>
      </c>
      <c r="F948" s="194">
        <v>45597</v>
      </c>
      <c r="G948" s="101">
        <f t="shared" si="144"/>
        <v>30</v>
      </c>
      <c r="H948" s="103">
        <f t="shared" si="143"/>
        <v>45597</v>
      </c>
      <c r="I948" s="141">
        <f>_xlfn.XLOOKUP(Table12[[#This Row],[Month Year]],'Modelling New'!D:D,'Modelling New'!N:N)</f>
        <v>10.507</v>
      </c>
      <c r="J948" s="50" t="e">
        <f>'Raw Data'!#REF!/J$1</f>
        <v>#REF!</v>
      </c>
      <c r="K948" s="50" t="e">
        <f>'Raw Data'!#REF!/K$1</f>
        <v>#REF!</v>
      </c>
      <c r="L948" s="50" t="e">
        <f>'Raw Data'!#REF!/L$1</f>
        <v>#REF!</v>
      </c>
      <c r="M948" s="50" t="e">
        <f>'Raw Data'!#REF!/M$1</f>
        <v>#REF!</v>
      </c>
      <c r="N948" s="50" t="e">
        <f>'Raw Data'!#REF!/N$1</f>
        <v>#REF!</v>
      </c>
      <c r="O948" s="50" t="e">
        <f>'Raw Data'!#REF!/O$1</f>
        <v>#REF!</v>
      </c>
      <c r="P948" s="50" t="str">
        <f t="shared" si="145"/>
        <v/>
      </c>
      <c r="Q948" s="50" t="e">
        <f t="shared" si="146"/>
        <v>#REF!</v>
      </c>
    </row>
    <row r="949" spans="1:17">
      <c r="A949" s="101" t="s">
        <v>212</v>
      </c>
      <c r="B949" s="101">
        <v>5</v>
      </c>
      <c r="C949" s="101">
        <v>2024</v>
      </c>
      <c r="D949" s="101" t="s">
        <v>211</v>
      </c>
      <c r="E949" s="101" t="s">
        <v>211</v>
      </c>
      <c r="F949" s="194">
        <v>45597</v>
      </c>
      <c r="G949" s="101">
        <f t="shared" si="144"/>
        <v>30</v>
      </c>
      <c r="H949" s="103">
        <f t="shared" si="143"/>
        <v>45598</v>
      </c>
      <c r="I949" s="141">
        <f>_xlfn.XLOOKUP(Table12[[#This Row],[Month Year]],'Modelling New'!D:D,'Modelling New'!N:N)</f>
        <v>10.507</v>
      </c>
      <c r="J949" s="50" t="e">
        <f>'Raw Data'!#REF!/J$1</f>
        <v>#REF!</v>
      </c>
      <c r="K949" s="50" t="e">
        <f>'Raw Data'!#REF!/K$1</f>
        <v>#REF!</v>
      </c>
      <c r="L949" s="50" t="e">
        <f>'Raw Data'!#REF!/L$1</f>
        <v>#REF!</v>
      </c>
      <c r="M949" s="50" t="e">
        <f>'Raw Data'!#REF!/M$1</f>
        <v>#REF!</v>
      </c>
      <c r="N949" s="50" t="e">
        <f>'Raw Data'!#REF!/N$1</f>
        <v>#REF!</v>
      </c>
      <c r="O949" s="50" t="e">
        <f>'Raw Data'!#REF!/O$1</f>
        <v>#REF!</v>
      </c>
      <c r="P949" s="50" t="str">
        <f t="shared" si="145"/>
        <v/>
      </c>
      <c r="Q949" s="50" t="e">
        <f t="shared" si="146"/>
        <v>#REF!</v>
      </c>
    </row>
    <row r="950" spans="1:17">
      <c r="A950" s="101" t="s">
        <v>212</v>
      </c>
      <c r="B950" s="101">
        <v>5</v>
      </c>
      <c r="C950" s="101">
        <v>2024</v>
      </c>
      <c r="D950" s="101" t="s">
        <v>211</v>
      </c>
      <c r="E950" s="101" t="s">
        <v>211</v>
      </c>
      <c r="F950" s="194">
        <v>45597</v>
      </c>
      <c r="G950" s="101">
        <f t="shared" si="144"/>
        <v>30</v>
      </c>
      <c r="H950" s="103">
        <f t="shared" si="143"/>
        <v>45599</v>
      </c>
      <c r="I950" s="141">
        <f>_xlfn.XLOOKUP(Table12[[#This Row],[Month Year]],'Modelling New'!D:D,'Modelling New'!N:N)</f>
        <v>10.507</v>
      </c>
      <c r="J950" s="50" t="e">
        <f>'Raw Data'!#REF!/J$1</f>
        <v>#REF!</v>
      </c>
      <c r="K950" s="50" t="e">
        <f>'Raw Data'!#REF!/K$1</f>
        <v>#REF!</v>
      </c>
      <c r="L950" s="50" t="e">
        <f>'Raw Data'!#REF!/L$1</f>
        <v>#REF!</v>
      </c>
      <c r="M950" s="50" t="e">
        <f>'Raw Data'!#REF!/M$1</f>
        <v>#REF!</v>
      </c>
      <c r="N950" s="50" t="e">
        <f>'Raw Data'!#REF!/N$1</f>
        <v>#REF!</v>
      </c>
      <c r="O950" s="50" t="e">
        <f>'Raw Data'!#REF!/O$1</f>
        <v>#REF!</v>
      </c>
      <c r="P950" s="50" t="str">
        <f t="shared" si="145"/>
        <v/>
      </c>
      <c r="Q950" s="50" t="e">
        <f t="shared" si="146"/>
        <v>#REF!</v>
      </c>
    </row>
    <row r="951" spans="1:17">
      <c r="A951" s="101" t="s">
        <v>212</v>
      </c>
      <c r="B951" s="101">
        <v>5</v>
      </c>
      <c r="C951" s="101">
        <v>2024</v>
      </c>
      <c r="D951" s="101" t="s">
        <v>211</v>
      </c>
      <c r="E951" s="101" t="s">
        <v>211</v>
      </c>
      <c r="F951" s="194">
        <v>45597</v>
      </c>
      <c r="G951" s="101">
        <f t="shared" si="144"/>
        <v>30</v>
      </c>
      <c r="H951" s="103">
        <f t="shared" si="143"/>
        <v>45600</v>
      </c>
      <c r="I951" s="141">
        <f>_xlfn.XLOOKUP(Table12[[#This Row],[Month Year]],'Modelling New'!D:D,'Modelling New'!N:N)</f>
        <v>10.507</v>
      </c>
      <c r="J951" s="50" t="e">
        <f>'Raw Data'!#REF!/J$1</f>
        <v>#REF!</v>
      </c>
      <c r="K951" s="50" t="e">
        <f>'Raw Data'!#REF!/K$1</f>
        <v>#REF!</v>
      </c>
      <c r="L951" s="50" t="e">
        <f>'Raw Data'!#REF!/L$1</f>
        <v>#REF!</v>
      </c>
      <c r="M951" s="50" t="e">
        <f>'Raw Data'!#REF!/M$1</f>
        <v>#REF!</v>
      </c>
      <c r="N951" s="50" t="e">
        <f>'Raw Data'!#REF!/N$1</f>
        <v>#REF!</v>
      </c>
      <c r="O951" s="50" t="e">
        <f>'Raw Data'!#REF!/O$1</f>
        <v>#REF!</v>
      </c>
      <c r="P951" s="50" t="str">
        <f t="shared" si="145"/>
        <v/>
      </c>
      <c r="Q951" s="50" t="e">
        <f t="shared" si="146"/>
        <v>#REF!</v>
      </c>
    </row>
    <row r="952" spans="1:17">
      <c r="A952" s="101" t="s">
        <v>212</v>
      </c>
      <c r="B952" s="101">
        <v>5</v>
      </c>
      <c r="C952" s="101">
        <v>2024</v>
      </c>
      <c r="D952" s="101" t="s">
        <v>211</v>
      </c>
      <c r="E952" s="101" t="s">
        <v>211</v>
      </c>
      <c r="F952" s="194">
        <v>45597</v>
      </c>
      <c r="G952" s="101">
        <f t="shared" ref="G952:G983" si="147">DAY(EOMONTH(F952,0))</f>
        <v>30</v>
      </c>
      <c r="H952" s="103">
        <f t="shared" si="143"/>
        <v>45601</v>
      </c>
      <c r="I952" s="141">
        <f>_xlfn.XLOOKUP(Table12[[#This Row],[Month Year]],'Modelling New'!D:D,'Modelling New'!N:N)</f>
        <v>10.507</v>
      </c>
      <c r="J952" s="50" t="e">
        <f>'Raw Data'!#REF!/J$1</f>
        <v>#REF!</v>
      </c>
      <c r="K952" s="50" t="e">
        <f>'Raw Data'!#REF!/K$1</f>
        <v>#REF!</v>
      </c>
      <c r="L952" s="50" t="e">
        <f>'Raw Data'!#REF!/L$1</f>
        <v>#REF!</v>
      </c>
      <c r="M952" s="50" t="e">
        <f>'Raw Data'!#REF!/M$1</f>
        <v>#REF!</v>
      </c>
      <c r="N952" s="50" t="e">
        <f>'Raw Data'!#REF!/N$1</f>
        <v>#REF!</v>
      </c>
      <c r="O952" s="50" t="e">
        <f>'Raw Data'!#REF!/O$1</f>
        <v>#REF!</v>
      </c>
      <c r="P952" s="50" t="str">
        <f t="shared" ref="P952:P983" si="148">IFERROR(AVERAGEIF(J952:O952,"&gt;"&amp;0,J952:O952),"")</f>
        <v/>
      </c>
      <c r="Q952" s="50" t="e">
        <f t="shared" ref="Q952:Q987" si="149">MAXA(J952:O952)</f>
        <v>#REF!</v>
      </c>
    </row>
    <row r="953" spans="1:17">
      <c r="A953" s="101" t="s">
        <v>212</v>
      </c>
      <c r="B953" s="101">
        <v>5</v>
      </c>
      <c r="C953" s="101">
        <v>2024</v>
      </c>
      <c r="D953" s="101" t="s">
        <v>211</v>
      </c>
      <c r="E953" s="101" t="s">
        <v>211</v>
      </c>
      <c r="F953" s="194">
        <v>45597</v>
      </c>
      <c r="G953" s="101">
        <f t="shared" si="147"/>
        <v>30</v>
      </c>
      <c r="H953" s="103">
        <f t="shared" si="143"/>
        <v>45602</v>
      </c>
      <c r="I953" s="141">
        <f>_xlfn.XLOOKUP(Table12[[#This Row],[Month Year]],'Modelling New'!D:D,'Modelling New'!N:N)</f>
        <v>10.507</v>
      </c>
      <c r="J953" s="50" t="e">
        <f>'Raw Data'!#REF!/J$1</f>
        <v>#REF!</v>
      </c>
      <c r="K953" s="50" t="e">
        <f>'Raw Data'!#REF!/K$1</f>
        <v>#REF!</v>
      </c>
      <c r="L953" s="50" t="e">
        <f>'Raw Data'!#REF!/L$1</f>
        <v>#REF!</v>
      </c>
      <c r="M953" s="50" t="e">
        <f>'Raw Data'!#REF!/M$1</f>
        <v>#REF!</v>
      </c>
      <c r="N953" s="50" t="e">
        <f>'Raw Data'!#REF!/N$1</f>
        <v>#REF!</v>
      </c>
      <c r="O953" s="50" t="e">
        <f>'Raw Data'!#REF!/O$1</f>
        <v>#REF!</v>
      </c>
      <c r="P953" s="50" t="str">
        <f t="shared" si="148"/>
        <v/>
      </c>
      <c r="Q953" s="50" t="e">
        <f t="shared" si="149"/>
        <v>#REF!</v>
      </c>
    </row>
    <row r="954" spans="1:17">
      <c r="A954" s="101" t="s">
        <v>212</v>
      </c>
      <c r="B954" s="101">
        <v>5</v>
      </c>
      <c r="C954" s="101">
        <v>2024</v>
      </c>
      <c r="D954" s="101" t="s">
        <v>211</v>
      </c>
      <c r="E954" s="101" t="s">
        <v>211</v>
      </c>
      <c r="F954" s="194">
        <v>45597</v>
      </c>
      <c r="G954" s="101">
        <f t="shared" si="147"/>
        <v>30</v>
      </c>
      <c r="H954" s="103">
        <f t="shared" si="143"/>
        <v>45603</v>
      </c>
      <c r="I954" s="141">
        <f>_xlfn.XLOOKUP(Table12[[#This Row],[Month Year]],'Modelling New'!D:D,'Modelling New'!N:N)</f>
        <v>10.507</v>
      </c>
      <c r="J954" s="50" t="e">
        <f>'Raw Data'!#REF!/J$1</f>
        <v>#REF!</v>
      </c>
      <c r="K954" s="50" t="e">
        <f>'Raw Data'!#REF!/K$1</f>
        <v>#REF!</v>
      </c>
      <c r="L954" s="50" t="e">
        <f>'Raw Data'!#REF!/L$1</f>
        <v>#REF!</v>
      </c>
      <c r="M954" s="50" t="e">
        <f>'Raw Data'!#REF!/M$1</f>
        <v>#REF!</v>
      </c>
      <c r="N954" s="50" t="e">
        <f>'Raw Data'!#REF!/N$1</f>
        <v>#REF!</v>
      </c>
      <c r="O954" s="50" t="e">
        <f>'Raw Data'!#REF!/O$1</f>
        <v>#REF!</v>
      </c>
      <c r="P954" s="50" t="str">
        <f t="shared" si="148"/>
        <v/>
      </c>
      <c r="Q954" s="50" t="e">
        <f t="shared" si="149"/>
        <v>#REF!</v>
      </c>
    </row>
    <row r="955" spans="1:17">
      <c r="A955" s="101" t="s">
        <v>212</v>
      </c>
      <c r="B955" s="101">
        <v>5</v>
      </c>
      <c r="C955" s="101">
        <v>2024</v>
      </c>
      <c r="D955" s="101" t="s">
        <v>211</v>
      </c>
      <c r="E955" s="101" t="s">
        <v>211</v>
      </c>
      <c r="F955" s="194">
        <v>45597</v>
      </c>
      <c r="G955" s="101">
        <f t="shared" si="147"/>
        <v>30</v>
      </c>
      <c r="H955" s="103">
        <f t="shared" si="143"/>
        <v>45604</v>
      </c>
      <c r="I955" s="141">
        <f>_xlfn.XLOOKUP(Table12[[#This Row],[Month Year]],'Modelling New'!D:D,'Modelling New'!N:N)</f>
        <v>10.507</v>
      </c>
      <c r="J955" s="50" t="e">
        <f>'Raw Data'!#REF!/J$1</f>
        <v>#REF!</v>
      </c>
      <c r="K955" s="50" t="e">
        <f>'Raw Data'!#REF!/K$1</f>
        <v>#REF!</v>
      </c>
      <c r="L955" s="50" t="e">
        <f>'Raw Data'!#REF!/L$1</f>
        <v>#REF!</v>
      </c>
      <c r="M955" s="50" t="e">
        <f>'Raw Data'!#REF!/M$1</f>
        <v>#REF!</v>
      </c>
      <c r="N955" s="50" t="e">
        <f>'Raw Data'!#REF!/N$1</f>
        <v>#REF!</v>
      </c>
      <c r="O955" s="50" t="e">
        <f>'Raw Data'!#REF!/O$1</f>
        <v>#REF!</v>
      </c>
      <c r="P955" s="50" t="str">
        <f t="shared" si="148"/>
        <v/>
      </c>
      <c r="Q955" s="50" t="e">
        <f t="shared" si="149"/>
        <v>#REF!</v>
      </c>
    </row>
    <row r="956" spans="1:17">
      <c r="A956" s="101" t="s">
        <v>212</v>
      </c>
      <c r="B956" s="101">
        <v>5</v>
      </c>
      <c r="C956" s="101">
        <v>2024</v>
      </c>
      <c r="D956" s="101" t="s">
        <v>211</v>
      </c>
      <c r="E956" s="101" t="s">
        <v>211</v>
      </c>
      <c r="F956" s="194">
        <v>45597</v>
      </c>
      <c r="G956" s="101">
        <f t="shared" si="147"/>
        <v>30</v>
      </c>
      <c r="H956" s="103">
        <f t="shared" si="143"/>
        <v>45605</v>
      </c>
      <c r="I956" s="141">
        <f>_xlfn.XLOOKUP(Table12[[#This Row],[Month Year]],'Modelling New'!D:D,'Modelling New'!N:N)</f>
        <v>10.507</v>
      </c>
      <c r="J956" s="50" t="e">
        <f>'Raw Data'!#REF!/J$1</f>
        <v>#REF!</v>
      </c>
      <c r="K956" s="50" t="e">
        <f>'Raw Data'!#REF!/K$1</f>
        <v>#REF!</v>
      </c>
      <c r="L956" s="50" t="e">
        <f>'Raw Data'!#REF!/L$1</f>
        <v>#REF!</v>
      </c>
      <c r="M956" s="50" t="e">
        <f>'Raw Data'!#REF!/M$1</f>
        <v>#REF!</v>
      </c>
      <c r="N956" s="50" t="e">
        <f>'Raw Data'!#REF!/N$1</f>
        <v>#REF!</v>
      </c>
      <c r="O956" s="50" t="e">
        <f>'Raw Data'!#REF!/O$1</f>
        <v>#REF!</v>
      </c>
      <c r="P956" s="50" t="str">
        <f t="shared" si="148"/>
        <v/>
      </c>
      <c r="Q956" s="50" t="e">
        <f t="shared" si="149"/>
        <v>#REF!</v>
      </c>
    </row>
    <row r="957" spans="1:17">
      <c r="A957" s="101" t="s">
        <v>212</v>
      </c>
      <c r="B957" s="101">
        <v>5</v>
      </c>
      <c r="C957" s="101">
        <v>2024</v>
      </c>
      <c r="D957" s="101" t="s">
        <v>211</v>
      </c>
      <c r="E957" s="101" t="s">
        <v>211</v>
      </c>
      <c r="F957" s="194">
        <v>45597</v>
      </c>
      <c r="G957" s="101">
        <f t="shared" si="147"/>
        <v>30</v>
      </c>
      <c r="H957" s="103">
        <f t="shared" si="143"/>
        <v>45606</v>
      </c>
      <c r="I957" s="141">
        <f>_xlfn.XLOOKUP(Table12[[#This Row],[Month Year]],'Modelling New'!D:D,'Modelling New'!N:N)</f>
        <v>10.507</v>
      </c>
      <c r="J957" s="50" t="e">
        <f>'Raw Data'!#REF!/J$1</f>
        <v>#REF!</v>
      </c>
      <c r="K957" s="50" t="e">
        <f>'Raw Data'!#REF!/K$1</f>
        <v>#REF!</v>
      </c>
      <c r="L957" s="50" t="e">
        <f>'Raw Data'!#REF!/L$1</f>
        <v>#REF!</v>
      </c>
      <c r="M957" s="50" t="e">
        <f>'Raw Data'!#REF!/M$1</f>
        <v>#REF!</v>
      </c>
      <c r="N957" s="50" t="e">
        <f>'Raw Data'!#REF!/N$1</f>
        <v>#REF!</v>
      </c>
      <c r="O957" s="50" t="e">
        <f>'Raw Data'!#REF!/O$1</f>
        <v>#REF!</v>
      </c>
      <c r="P957" s="50" t="str">
        <f t="shared" si="148"/>
        <v/>
      </c>
      <c r="Q957" s="50" t="e">
        <f t="shared" si="149"/>
        <v>#REF!</v>
      </c>
    </row>
    <row r="958" spans="1:17">
      <c r="A958" s="101" t="s">
        <v>212</v>
      </c>
      <c r="B958" s="101">
        <v>5</v>
      </c>
      <c r="C958" s="101">
        <v>2024</v>
      </c>
      <c r="D958" s="101" t="s">
        <v>211</v>
      </c>
      <c r="E958" s="101" t="s">
        <v>211</v>
      </c>
      <c r="F958" s="194">
        <v>45597</v>
      </c>
      <c r="G958" s="101">
        <f t="shared" si="147"/>
        <v>30</v>
      </c>
      <c r="H958" s="103">
        <f t="shared" si="143"/>
        <v>45607</v>
      </c>
      <c r="I958" s="141">
        <f>_xlfn.XLOOKUP(Table12[[#This Row],[Month Year]],'Modelling New'!D:D,'Modelling New'!N:N)</f>
        <v>10.507</v>
      </c>
      <c r="J958" s="50" t="e">
        <f>'Raw Data'!#REF!/J$1</f>
        <v>#REF!</v>
      </c>
      <c r="K958" s="50" t="e">
        <f>'Raw Data'!#REF!/K$1</f>
        <v>#REF!</v>
      </c>
      <c r="L958" s="50" t="e">
        <f>'Raw Data'!#REF!/L$1</f>
        <v>#REF!</v>
      </c>
      <c r="M958" s="50" t="e">
        <f>'Raw Data'!#REF!/M$1</f>
        <v>#REF!</v>
      </c>
      <c r="N958" s="50" t="e">
        <f>'Raw Data'!#REF!/N$1</f>
        <v>#REF!</v>
      </c>
      <c r="O958" s="50" t="e">
        <f>'Raw Data'!#REF!/O$1</f>
        <v>#REF!</v>
      </c>
      <c r="P958" s="50" t="str">
        <f t="shared" si="148"/>
        <v/>
      </c>
      <c r="Q958" s="50" t="e">
        <f t="shared" si="149"/>
        <v>#REF!</v>
      </c>
    </row>
    <row r="959" spans="1:17">
      <c r="A959" s="101" t="s">
        <v>212</v>
      </c>
      <c r="B959" s="101">
        <v>5</v>
      </c>
      <c r="C959" s="101">
        <v>2024</v>
      </c>
      <c r="D959" s="101" t="s">
        <v>211</v>
      </c>
      <c r="E959" s="101" t="s">
        <v>211</v>
      </c>
      <c r="F959" s="194">
        <v>45597</v>
      </c>
      <c r="G959" s="101">
        <f t="shared" si="147"/>
        <v>30</v>
      </c>
      <c r="H959" s="103">
        <f t="shared" si="143"/>
        <v>45608</v>
      </c>
      <c r="I959" s="141">
        <f>_xlfn.XLOOKUP(Table12[[#This Row],[Month Year]],'Modelling New'!D:D,'Modelling New'!N:N)</f>
        <v>10.507</v>
      </c>
      <c r="J959" s="50" t="e">
        <f>'Raw Data'!#REF!/J$1</f>
        <v>#REF!</v>
      </c>
      <c r="K959" s="50" t="e">
        <f>'Raw Data'!#REF!/K$1</f>
        <v>#REF!</v>
      </c>
      <c r="L959" s="50" t="e">
        <f>'Raw Data'!#REF!/L$1</f>
        <v>#REF!</v>
      </c>
      <c r="M959" s="50" t="e">
        <f>'Raw Data'!#REF!/M$1</f>
        <v>#REF!</v>
      </c>
      <c r="N959" s="50" t="e">
        <f>'Raw Data'!#REF!/N$1</f>
        <v>#REF!</v>
      </c>
      <c r="O959" s="50" t="e">
        <f>'Raw Data'!#REF!/O$1</f>
        <v>#REF!</v>
      </c>
      <c r="P959" s="50" t="str">
        <f t="shared" si="148"/>
        <v/>
      </c>
      <c r="Q959" s="50" t="e">
        <f t="shared" si="149"/>
        <v>#REF!</v>
      </c>
    </row>
    <row r="960" spans="1:17">
      <c r="A960" s="101" t="s">
        <v>212</v>
      </c>
      <c r="B960" s="101">
        <v>5</v>
      </c>
      <c r="C960" s="101">
        <v>2024</v>
      </c>
      <c r="D960" s="101" t="s">
        <v>211</v>
      </c>
      <c r="E960" s="101" t="s">
        <v>211</v>
      </c>
      <c r="F960" s="194">
        <v>45597</v>
      </c>
      <c r="G960" s="101">
        <f t="shared" si="147"/>
        <v>30</v>
      </c>
      <c r="H960" s="103">
        <f t="shared" si="143"/>
        <v>45609</v>
      </c>
      <c r="I960" s="141">
        <f>_xlfn.XLOOKUP(Table12[[#This Row],[Month Year]],'Modelling New'!D:D,'Modelling New'!N:N)</f>
        <v>10.507</v>
      </c>
      <c r="J960" s="50" t="e">
        <f>'Raw Data'!#REF!/J$1</f>
        <v>#REF!</v>
      </c>
      <c r="K960" s="50" t="e">
        <f>'Raw Data'!#REF!/K$1</f>
        <v>#REF!</v>
      </c>
      <c r="L960" s="50" t="e">
        <f>'Raw Data'!#REF!/L$1</f>
        <v>#REF!</v>
      </c>
      <c r="M960" s="50" t="e">
        <f>'Raw Data'!#REF!/M$1</f>
        <v>#REF!</v>
      </c>
      <c r="N960" s="50" t="e">
        <f>'Raw Data'!#REF!/N$1</f>
        <v>#REF!</v>
      </c>
      <c r="O960" s="50" t="e">
        <f>'Raw Data'!#REF!/O$1</f>
        <v>#REF!</v>
      </c>
      <c r="P960" s="50" t="str">
        <f t="shared" si="148"/>
        <v/>
      </c>
      <c r="Q960" s="50" t="e">
        <f t="shared" si="149"/>
        <v>#REF!</v>
      </c>
    </row>
    <row r="961" spans="1:17">
      <c r="A961" s="101" t="s">
        <v>212</v>
      </c>
      <c r="B961" s="101">
        <v>5</v>
      </c>
      <c r="C961" s="101">
        <v>2024</v>
      </c>
      <c r="D961" s="101" t="s">
        <v>211</v>
      </c>
      <c r="E961" s="101" t="s">
        <v>211</v>
      </c>
      <c r="F961" s="194">
        <v>45597</v>
      </c>
      <c r="G961" s="101">
        <f t="shared" si="147"/>
        <v>30</v>
      </c>
      <c r="H961" s="103">
        <f t="shared" si="143"/>
        <v>45610</v>
      </c>
      <c r="I961" s="141">
        <f>_xlfn.XLOOKUP(Table12[[#This Row],[Month Year]],'Modelling New'!D:D,'Modelling New'!N:N)</f>
        <v>10.507</v>
      </c>
      <c r="J961" s="50" t="e">
        <f>'Raw Data'!#REF!/J$1</f>
        <v>#REF!</v>
      </c>
      <c r="K961" s="50" t="e">
        <f>'Raw Data'!#REF!/K$1</f>
        <v>#REF!</v>
      </c>
      <c r="L961" s="50" t="e">
        <f>'Raw Data'!#REF!/L$1</f>
        <v>#REF!</v>
      </c>
      <c r="M961" s="50" t="e">
        <f>'Raw Data'!#REF!/M$1</f>
        <v>#REF!</v>
      </c>
      <c r="N961" s="50" t="e">
        <f>'Raw Data'!#REF!/N$1</f>
        <v>#REF!</v>
      </c>
      <c r="O961" s="50" t="e">
        <f>'Raw Data'!#REF!/O$1</f>
        <v>#REF!</v>
      </c>
      <c r="P961" s="50" t="str">
        <f t="shared" si="148"/>
        <v/>
      </c>
      <c r="Q961" s="50" t="e">
        <f t="shared" si="149"/>
        <v>#REF!</v>
      </c>
    </row>
    <row r="962" spans="1:17">
      <c r="A962" s="101" t="s">
        <v>212</v>
      </c>
      <c r="B962" s="101">
        <v>5</v>
      </c>
      <c r="C962" s="101">
        <v>2024</v>
      </c>
      <c r="D962" s="101" t="s">
        <v>211</v>
      </c>
      <c r="E962" s="101" t="s">
        <v>211</v>
      </c>
      <c r="F962" s="194">
        <v>45597</v>
      </c>
      <c r="G962" s="101">
        <f t="shared" si="147"/>
        <v>30</v>
      </c>
      <c r="H962" s="103">
        <f t="shared" si="143"/>
        <v>45611</v>
      </c>
      <c r="I962" s="141">
        <f>_xlfn.XLOOKUP(Table12[[#This Row],[Month Year]],'Modelling New'!D:D,'Modelling New'!N:N)</f>
        <v>10.507</v>
      </c>
      <c r="J962" s="50" t="e">
        <f>'Raw Data'!#REF!/J$1</f>
        <v>#REF!</v>
      </c>
      <c r="K962" s="50" t="e">
        <f>'Raw Data'!#REF!/K$1</f>
        <v>#REF!</v>
      </c>
      <c r="L962" s="50" t="e">
        <f>'Raw Data'!#REF!/L$1</f>
        <v>#REF!</v>
      </c>
      <c r="M962" s="50" t="e">
        <f>'Raw Data'!#REF!/M$1</f>
        <v>#REF!</v>
      </c>
      <c r="N962" s="50" t="e">
        <f>'Raw Data'!#REF!/N$1</f>
        <v>#REF!</v>
      </c>
      <c r="O962" s="50" t="e">
        <f>'Raw Data'!#REF!/O$1</f>
        <v>#REF!</v>
      </c>
      <c r="P962" s="50" t="str">
        <f t="shared" si="148"/>
        <v/>
      </c>
      <c r="Q962" s="50" t="e">
        <f t="shared" si="149"/>
        <v>#REF!</v>
      </c>
    </row>
    <row r="963" spans="1:17">
      <c r="A963" s="101" t="s">
        <v>212</v>
      </c>
      <c r="B963" s="101">
        <v>5</v>
      </c>
      <c r="C963" s="101">
        <v>2024</v>
      </c>
      <c r="D963" s="101" t="s">
        <v>211</v>
      </c>
      <c r="E963" s="101" t="s">
        <v>211</v>
      </c>
      <c r="F963" s="194">
        <v>45597</v>
      </c>
      <c r="G963" s="101">
        <f t="shared" si="147"/>
        <v>30</v>
      </c>
      <c r="H963" s="103">
        <f t="shared" si="143"/>
        <v>45612</v>
      </c>
      <c r="I963" s="141">
        <f>_xlfn.XLOOKUP(Table12[[#This Row],[Month Year]],'Modelling New'!D:D,'Modelling New'!N:N)</f>
        <v>10.507</v>
      </c>
      <c r="J963" s="50" t="e">
        <f>'Raw Data'!#REF!/J$1</f>
        <v>#REF!</v>
      </c>
      <c r="K963" s="50" t="e">
        <f>'Raw Data'!#REF!/K$1</f>
        <v>#REF!</v>
      </c>
      <c r="L963" s="50" t="e">
        <f>'Raw Data'!#REF!/L$1</f>
        <v>#REF!</v>
      </c>
      <c r="M963" s="50" t="e">
        <f>'Raw Data'!#REF!/M$1</f>
        <v>#REF!</v>
      </c>
      <c r="N963" s="50" t="e">
        <f>'Raw Data'!#REF!/N$1</f>
        <v>#REF!</v>
      </c>
      <c r="O963" s="50" t="e">
        <f>'Raw Data'!#REF!/O$1</f>
        <v>#REF!</v>
      </c>
      <c r="P963" s="50" t="str">
        <f t="shared" si="148"/>
        <v/>
      </c>
      <c r="Q963" s="50" t="e">
        <f t="shared" si="149"/>
        <v>#REF!</v>
      </c>
    </row>
    <row r="964" spans="1:17">
      <c r="A964" s="101" t="s">
        <v>212</v>
      </c>
      <c r="B964" s="101">
        <v>5</v>
      </c>
      <c r="C964" s="101">
        <v>2024</v>
      </c>
      <c r="D964" s="101" t="s">
        <v>211</v>
      </c>
      <c r="E964" s="101" t="s">
        <v>211</v>
      </c>
      <c r="F964" s="194">
        <v>45597</v>
      </c>
      <c r="G964" s="101">
        <f t="shared" si="147"/>
        <v>30</v>
      </c>
      <c r="H964" s="103">
        <f t="shared" si="143"/>
        <v>45613</v>
      </c>
      <c r="I964" s="141">
        <f>_xlfn.XLOOKUP(Table12[[#This Row],[Month Year]],'Modelling New'!D:D,'Modelling New'!N:N)</f>
        <v>10.507</v>
      </c>
      <c r="J964" s="50" t="e">
        <f>'Raw Data'!#REF!/J$1</f>
        <v>#REF!</v>
      </c>
      <c r="K964" s="50" t="e">
        <f>'Raw Data'!#REF!/K$1</f>
        <v>#REF!</v>
      </c>
      <c r="L964" s="50" t="e">
        <f>'Raw Data'!#REF!/L$1</f>
        <v>#REF!</v>
      </c>
      <c r="M964" s="50" t="e">
        <f>'Raw Data'!#REF!/M$1</f>
        <v>#REF!</v>
      </c>
      <c r="N964" s="50" t="e">
        <f>'Raw Data'!#REF!/N$1</f>
        <v>#REF!</v>
      </c>
      <c r="O964" s="50" t="e">
        <f>'Raw Data'!#REF!/O$1</f>
        <v>#REF!</v>
      </c>
      <c r="P964" s="50" t="str">
        <f t="shared" si="148"/>
        <v/>
      </c>
      <c r="Q964" s="50" t="e">
        <f t="shared" si="149"/>
        <v>#REF!</v>
      </c>
    </row>
    <row r="965" spans="1:17">
      <c r="A965" s="101" t="s">
        <v>212</v>
      </c>
      <c r="B965" s="101">
        <v>5</v>
      </c>
      <c r="C965" s="101">
        <v>2024</v>
      </c>
      <c r="D965" s="101" t="s">
        <v>211</v>
      </c>
      <c r="E965" s="101" t="s">
        <v>211</v>
      </c>
      <c r="F965" s="194">
        <v>45597</v>
      </c>
      <c r="G965" s="101">
        <f t="shared" si="147"/>
        <v>30</v>
      </c>
      <c r="H965" s="103">
        <f t="shared" si="143"/>
        <v>45614</v>
      </c>
      <c r="I965" s="141">
        <f>_xlfn.XLOOKUP(Table12[[#This Row],[Month Year]],'Modelling New'!D:D,'Modelling New'!N:N)</f>
        <v>10.507</v>
      </c>
      <c r="J965" s="50" t="e">
        <f>'Raw Data'!#REF!/J$1</f>
        <v>#REF!</v>
      </c>
      <c r="K965" s="50" t="e">
        <f>'Raw Data'!#REF!/K$1</f>
        <v>#REF!</v>
      </c>
      <c r="L965" s="50" t="e">
        <f>'Raw Data'!#REF!/L$1</f>
        <v>#REF!</v>
      </c>
      <c r="M965" s="50" t="e">
        <f>'Raw Data'!#REF!/M$1</f>
        <v>#REF!</v>
      </c>
      <c r="N965" s="50" t="e">
        <f>'Raw Data'!#REF!/N$1</f>
        <v>#REF!</v>
      </c>
      <c r="O965" s="50" t="e">
        <f>'Raw Data'!#REF!/O$1</f>
        <v>#REF!</v>
      </c>
      <c r="P965" s="50" t="str">
        <f t="shared" si="148"/>
        <v/>
      </c>
      <c r="Q965" s="50" t="e">
        <f t="shared" si="149"/>
        <v>#REF!</v>
      </c>
    </row>
    <row r="966" spans="1:17">
      <c r="A966" s="101" t="s">
        <v>212</v>
      </c>
      <c r="B966" s="101">
        <v>5</v>
      </c>
      <c r="C966" s="101">
        <v>2024</v>
      </c>
      <c r="D966" s="101" t="s">
        <v>211</v>
      </c>
      <c r="E966" s="101" t="s">
        <v>211</v>
      </c>
      <c r="F966" s="194">
        <v>45597</v>
      </c>
      <c r="G966" s="101">
        <f t="shared" si="147"/>
        <v>30</v>
      </c>
      <c r="H966" s="103">
        <f t="shared" si="143"/>
        <v>45615</v>
      </c>
      <c r="I966" s="141">
        <f>_xlfn.XLOOKUP(Table12[[#This Row],[Month Year]],'Modelling New'!D:D,'Modelling New'!N:N)</f>
        <v>10.507</v>
      </c>
      <c r="J966" s="50" t="e">
        <f>'Raw Data'!#REF!/J$1</f>
        <v>#REF!</v>
      </c>
      <c r="K966" s="50" t="e">
        <f>'Raw Data'!#REF!/K$1</f>
        <v>#REF!</v>
      </c>
      <c r="L966" s="50" t="e">
        <f>'Raw Data'!#REF!/L$1</f>
        <v>#REF!</v>
      </c>
      <c r="M966" s="50" t="e">
        <f>'Raw Data'!#REF!/M$1</f>
        <v>#REF!</v>
      </c>
      <c r="N966" s="50" t="e">
        <f>'Raw Data'!#REF!/N$1</f>
        <v>#REF!</v>
      </c>
      <c r="O966" s="50" t="e">
        <f>'Raw Data'!#REF!/O$1</f>
        <v>#REF!</v>
      </c>
      <c r="P966" s="50" t="str">
        <f t="shared" si="148"/>
        <v/>
      </c>
      <c r="Q966" s="50" t="e">
        <f t="shared" si="149"/>
        <v>#REF!</v>
      </c>
    </row>
    <row r="967" spans="1:17">
      <c r="A967" s="101" t="s">
        <v>212</v>
      </c>
      <c r="B967" s="101">
        <v>5</v>
      </c>
      <c r="C967" s="101">
        <v>2024</v>
      </c>
      <c r="D967" s="101" t="s">
        <v>211</v>
      </c>
      <c r="E967" s="101" t="s">
        <v>211</v>
      </c>
      <c r="F967" s="194">
        <v>45597</v>
      </c>
      <c r="G967" s="101">
        <f t="shared" si="147"/>
        <v>30</v>
      </c>
      <c r="H967" s="103">
        <f t="shared" si="143"/>
        <v>45616</v>
      </c>
      <c r="I967" s="141">
        <f>_xlfn.XLOOKUP(Table12[[#This Row],[Month Year]],'Modelling New'!D:D,'Modelling New'!N:N)</f>
        <v>10.507</v>
      </c>
      <c r="J967" s="50" t="e">
        <f>'Raw Data'!#REF!/J$1</f>
        <v>#REF!</v>
      </c>
      <c r="K967" s="50" t="e">
        <f>'Raw Data'!#REF!/K$1</f>
        <v>#REF!</v>
      </c>
      <c r="L967" s="50" t="e">
        <f>'Raw Data'!#REF!/L$1</f>
        <v>#REF!</v>
      </c>
      <c r="M967" s="50" t="e">
        <f>'Raw Data'!#REF!/M$1</f>
        <v>#REF!</v>
      </c>
      <c r="N967" s="50" t="e">
        <f>'Raw Data'!#REF!/N$1</f>
        <v>#REF!</v>
      </c>
      <c r="O967" s="50" t="e">
        <f>'Raw Data'!#REF!/O$1</f>
        <v>#REF!</v>
      </c>
      <c r="P967" s="50" t="str">
        <f t="shared" si="148"/>
        <v/>
      </c>
      <c r="Q967" s="50" t="e">
        <f t="shared" si="149"/>
        <v>#REF!</v>
      </c>
    </row>
    <row r="968" spans="1:17">
      <c r="A968" s="101" t="s">
        <v>212</v>
      </c>
      <c r="B968" s="101">
        <v>5</v>
      </c>
      <c r="C968" s="101">
        <v>2024</v>
      </c>
      <c r="D968" s="101" t="s">
        <v>211</v>
      </c>
      <c r="E968" s="101" t="s">
        <v>211</v>
      </c>
      <c r="F968" s="194">
        <v>45597</v>
      </c>
      <c r="G968" s="101">
        <f t="shared" si="147"/>
        <v>30</v>
      </c>
      <c r="H968" s="103">
        <f t="shared" si="143"/>
        <v>45617</v>
      </c>
      <c r="I968" s="141">
        <f>_xlfn.XLOOKUP(Table12[[#This Row],[Month Year]],'Modelling New'!D:D,'Modelling New'!N:N)</f>
        <v>10.507</v>
      </c>
      <c r="J968" s="50" t="e">
        <f>'Raw Data'!#REF!/J$1</f>
        <v>#REF!</v>
      </c>
      <c r="K968" s="50" t="e">
        <f>'Raw Data'!#REF!/K$1</f>
        <v>#REF!</v>
      </c>
      <c r="L968" s="50" t="e">
        <f>'Raw Data'!#REF!/L$1</f>
        <v>#REF!</v>
      </c>
      <c r="M968" s="50" t="e">
        <f>'Raw Data'!#REF!/M$1</f>
        <v>#REF!</v>
      </c>
      <c r="N968" s="50" t="e">
        <f>'Raw Data'!#REF!/N$1</f>
        <v>#REF!</v>
      </c>
      <c r="O968" s="50" t="e">
        <f>'Raw Data'!#REF!/O$1</f>
        <v>#REF!</v>
      </c>
      <c r="P968" s="50" t="str">
        <f t="shared" si="148"/>
        <v/>
      </c>
      <c r="Q968" s="50" t="e">
        <f t="shared" si="149"/>
        <v>#REF!</v>
      </c>
    </row>
    <row r="969" spans="1:17">
      <c r="A969" s="101" t="s">
        <v>212</v>
      </c>
      <c r="B969" s="101">
        <v>5</v>
      </c>
      <c r="C969" s="101">
        <v>2024</v>
      </c>
      <c r="D969" s="101" t="s">
        <v>211</v>
      </c>
      <c r="E969" s="101" t="s">
        <v>211</v>
      </c>
      <c r="F969" s="194">
        <v>45597</v>
      </c>
      <c r="G969" s="101">
        <f t="shared" si="147"/>
        <v>30</v>
      </c>
      <c r="H969" s="103">
        <f t="shared" si="143"/>
        <v>45618</v>
      </c>
      <c r="I969" s="141">
        <f>_xlfn.XLOOKUP(Table12[[#This Row],[Month Year]],'Modelling New'!D:D,'Modelling New'!N:N)</f>
        <v>10.507</v>
      </c>
      <c r="J969" s="50" t="e">
        <f>'Raw Data'!#REF!/J$1</f>
        <v>#REF!</v>
      </c>
      <c r="K969" s="50" t="e">
        <f>'Raw Data'!#REF!/K$1</f>
        <v>#REF!</v>
      </c>
      <c r="L969" s="50" t="e">
        <f>'Raw Data'!#REF!/L$1</f>
        <v>#REF!</v>
      </c>
      <c r="M969" s="50" t="e">
        <f>'Raw Data'!#REF!/M$1</f>
        <v>#REF!</v>
      </c>
      <c r="N969" s="50" t="e">
        <f>'Raw Data'!#REF!/N$1</f>
        <v>#REF!</v>
      </c>
      <c r="O969" s="50" t="e">
        <f>'Raw Data'!#REF!/O$1</f>
        <v>#REF!</v>
      </c>
      <c r="P969" s="50" t="str">
        <f t="shared" si="148"/>
        <v/>
      </c>
      <c r="Q969" s="50" t="e">
        <f t="shared" si="149"/>
        <v>#REF!</v>
      </c>
    </row>
    <row r="970" spans="1:17">
      <c r="A970" s="101" t="s">
        <v>212</v>
      </c>
      <c r="B970" s="101">
        <v>5</v>
      </c>
      <c r="C970" s="101">
        <v>2024</v>
      </c>
      <c r="D970" s="101" t="s">
        <v>211</v>
      </c>
      <c r="E970" s="101" t="s">
        <v>211</v>
      </c>
      <c r="F970" s="194">
        <v>45597</v>
      </c>
      <c r="G970" s="101">
        <f t="shared" si="147"/>
        <v>30</v>
      </c>
      <c r="H970" s="103">
        <f t="shared" si="143"/>
        <v>45619</v>
      </c>
      <c r="I970" s="141">
        <f>_xlfn.XLOOKUP(Table12[[#This Row],[Month Year]],'Modelling New'!D:D,'Modelling New'!N:N)</f>
        <v>10.507</v>
      </c>
      <c r="J970" s="50" t="e">
        <f>'Raw Data'!#REF!/J$1</f>
        <v>#REF!</v>
      </c>
      <c r="K970" s="50" t="e">
        <f>'Raw Data'!#REF!/K$1</f>
        <v>#REF!</v>
      </c>
      <c r="L970" s="50" t="e">
        <f>'Raw Data'!#REF!/L$1</f>
        <v>#REF!</v>
      </c>
      <c r="M970" s="50" t="e">
        <f>'Raw Data'!#REF!/M$1</f>
        <v>#REF!</v>
      </c>
      <c r="N970" s="50" t="e">
        <f>'Raw Data'!#REF!/N$1</f>
        <v>#REF!</v>
      </c>
      <c r="O970" s="50" t="e">
        <f>'Raw Data'!#REF!/O$1</f>
        <v>#REF!</v>
      </c>
      <c r="P970" s="50" t="str">
        <f t="shared" si="148"/>
        <v/>
      </c>
      <c r="Q970" s="50" t="e">
        <f t="shared" si="149"/>
        <v>#REF!</v>
      </c>
    </row>
    <row r="971" spans="1:17">
      <c r="A971" s="101" t="s">
        <v>212</v>
      </c>
      <c r="B971" s="101">
        <v>5</v>
      </c>
      <c r="C971" s="101">
        <v>2024</v>
      </c>
      <c r="D971" s="101" t="s">
        <v>211</v>
      </c>
      <c r="E971" s="101" t="s">
        <v>211</v>
      </c>
      <c r="F971" s="194">
        <v>45597</v>
      </c>
      <c r="G971" s="101">
        <f t="shared" si="147"/>
        <v>30</v>
      </c>
      <c r="H971" s="103">
        <f t="shared" si="143"/>
        <v>45620</v>
      </c>
      <c r="I971" s="141">
        <f>_xlfn.XLOOKUP(Table12[[#This Row],[Month Year]],'Modelling New'!D:D,'Modelling New'!N:N)</f>
        <v>10.507</v>
      </c>
      <c r="J971" s="50" t="e">
        <f>'Raw Data'!#REF!/J$1</f>
        <v>#REF!</v>
      </c>
      <c r="K971" s="50" t="e">
        <f>'Raw Data'!#REF!/K$1</f>
        <v>#REF!</v>
      </c>
      <c r="L971" s="50" t="e">
        <f>'Raw Data'!#REF!/L$1</f>
        <v>#REF!</v>
      </c>
      <c r="M971" s="50" t="e">
        <f>'Raw Data'!#REF!/M$1</f>
        <v>#REF!</v>
      </c>
      <c r="N971" s="50" t="e">
        <f>'Raw Data'!#REF!/N$1</f>
        <v>#REF!</v>
      </c>
      <c r="O971" s="50" t="e">
        <f>'Raw Data'!#REF!/O$1</f>
        <v>#REF!</v>
      </c>
      <c r="P971" s="50" t="str">
        <f t="shared" si="148"/>
        <v/>
      </c>
      <c r="Q971" s="50" t="e">
        <f t="shared" si="149"/>
        <v>#REF!</v>
      </c>
    </row>
    <row r="972" spans="1:17">
      <c r="A972" s="101" t="s">
        <v>212</v>
      </c>
      <c r="B972" s="101">
        <v>5</v>
      </c>
      <c r="C972" s="101">
        <v>2024</v>
      </c>
      <c r="D972" s="101" t="s">
        <v>211</v>
      </c>
      <c r="E972" s="101" t="s">
        <v>211</v>
      </c>
      <c r="F972" s="194">
        <v>45597</v>
      </c>
      <c r="G972" s="101">
        <f t="shared" si="147"/>
        <v>30</v>
      </c>
      <c r="H972" s="103">
        <f t="shared" si="143"/>
        <v>45621</v>
      </c>
      <c r="I972" s="141">
        <f>_xlfn.XLOOKUP(Table12[[#This Row],[Month Year]],'Modelling New'!D:D,'Modelling New'!N:N)</f>
        <v>10.507</v>
      </c>
      <c r="J972" s="50" t="e">
        <f>'Raw Data'!#REF!/J$1</f>
        <v>#REF!</v>
      </c>
      <c r="K972" s="50" t="e">
        <f>'Raw Data'!#REF!/K$1</f>
        <v>#REF!</v>
      </c>
      <c r="L972" s="50" t="e">
        <f>'Raw Data'!#REF!/L$1</f>
        <v>#REF!</v>
      </c>
      <c r="M972" s="50" t="e">
        <f>'Raw Data'!#REF!/M$1</f>
        <v>#REF!</v>
      </c>
      <c r="N972" s="50" t="e">
        <f>'Raw Data'!#REF!/N$1</f>
        <v>#REF!</v>
      </c>
      <c r="O972" s="50" t="e">
        <f>'Raw Data'!#REF!/O$1</f>
        <v>#REF!</v>
      </c>
      <c r="P972" s="50" t="str">
        <f t="shared" si="148"/>
        <v/>
      </c>
      <c r="Q972" s="50" t="e">
        <f t="shared" si="149"/>
        <v>#REF!</v>
      </c>
    </row>
    <row r="973" spans="1:17">
      <c r="A973" s="101" t="s">
        <v>212</v>
      </c>
      <c r="B973" s="101">
        <v>5</v>
      </c>
      <c r="C973" s="101">
        <v>2024</v>
      </c>
      <c r="D973" s="101" t="s">
        <v>211</v>
      </c>
      <c r="E973" s="101" t="s">
        <v>211</v>
      </c>
      <c r="F973" s="194">
        <v>45597</v>
      </c>
      <c r="G973" s="101">
        <f t="shared" si="147"/>
        <v>30</v>
      </c>
      <c r="H973" s="103">
        <f t="shared" si="143"/>
        <v>45622</v>
      </c>
      <c r="I973" s="141">
        <f>_xlfn.XLOOKUP(Table12[[#This Row],[Month Year]],'Modelling New'!D:D,'Modelling New'!N:N)</f>
        <v>10.507</v>
      </c>
      <c r="J973" s="50" t="e">
        <f>'Raw Data'!#REF!/J$1</f>
        <v>#REF!</v>
      </c>
      <c r="K973" s="50" t="e">
        <f>'Raw Data'!#REF!/K$1</f>
        <v>#REF!</v>
      </c>
      <c r="L973" s="50" t="e">
        <f>'Raw Data'!#REF!/L$1</f>
        <v>#REF!</v>
      </c>
      <c r="M973" s="50" t="e">
        <f>'Raw Data'!#REF!/M$1</f>
        <v>#REF!</v>
      </c>
      <c r="N973" s="50" t="e">
        <f>'Raw Data'!#REF!/N$1</f>
        <v>#REF!</v>
      </c>
      <c r="O973" s="50" t="e">
        <f>'Raw Data'!#REF!/O$1</f>
        <v>#REF!</v>
      </c>
      <c r="P973" s="50" t="str">
        <f t="shared" si="148"/>
        <v/>
      </c>
      <c r="Q973" s="50" t="e">
        <f t="shared" si="149"/>
        <v>#REF!</v>
      </c>
    </row>
    <row r="974" spans="1:17">
      <c r="A974" s="101" t="s">
        <v>212</v>
      </c>
      <c r="B974" s="101">
        <v>5</v>
      </c>
      <c r="C974" s="101">
        <v>2024</v>
      </c>
      <c r="D974" s="101" t="s">
        <v>211</v>
      </c>
      <c r="E974" s="101" t="s">
        <v>211</v>
      </c>
      <c r="F974" s="194">
        <v>45597</v>
      </c>
      <c r="G974" s="101">
        <f t="shared" si="147"/>
        <v>30</v>
      </c>
      <c r="H974" s="103">
        <f t="shared" ref="H974:H1008" si="150">H973+1</f>
        <v>45623</v>
      </c>
      <c r="I974" s="141">
        <f>_xlfn.XLOOKUP(Table12[[#This Row],[Month Year]],'Modelling New'!D:D,'Modelling New'!N:N)</f>
        <v>10.507</v>
      </c>
      <c r="J974" s="50" t="e">
        <f>'Raw Data'!#REF!/J$1</f>
        <v>#REF!</v>
      </c>
      <c r="K974" s="50" t="e">
        <f>'Raw Data'!#REF!/K$1</f>
        <v>#REF!</v>
      </c>
      <c r="L974" s="50" t="e">
        <f>'Raw Data'!#REF!/L$1</f>
        <v>#REF!</v>
      </c>
      <c r="M974" s="50" t="e">
        <f>'Raw Data'!#REF!/M$1</f>
        <v>#REF!</v>
      </c>
      <c r="N974" s="50" t="e">
        <f>'Raw Data'!#REF!/N$1</f>
        <v>#REF!</v>
      </c>
      <c r="O974" s="50" t="e">
        <f>'Raw Data'!#REF!/O$1</f>
        <v>#REF!</v>
      </c>
      <c r="P974" s="50" t="str">
        <f t="shared" si="148"/>
        <v/>
      </c>
      <c r="Q974" s="50" t="e">
        <f t="shared" si="149"/>
        <v>#REF!</v>
      </c>
    </row>
    <row r="975" spans="1:17">
      <c r="A975" s="101" t="s">
        <v>212</v>
      </c>
      <c r="B975" s="101">
        <v>5</v>
      </c>
      <c r="C975" s="101">
        <v>2024</v>
      </c>
      <c r="D975" s="101" t="s">
        <v>211</v>
      </c>
      <c r="E975" s="101" t="s">
        <v>211</v>
      </c>
      <c r="F975" s="194">
        <v>45597</v>
      </c>
      <c r="G975" s="101">
        <f t="shared" si="147"/>
        <v>30</v>
      </c>
      <c r="H975" s="103">
        <f t="shared" si="150"/>
        <v>45624</v>
      </c>
      <c r="I975" s="141">
        <f>_xlfn.XLOOKUP(Table12[[#This Row],[Month Year]],'Modelling New'!D:D,'Modelling New'!N:N)</f>
        <v>10.507</v>
      </c>
      <c r="J975" s="50" t="e">
        <f>'Raw Data'!#REF!/J$1</f>
        <v>#REF!</v>
      </c>
      <c r="K975" s="50" t="e">
        <f>'Raw Data'!#REF!/K$1</f>
        <v>#REF!</v>
      </c>
      <c r="L975" s="50" t="e">
        <f>'Raw Data'!#REF!/L$1</f>
        <v>#REF!</v>
      </c>
      <c r="M975" s="50" t="e">
        <f>'Raw Data'!#REF!/M$1</f>
        <v>#REF!</v>
      </c>
      <c r="N975" s="50" t="e">
        <f>'Raw Data'!#REF!/N$1</f>
        <v>#REF!</v>
      </c>
      <c r="O975" s="50" t="e">
        <f>'Raw Data'!#REF!/O$1</f>
        <v>#REF!</v>
      </c>
      <c r="P975" s="50" t="str">
        <f t="shared" si="148"/>
        <v/>
      </c>
      <c r="Q975" s="50" t="e">
        <f t="shared" si="149"/>
        <v>#REF!</v>
      </c>
    </row>
    <row r="976" spans="1:17">
      <c r="A976" s="101" t="s">
        <v>212</v>
      </c>
      <c r="B976" s="101">
        <v>5</v>
      </c>
      <c r="C976" s="101">
        <v>2024</v>
      </c>
      <c r="D976" s="101" t="s">
        <v>211</v>
      </c>
      <c r="E976" s="101" t="s">
        <v>211</v>
      </c>
      <c r="F976" s="194">
        <v>45597</v>
      </c>
      <c r="G976" s="101">
        <f t="shared" si="147"/>
        <v>30</v>
      </c>
      <c r="H976" s="103">
        <f t="shared" si="150"/>
        <v>45625</v>
      </c>
      <c r="I976" s="141">
        <f>_xlfn.XLOOKUP(Table12[[#This Row],[Month Year]],'Modelling New'!D:D,'Modelling New'!N:N)</f>
        <v>10.507</v>
      </c>
      <c r="J976" s="50" t="e">
        <f>'Raw Data'!#REF!/J$1</f>
        <v>#REF!</v>
      </c>
      <c r="K976" s="50" t="e">
        <f>'Raw Data'!#REF!/K$1</f>
        <v>#REF!</v>
      </c>
      <c r="L976" s="50" t="e">
        <f>'Raw Data'!#REF!/L$1</f>
        <v>#REF!</v>
      </c>
      <c r="M976" s="50" t="e">
        <f>'Raw Data'!#REF!/M$1</f>
        <v>#REF!</v>
      </c>
      <c r="N976" s="50" t="e">
        <f>'Raw Data'!#REF!/N$1</f>
        <v>#REF!</v>
      </c>
      <c r="O976" s="50" t="e">
        <f>'Raw Data'!#REF!/O$1</f>
        <v>#REF!</v>
      </c>
      <c r="P976" s="50" t="str">
        <f t="shared" si="148"/>
        <v/>
      </c>
      <c r="Q976" s="50" t="e">
        <f t="shared" si="149"/>
        <v>#REF!</v>
      </c>
    </row>
    <row r="977" spans="1:17">
      <c r="A977" s="101" t="s">
        <v>212</v>
      </c>
      <c r="B977" s="101">
        <v>5</v>
      </c>
      <c r="C977" s="101">
        <v>2024</v>
      </c>
      <c r="D977" s="101" t="s">
        <v>211</v>
      </c>
      <c r="E977" s="101" t="s">
        <v>211</v>
      </c>
      <c r="F977" s="194">
        <v>45597</v>
      </c>
      <c r="G977" s="101">
        <f t="shared" si="147"/>
        <v>30</v>
      </c>
      <c r="H977" s="103">
        <f t="shared" si="150"/>
        <v>45626</v>
      </c>
      <c r="I977" s="141">
        <f>_xlfn.XLOOKUP(Table12[[#This Row],[Month Year]],'Modelling New'!D:D,'Modelling New'!N:N)</f>
        <v>10.507</v>
      </c>
      <c r="J977" s="50" t="e">
        <f>'Raw Data'!#REF!/J$1</f>
        <v>#REF!</v>
      </c>
      <c r="K977" s="50" t="e">
        <f>'Raw Data'!#REF!/K$1</f>
        <v>#REF!</v>
      </c>
      <c r="L977" s="50" t="e">
        <f>'Raw Data'!#REF!/L$1</f>
        <v>#REF!</v>
      </c>
      <c r="M977" s="50" t="e">
        <f>'Raw Data'!#REF!/M$1</f>
        <v>#REF!</v>
      </c>
      <c r="N977" s="50" t="e">
        <f>'Raw Data'!#REF!/N$1</f>
        <v>#REF!</v>
      </c>
      <c r="O977" s="50" t="e">
        <f>'Raw Data'!#REF!/O$1</f>
        <v>#REF!</v>
      </c>
      <c r="P977" s="50" t="str">
        <f t="shared" si="148"/>
        <v/>
      </c>
      <c r="Q977" s="50" t="e">
        <f t="shared" si="149"/>
        <v>#REF!</v>
      </c>
    </row>
    <row r="978" spans="1:17">
      <c r="A978" s="101" t="s">
        <v>212</v>
      </c>
      <c r="B978" s="101">
        <v>5</v>
      </c>
      <c r="C978" s="101">
        <v>2024</v>
      </c>
      <c r="D978" s="101" t="s">
        <v>211</v>
      </c>
      <c r="E978" s="101" t="s">
        <v>211</v>
      </c>
      <c r="F978" s="194">
        <v>45627</v>
      </c>
      <c r="G978" s="101">
        <f t="shared" si="147"/>
        <v>31</v>
      </c>
      <c r="H978" s="103">
        <f t="shared" si="150"/>
        <v>45627</v>
      </c>
      <c r="I978" s="141">
        <f>_xlfn.XLOOKUP(Table12[[#This Row],[Month Year]],'Modelling New'!D:D,'Modelling New'!N:N)</f>
        <v>10.507</v>
      </c>
      <c r="J978" s="50" t="e">
        <f>'Raw Data'!#REF!/J$1</f>
        <v>#REF!</v>
      </c>
      <c r="K978" s="50" t="e">
        <f>'Raw Data'!#REF!/K$1</f>
        <v>#REF!</v>
      </c>
      <c r="L978" s="50" t="e">
        <f>'Raw Data'!#REF!/L$1</f>
        <v>#REF!</v>
      </c>
      <c r="M978" s="50" t="e">
        <f>'Raw Data'!#REF!/M$1</f>
        <v>#REF!</v>
      </c>
      <c r="N978" s="50" t="e">
        <f>'Raw Data'!#REF!/N$1</f>
        <v>#REF!</v>
      </c>
      <c r="O978" s="50" t="e">
        <f>'Raw Data'!#REF!/O$1</f>
        <v>#REF!</v>
      </c>
      <c r="P978" s="50" t="str">
        <f t="shared" si="148"/>
        <v/>
      </c>
      <c r="Q978" s="50" t="e">
        <f t="shared" si="149"/>
        <v>#REF!</v>
      </c>
    </row>
    <row r="979" spans="1:17">
      <c r="A979" s="101" t="s">
        <v>212</v>
      </c>
      <c r="B979" s="101">
        <v>5</v>
      </c>
      <c r="C979" s="101">
        <v>2024</v>
      </c>
      <c r="D979" s="101" t="s">
        <v>211</v>
      </c>
      <c r="E979" s="101" t="s">
        <v>211</v>
      </c>
      <c r="F979" s="194">
        <v>45627</v>
      </c>
      <c r="G979" s="101">
        <f t="shared" si="147"/>
        <v>31</v>
      </c>
      <c r="H979" s="103">
        <f t="shared" si="150"/>
        <v>45628</v>
      </c>
      <c r="I979" s="141">
        <f>_xlfn.XLOOKUP(Table12[[#This Row],[Month Year]],'Modelling New'!D:D,'Modelling New'!N:N)</f>
        <v>10.507</v>
      </c>
      <c r="J979" s="50" t="e">
        <f>'Raw Data'!#REF!/J$1</f>
        <v>#REF!</v>
      </c>
      <c r="K979" s="50" t="e">
        <f>'Raw Data'!#REF!/K$1</f>
        <v>#REF!</v>
      </c>
      <c r="L979" s="50" t="e">
        <f>'Raw Data'!#REF!/L$1</f>
        <v>#REF!</v>
      </c>
      <c r="M979" s="50" t="e">
        <f>'Raw Data'!#REF!/M$1</f>
        <v>#REF!</v>
      </c>
      <c r="N979" s="50" t="e">
        <f>'Raw Data'!#REF!/N$1</f>
        <v>#REF!</v>
      </c>
      <c r="O979" s="50" t="e">
        <f>'Raw Data'!#REF!/O$1</f>
        <v>#REF!</v>
      </c>
      <c r="P979" s="50" t="str">
        <f t="shared" si="148"/>
        <v/>
      </c>
      <c r="Q979" s="50" t="e">
        <f t="shared" si="149"/>
        <v>#REF!</v>
      </c>
    </row>
    <row r="980" spans="1:17">
      <c r="A980" s="101" t="s">
        <v>212</v>
      </c>
      <c r="B980" s="101">
        <v>5</v>
      </c>
      <c r="C980" s="101">
        <v>2024</v>
      </c>
      <c r="D980" s="101" t="s">
        <v>211</v>
      </c>
      <c r="E980" s="101" t="s">
        <v>211</v>
      </c>
      <c r="F980" s="194">
        <v>45627</v>
      </c>
      <c r="G980" s="101">
        <f t="shared" si="147"/>
        <v>31</v>
      </c>
      <c r="H980" s="103">
        <f t="shared" si="150"/>
        <v>45629</v>
      </c>
      <c r="I980" s="141">
        <f>_xlfn.XLOOKUP(Table12[[#This Row],[Month Year]],'Modelling New'!D:D,'Modelling New'!N:N)</f>
        <v>10.507</v>
      </c>
      <c r="J980" s="50" t="e">
        <f>'Raw Data'!#REF!/J$1</f>
        <v>#REF!</v>
      </c>
      <c r="K980" s="50" t="e">
        <f>'Raw Data'!#REF!/K$1</f>
        <v>#REF!</v>
      </c>
      <c r="L980" s="50" t="e">
        <f>'Raw Data'!#REF!/L$1</f>
        <v>#REF!</v>
      </c>
      <c r="M980" s="50" t="e">
        <f>'Raw Data'!#REF!/M$1</f>
        <v>#REF!</v>
      </c>
      <c r="N980" s="50" t="e">
        <f>'Raw Data'!#REF!/N$1</f>
        <v>#REF!</v>
      </c>
      <c r="O980" s="50" t="e">
        <f>'Raw Data'!#REF!/O$1</f>
        <v>#REF!</v>
      </c>
      <c r="P980" s="50" t="str">
        <f t="shared" si="148"/>
        <v/>
      </c>
      <c r="Q980" s="50" t="e">
        <f t="shared" si="149"/>
        <v>#REF!</v>
      </c>
    </row>
    <row r="981" spans="1:17">
      <c r="A981" s="101" t="s">
        <v>212</v>
      </c>
      <c r="B981" s="101">
        <v>5</v>
      </c>
      <c r="C981" s="101">
        <v>2024</v>
      </c>
      <c r="D981" s="101" t="s">
        <v>211</v>
      </c>
      <c r="E981" s="101" t="s">
        <v>211</v>
      </c>
      <c r="F981" s="194">
        <v>45627</v>
      </c>
      <c r="G981" s="101">
        <f t="shared" si="147"/>
        <v>31</v>
      </c>
      <c r="H981" s="103">
        <f t="shared" si="150"/>
        <v>45630</v>
      </c>
      <c r="I981" s="141">
        <f>_xlfn.XLOOKUP(Table12[[#This Row],[Month Year]],'Modelling New'!D:D,'Modelling New'!N:N)</f>
        <v>10.507</v>
      </c>
      <c r="J981" s="50" t="e">
        <f>'Raw Data'!#REF!/J$1</f>
        <v>#REF!</v>
      </c>
      <c r="K981" s="50" t="e">
        <f>'Raw Data'!#REF!/K$1</f>
        <v>#REF!</v>
      </c>
      <c r="L981" s="50" t="e">
        <f>'Raw Data'!#REF!/L$1</f>
        <v>#REF!</v>
      </c>
      <c r="M981" s="50" t="e">
        <f>'Raw Data'!#REF!/M$1</f>
        <v>#REF!</v>
      </c>
      <c r="N981" s="50" t="e">
        <f>'Raw Data'!#REF!/N$1</f>
        <v>#REF!</v>
      </c>
      <c r="O981" s="50" t="e">
        <f>'Raw Data'!#REF!/O$1</f>
        <v>#REF!</v>
      </c>
      <c r="P981" s="50" t="str">
        <f t="shared" si="148"/>
        <v/>
      </c>
      <c r="Q981" s="50" t="e">
        <f t="shared" si="149"/>
        <v>#REF!</v>
      </c>
    </row>
    <row r="982" spans="1:17">
      <c r="A982" s="101" t="s">
        <v>212</v>
      </c>
      <c r="B982" s="101">
        <v>5</v>
      </c>
      <c r="C982" s="101">
        <v>2024</v>
      </c>
      <c r="D982" s="101" t="s">
        <v>211</v>
      </c>
      <c r="E982" s="101" t="s">
        <v>211</v>
      </c>
      <c r="F982" s="194">
        <v>45627</v>
      </c>
      <c r="G982" s="101">
        <f t="shared" si="147"/>
        <v>31</v>
      </c>
      <c r="H982" s="103">
        <f t="shared" si="150"/>
        <v>45631</v>
      </c>
      <c r="I982" s="141">
        <f>_xlfn.XLOOKUP(Table12[[#This Row],[Month Year]],'Modelling New'!D:D,'Modelling New'!N:N)</f>
        <v>10.507</v>
      </c>
      <c r="J982" s="50" t="e">
        <f>'Raw Data'!#REF!/J$1</f>
        <v>#REF!</v>
      </c>
      <c r="K982" s="50" t="e">
        <f>'Raw Data'!#REF!/K$1</f>
        <v>#REF!</v>
      </c>
      <c r="L982" s="50" t="e">
        <f>'Raw Data'!#REF!/L$1</f>
        <v>#REF!</v>
      </c>
      <c r="M982" s="50" t="e">
        <f>'Raw Data'!#REF!/M$1</f>
        <v>#REF!</v>
      </c>
      <c r="N982" s="50" t="e">
        <f>'Raw Data'!#REF!/N$1</f>
        <v>#REF!</v>
      </c>
      <c r="O982" s="50" t="e">
        <f>'Raw Data'!#REF!/O$1</f>
        <v>#REF!</v>
      </c>
      <c r="P982" s="50" t="str">
        <f t="shared" si="148"/>
        <v/>
      </c>
      <c r="Q982" s="50" t="e">
        <f t="shared" si="149"/>
        <v>#REF!</v>
      </c>
    </row>
    <row r="983" spans="1:17">
      <c r="A983" s="101" t="s">
        <v>212</v>
      </c>
      <c r="B983" s="101">
        <v>5</v>
      </c>
      <c r="C983" s="101">
        <v>2024</v>
      </c>
      <c r="D983" s="101" t="s">
        <v>211</v>
      </c>
      <c r="E983" s="101" t="s">
        <v>211</v>
      </c>
      <c r="F983" s="194">
        <v>45627</v>
      </c>
      <c r="G983" s="101">
        <f t="shared" si="147"/>
        <v>31</v>
      </c>
      <c r="H983" s="103">
        <f t="shared" si="150"/>
        <v>45632</v>
      </c>
      <c r="I983" s="141">
        <f>_xlfn.XLOOKUP(Table12[[#This Row],[Month Year]],'Modelling New'!D:D,'Modelling New'!N:N)</f>
        <v>10.507</v>
      </c>
      <c r="J983" s="50" t="e">
        <f>'Raw Data'!#REF!/J$1</f>
        <v>#REF!</v>
      </c>
      <c r="K983" s="50" t="e">
        <f>'Raw Data'!#REF!/K$1</f>
        <v>#REF!</v>
      </c>
      <c r="L983" s="50" t="e">
        <f>'Raw Data'!#REF!/L$1</f>
        <v>#REF!</v>
      </c>
      <c r="M983" s="50" t="e">
        <f>'Raw Data'!#REF!/M$1</f>
        <v>#REF!</v>
      </c>
      <c r="N983" s="50" t="e">
        <f>'Raw Data'!#REF!/N$1</f>
        <v>#REF!</v>
      </c>
      <c r="O983" s="50" t="e">
        <f>'Raw Data'!#REF!/O$1</f>
        <v>#REF!</v>
      </c>
      <c r="P983" s="50" t="str">
        <f t="shared" si="148"/>
        <v/>
      </c>
      <c r="Q983" s="50" t="e">
        <f t="shared" si="149"/>
        <v>#REF!</v>
      </c>
    </row>
    <row r="984" spans="1:17">
      <c r="A984" s="101" t="s">
        <v>212</v>
      </c>
      <c r="B984" s="101">
        <v>5</v>
      </c>
      <c r="C984" s="101">
        <v>2024</v>
      </c>
      <c r="D984" s="101" t="s">
        <v>211</v>
      </c>
      <c r="E984" s="101" t="s">
        <v>211</v>
      </c>
      <c r="F984" s="194">
        <v>45627</v>
      </c>
      <c r="G984" s="101">
        <f t="shared" ref="G984:G987" si="151">DAY(EOMONTH(F984,0))</f>
        <v>31</v>
      </c>
      <c r="H984" s="103">
        <f t="shared" si="150"/>
        <v>45633</v>
      </c>
      <c r="I984" s="141">
        <f>_xlfn.XLOOKUP(Table12[[#This Row],[Month Year]],'Modelling New'!D:D,'Modelling New'!N:N)</f>
        <v>10.507</v>
      </c>
      <c r="J984" s="50" t="e">
        <f>'Raw Data'!#REF!/J$1</f>
        <v>#REF!</v>
      </c>
      <c r="K984" s="50" t="e">
        <f>'Raw Data'!#REF!/K$1</f>
        <v>#REF!</v>
      </c>
      <c r="L984" s="50" t="e">
        <f>'Raw Data'!#REF!/L$1</f>
        <v>#REF!</v>
      </c>
      <c r="M984" s="50" t="e">
        <f>'Raw Data'!#REF!/M$1</f>
        <v>#REF!</v>
      </c>
      <c r="N984" s="50" t="e">
        <f>'Raw Data'!#REF!/N$1</f>
        <v>#REF!</v>
      </c>
      <c r="O984" s="50" t="e">
        <f>'Raw Data'!#REF!/O$1</f>
        <v>#REF!</v>
      </c>
      <c r="P984" s="50" t="str">
        <f t="shared" ref="P984:P987" si="152">IFERROR(AVERAGEIF(J984:O984,"&gt;"&amp;0,J984:O984),"")</f>
        <v/>
      </c>
      <c r="Q984" s="50" t="e">
        <f t="shared" si="149"/>
        <v>#REF!</v>
      </c>
    </row>
    <row r="985" spans="1:17">
      <c r="A985" s="101" t="s">
        <v>212</v>
      </c>
      <c r="B985" s="101">
        <v>5</v>
      </c>
      <c r="C985" s="101">
        <v>2024</v>
      </c>
      <c r="D985" s="101" t="s">
        <v>211</v>
      </c>
      <c r="E985" s="101" t="s">
        <v>211</v>
      </c>
      <c r="F985" s="194">
        <v>45627</v>
      </c>
      <c r="G985" s="101">
        <f t="shared" si="151"/>
        <v>31</v>
      </c>
      <c r="H985" s="103">
        <f t="shared" si="150"/>
        <v>45634</v>
      </c>
      <c r="I985" s="141">
        <f>_xlfn.XLOOKUP(Table12[[#This Row],[Month Year]],'Modelling New'!D:D,'Modelling New'!N:N)</f>
        <v>10.507</v>
      </c>
      <c r="J985" s="50" t="e">
        <f>'Raw Data'!#REF!/J$1</f>
        <v>#REF!</v>
      </c>
      <c r="K985" s="50" t="e">
        <f>'Raw Data'!#REF!/K$1</f>
        <v>#REF!</v>
      </c>
      <c r="L985" s="50" t="e">
        <f>'Raw Data'!#REF!/L$1</f>
        <v>#REF!</v>
      </c>
      <c r="M985" s="50" t="e">
        <f>'Raw Data'!#REF!/M$1</f>
        <v>#REF!</v>
      </c>
      <c r="N985" s="50" t="e">
        <f>'Raw Data'!#REF!/N$1</f>
        <v>#REF!</v>
      </c>
      <c r="O985" s="50" t="e">
        <f>'Raw Data'!#REF!/O$1</f>
        <v>#REF!</v>
      </c>
      <c r="P985" s="50" t="str">
        <f t="shared" si="152"/>
        <v/>
      </c>
      <c r="Q985" s="50" t="e">
        <f t="shared" si="149"/>
        <v>#REF!</v>
      </c>
    </row>
    <row r="986" spans="1:17">
      <c r="A986" s="101" t="s">
        <v>212</v>
      </c>
      <c r="B986" s="101">
        <v>5</v>
      </c>
      <c r="C986" s="101">
        <v>2024</v>
      </c>
      <c r="D986" s="101" t="s">
        <v>211</v>
      </c>
      <c r="E986" s="101" t="s">
        <v>211</v>
      </c>
      <c r="F986" s="194">
        <v>45627</v>
      </c>
      <c r="G986" s="101">
        <f t="shared" si="151"/>
        <v>31</v>
      </c>
      <c r="H986" s="103">
        <f t="shared" si="150"/>
        <v>45635</v>
      </c>
      <c r="I986" s="141">
        <f>_xlfn.XLOOKUP(Table12[[#This Row],[Month Year]],'Modelling New'!D:D,'Modelling New'!N:N)</f>
        <v>10.507</v>
      </c>
      <c r="J986" s="50" t="e">
        <f>'Raw Data'!#REF!/J$1</f>
        <v>#REF!</v>
      </c>
      <c r="K986" s="50" t="e">
        <f>'Raw Data'!#REF!/K$1</f>
        <v>#REF!</v>
      </c>
      <c r="L986" s="50" t="e">
        <f>'Raw Data'!#REF!/L$1</f>
        <v>#REF!</v>
      </c>
      <c r="M986" s="50" t="e">
        <f>'Raw Data'!#REF!/M$1</f>
        <v>#REF!</v>
      </c>
      <c r="N986" s="50" t="e">
        <f>'Raw Data'!#REF!/N$1</f>
        <v>#REF!</v>
      </c>
      <c r="O986" s="50" t="e">
        <f>'Raw Data'!#REF!/O$1</f>
        <v>#REF!</v>
      </c>
      <c r="P986" s="50" t="str">
        <f t="shared" si="152"/>
        <v/>
      </c>
      <c r="Q986" s="50" t="e">
        <f t="shared" si="149"/>
        <v>#REF!</v>
      </c>
    </row>
    <row r="987" spans="1:17">
      <c r="A987" s="101" t="s">
        <v>212</v>
      </c>
      <c r="B987" s="101">
        <v>5</v>
      </c>
      <c r="C987" s="101">
        <v>2024</v>
      </c>
      <c r="D987" s="101" t="s">
        <v>211</v>
      </c>
      <c r="E987" s="101" t="s">
        <v>211</v>
      </c>
      <c r="F987" s="194">
        <v>45627</v>
      </c>
      <c r="G987" s="101">
        <f t="shared" si="151"/>
        <v>31</v>
      </c>
      <c r="H987" s="103">
        <f t="shared" si="150"/>
        <v>45636</v>
      </c>
      <c r="I987" s="141">
        <f>_xlfn.XLOOKUP(Table12[[#This Row],[Month Year]],'Modelling New'!D:D,'Modelling New'!N:N)</f>
        <v>10.507</v>
      </c>
      <c r="J987" s="50" t="e">
        <f>'Raw Data'!#REF!/J$1</f>
        <v>#REF!</v>
      </c>
      <c r="K987" s="50" t="e">
        <f>'Raw Data'!#REF!/K$1</f>
        <v>#REF!</v>
      </c>
      <c r="L987" s="50" t="e">
        <f>'Raw Data'!#REF!/L$1</f>
        <v>#REF!</v>
      </c>
      <c r="M987" s="50" t="e">
        <f>'Raw Data'!#REF!/M$1</f>
        <v>#REF!</v>
      </c>
      <c r="N987" s="50" t="e">
        <f>'Raw Data'!#REF!/N$1</f>
        <v>#REF!</v>
      </c>
      <c r="O987" s="50" t="e">
        <f>'Raw Data'!#REF!/O$1</f>
        <v>#REF!</v>
      </c>
      <c r="P987" s="50" t="str">
        <f t="shared" si="152"/>
        <v/>
      </c>
      <c r="Q987" s="50" t="e">
        <f t="shared" si="149"/>
        <v>#REF!</v>
      </c>
    </row>
    <row r="988" spans="1:17">
      <c r="A988" s="101" t="s">
        <v>212</v>
      </c>
      <c r="B988" s="101">
        <v>5</v>
      </c>
      <c r="C988" s="101">
        <v>2024</v>
      </c>
      <c r="D988" s="101" t="s">
        <v>211</v>
      </c>
      <c r="E988" s="101" t="s">
        <v>211</v>
      </c>
      <c r="F988" s="194">
        <v>45627</v>
      </c>
      <c r="G988" s="101">
        <f t="shared" ref="G988:G1003" si="153">DAY(EOMONTH(F988,0))</f>
        <v>31</v>
      </c>
      <c r="H988" s="103">
        <f t="shared" si="150"/>
        <v>45637</v>
      </c>
      <c r="I988" s="141">
        <f>_xlfn.XLOOKUP(Table12[[#This Row],[Month Year]],'Modelling New'!D:D,'Modelling New'!N:N)</f>
        <v>10.507</v>
      </c>
      <c r="J988" s="50" t="e">
        <f>'Raw Data'!#REF!/J$1</f>
        <v>#REF!</v>
      </c>
      <c r="K988" s="50" t="e">
        <f>'Raw Data'!#REF!/K$1</f>
        <v>#REF!</v>
      </c>
      <c r="L988" s="50" t="e">
        <f>'Raw Data'!#REF!/L$1</f>
        <v>#REF!</v>
      </c>
      <c r="M988" s="50" t="e">
        <f>'Raw Data'!#REF!/M$1</f>
        <v>#REF!</v>
      </c>
      <c r="N988" s="50" t="e">
        <f>'Raw Data'!#REF!/N$1</f>
        <v>#REF!</v>
      </c>
      <c r="O988" s="50" t="e">
        <f>'Raw Data'!#REF!/O$1</f>
        <v>#REF!</v>
      </c>
      <c r="P988" s="50" t="str">
        <f t="shared" ref="P988:P999" si="154">IFERROR(AVERAGEIF(J988:O988,"&gt;"&amp;0,J988:O988),"")</f>
        <v/>
      </c>
      <c r="Q988" s="50" t="e">
        <f t="shared" ref="Q988:Q999" si="155">MAXA(J988:O988)</f>
        <v>#REF!</v>
      </c>
    </row>
    <row r="989" spans="1:17">
      <c r="A989" s="101" t="s">
        <v>212</v>
      </c>
      <c r="B989" s="101">
        <v>5</v>
      </c>
      <c r="C989" s="101">
        <v>2024</v>
      </c>
      <c r="D989" s="101" t="s">
        <v>211</v>
      </c>
      <c r="E989" s="101" t="s">
        <v>211</v>
      </c>
      <c r="F989" s="194">
        <v>45627</v>
      </c>
      <c r="G989" s="101">
        <f t="shared" si="153"/>
        <v>31</v>
      </c>
      <c r="H989" s="103">
        <f t="shared" si="150"/>
        <v>45638</v>
      </c>
      <c r="I989" s="141">
        <f>_xlfn.XLOOKUP(Table12[[#This Row],[Month Year]],'Modelling New'!D:D,'Modelling New'!N:N)</f>
        <v>10.507</v>
      </c>
      <c r="J989" s="50" t="e">
        <f>'Raw Data'!#REF!/J$1</f>
        <v>#REF!</v>
      </c>
      <c r="K989" s="50" t="e">
        <f>'Raw Data'!#REF!/K$1</f>
        <v>#REF!</v>
      </c>
      <c r="L989" s="50" t="e">
        <f>'Raw Data'!#REF!/L$1</f>
        <v>#REF!</v>
      </c>
      <c r="M989" s="50" t="e">
        <f>'Raw Data'!#REF!/M$1</f>
        <v>#REF!</v>
      </c>
      <c r="N989" s="50" t="e">
        <f>'Raw Data'!#REF!/N$1</f>
        <v>#REF!</v>
      </c>
      <c r="O989" s="50" t="e">
        <f>'Raw Data'!#REF!/O$1</f>
        <v>#REF!</v>
      </c>
      <c r="P989" s="50" t="str">
        <f t="shared" si="154"/>
        <v/>
      </c>
      <c r="Q989" s="50" t="e">
        <f t="shared" si="155"/>
        <v>#REF!</v>
      </c>
    </row>
    <row r="990" spans="1:17">
      <c r="A990" s="101" t="s">
        <v>212</v>
      </c>
      <c r="B990" s="101">
        <v>5</v>
      </c>
      <c r="C990" s="101">
        <v>2024</v>
      </c>
      <c r="D990" s="101" t="s">
        <v>211</v>
      </c>
      <c r="E990" s="101" t="s">
        <v>211</v>
      </c>
      <c r="F990" s="194">
        <v>45627</v>
      </c>
      <c r="G990" s="101">
        <f t="shared" si="153"/>
        <v>31</v>
      </c>
      <c r="H990" s="103">
        <f t="shared" si="150"/>
        <v>45639</v>
      </c>
      <c r="I990" s="141">
        <f>_xlfn.XLOOKUP(Table12[[#This Row],[Month Year]],'Modelling New'!D:D,'Modelling New'!N:N)</f>
        <v>10.507</v>
      </c>
      <c r="J990" s="50" t="e">
        <f>'Raw Data'!#REF!/J$1</f>
        <v>#REF!</v>
      </c>
      <c r="K990" s="50" t="e">
        <f>'Raw Data'!#REF!/K$1</f>
        <v>#REF!</v>
      </c>
      <c r="L990" s="50" t="e">
        <f>'Raw Data'!#REF!/L$1</f>
        <v>#REF!</v>
      </c>
      <c r="M990" s="50" t="e">
        <f>'Raw Data'!#REF!/M$1</f>
        <v>#REF!</v>
      </c>
      <c r="N990" s="50" t="e">
        <f>'Raw Data'!#REF!/N$1</f>
        <v>#REF!</v>
      </c>
      <c r="O990" s="50" t="e">
        <f>'Raw Data'!#REF!/O$1</f>
        <v>#REF!</v>
      </c>
      <c r="P990" s="50" t="str">
        <f t="shared" si="154"/>
        <v/>
      </c>
      <c r="Q990" s="50" t="e">
        <f t="shared" si="155"/>
        <v>#REF!</v>
      </c>
    </row>
    <row r="991" spans="1:17">
      <c r="A991" s="101" t="s">
        <v>212</v>
      </c>
      <c r="B991" s="101">
        <v>5</v>
      </c>
      <c r="C991" s="101">
        <v>2024</v>
      </c>
      <c r="D991" s="101" t="s">
        <v>211</v>
      </c>
      <c r="E991" s="101" t="s">
        <v>211</v>
      </c>
      <c r="F991" s="194">
        <v>45627</v>
      </c>
      <c r="G991" s="101">
        <f t="shared" si="153"/>
        <v>31</v>
      </c>
      <c r="H991" s="103">
        <f t="shared" si="150"/>
        <v>45640</v>
      </c>
      <c r="I991" s="141">
        <f>_xlfn.XLOOKUP(Table12[[#This Row],[Month Year]],'Modelling New'!D:D,'Modelling New'!N:N)</f>
        <v>10.507</v>
      </c>
      <c r="J991" s="50" t="e">
        <f>'Raw Data'!#REF!/J$1</f>
        <v>#REF!</v>
      </c>
      <c r="K991" s="50" t="e">
        <f>'Raw Data'!#REF!/K$1</f>
        <v>#REF!</v>
      </c>
      <c r="L991" s="50" t="e">
        <f>'Raw Data'!#REF!/L$1</f>
        <v>#REF!</v>
      </c>
      <c r="M991" s="50" t="e">
        <f>'Raw Data'!#REF!/M$1</f>
        <v>#REF!</v>
      </c>
      <c r="N991" s="50" t="e">
        <f>'Raw Data'!#REF!/N$1</f>
        <v>#REF!</v>
      </c>
      <c r="O991" s="50" t="e">
        <f>'Raw Data'!#REF!/O$1</f>
        <v>#REF!</v>
      </c>
      <c r="P991" s="50" t="str">
        <f t="shared" si="154"/>
        <v/>
      </c>
      <c r="Q991" s="50" t="e">
        <f t="shared" si="155"/>
        <v>#REF!</v>
      </c>
    </row>
    <row r="992" spans="1:17">
      <c r="A992" s="101" t="s">
        <v>212</v>
      </c>
      <c r="B992" s="101">
        <v>5</v>
      </c>
      <c r="C992" s="101">
        <v>2024</v>
      </c>
      <c r="D992" s="101" t="s">
        <v>211</v>
      </c>
      <c r="E992" s="101" t="s">
        <v>211</v>
      </c>
      <c r="F992" s="194">
        <v>45627</v>
      </c>
      <c r="G992" s="101">
        <f t="shared" si="153"/>
        <v>31</v>
      </c>
      <c r="H992" s="103">
        <f t="shared" si="150"/>
        <v>45641</v>
      </c>
      <c r="I992" s="141">
        <f>_xlfn.XLOOKUP(Table12[[#This Row],[Month Year]],'Modelling New'!D:D,'Modelling New'!N:N)</f>
        <v>10.507</v>
      </c>
      <c r="J992" s="50" t="e">
        <f>'Raw Data'!#REF!/J$1</f>
        <v>#REF!</v>
      </c>
      <c r="K992" s="50" t="e">
        <f>'Raw Data'!#REF!/K$1</f>
        <v>#REF!</v>
      </c>
      <c r="L992" s="50" t="e">
        <f>'Raw Data'!#REF!/L$1</f>
        <v>#REF!</v>
      </c>
      <c r="M992" s="50" t="e">
        <f>'Raw Data'!#REF!/M$1</f>
        <v>#REF!</v>
      </c>
      <c r="N992" s="50" t="e">
        <f>'Raw Data'!#REF!/N$1</f>
        <v>#REF!</v>
      </c>
      <c r="O992" s="50" t="e">
        <f>'Raw Data'!#REF!/O$1</f>
        <v>#REF!</v>
      </c>
      <c r="P992" s="50" t="str">
        <f t="shared" si="154"/>
        <v/>
      </c>
      <c r="Q992" s="50" t="e">
        <f t="shared" si="155"/>
        <v>#REF!</v>
      </c>
    </row>
    <row r="993" spans="1:17">
      <c r="A993" s="101" t="s">
        <v>212</v>
      </c>
      <c r="B993" s="101">
        <v>5</v>
      </c>
      <c r="C993" s="101">
        <v>2024</v>
      </c>
      <c r="D993" s="101" t="s">
        <v>211</v>
      </c>
      <c r="E993" s="101" t="s">
        <v>211</v>
      </c>
      <c r="F993" s="194">
        <v>45627</v>
      </c>
      <c r="G993" s="101">
        <f t="shared" si="153"/>
        <v>31</v>
      </c>
      <c r="H993" s="103">
        <f t="shared" si="150"/>
        <v>45642</v>
      </c>
      <c r="I993" s="141">
        <f>_xlfn.XLOOKUP(Table12[[#This Row],[Month Year]],'Modelling New'!D:D,'Modelling New'!N:N)</f>
        <v>10.507</v>
      </c>
      <c r="J993" s="50" t="e">
        <f>'Raw Data'!#REF!/J$1</f>
        <v>#REF!</v>
      </c>
      <c r="K993" s="50" t="e">
        <f>'Raw Data'!#REF!/K$1</f>
        <v>#REF!</v>
      </c>
      <c r="L993" s="50" t="e">
        <f>'Raw Data'!#REF!/L$1</f>
        <v>#REF!</v>
      </c>
      <c r="M993" s="50" t="e">
        <f>'Raw Data'!#REF!/M$1</f>
        <v>#REF!</v>
      </c>
      <c r="N993" s="50" t="e">
        <f>'Raw Data'!#REF!/N$1</f>
        <v>#REF!</v>
      </c>
      <c r="O993" s="50" t="e">
        <f>'Raw Data'!#REF!/O$1</f>
        <v>#REF!</v>
      </c>
      <c r="P993" s="50" t="str">
        <f t="shared" si="154"/>
        <v/>
      </c>
      <c r="Q993" s="50" t="e">
        <f t="shared" si="155"/>
        <v>#REF!</v>
      </c>
    </row>
    <row r="994" spans="1:17">
      <c r="A994" s="101" t="s">
        <v>212</v>
      </c>
      <c r="B994" s="101">
        <v>5</v>
      </c>
      <c r="C994" s="101">
        <v>2024</v>
      </c>
      <c r="D994" s="101" t="s">
        <v>211</v>
      </c>
      <c r="E994" s="101" t="s">
        <v>211</v>
      </c>
      <c r="F994" s="194">
        <v>45627</v>
      </c>
      <c r="G994" s="101">
        <f t="shared" si="153"/>
        <v>31</v>
      </c>
      <c r="H994" s="103">
        <f t="shared" si="150"/>
        <v>45643</v>
      </c>
      <c r="I994" s="141">
        <f>_xlfn.XLOOKUP(Table12[[#This Row],[Month Year]],'Modelling New'!D:D,'Modelling New'!N:N)</f>
        <v>10.507</v>
      </c>
      <c r="J994" s="50" t="e">
        <f>'Raw Data'!#REF!/J$1</f>
        <v>#REF!</v>
      </c>
      <c r="K994" s="50" t="e">
        <f>'Raw Data'!#REF!/K$1</f>
        <v>#REF!</v>
      </c>
      <c r="L994" s="50" t="e">
        <f>'Raw Data'!#REF!/L$1</f>
        <v>#REF!</v>
      </c>
      <c r="M994" s="50" t="e">
        <f>'Raw Data'!#REF!/M$1</f>
        <v>#REF!</v>
      </c>
      <c r="N994" s="50" t="e">
        <f>'Raw Data'!#REF!/N$1</f>
        <v>#REF!</v>
      </c>
      <c r="O994" s="50" t="e">
        <f>'Raw Data'!#REF!/O$1</f>
        <v>#REF!</v>
      </c>
      <c r="P994" s="50" t="str">
        <f t="shared" si="154"/>
        <v/>
      </c>
      <c r="Q994" s="50" t="e">
        <f t="shared" si="155"/>
        <v>#REF!</v>
      </c>
    </row>
    <row r="995" spans="1:17">
      <c r="A995" s="101" t="s">
        <v>212</v>
      </c>
      <c r="B995" s="101">
        <v>5</v>
      </c>
      <c r="C995" s="101">
        <v>2024</v>
      </c>
      <c r="D995" s="101" t="s">
        <v>211</v>
      </c>
      <c r="E995" s="101" t="s">
        <v>211</v>
      </c>
      <c r="F995" s="194">
        <v>45627</v>
      </c>
      <c r="G995" s="101">
        <f t="shared" si="153"/>
        <v>31</v>
      </c>
      <c r="H995" s="103">
        <f t="shared" si="150"/>
        <v>45644</v>
      </c>
      <c r="I995" s="141">
        <f>_xlfn.XLOOKUP(Table12[[#This Row],[Month Year]],'Modelling New'!D:D,'Modelling New'!N:N)</f>
        <v>10.507</v>
      </c>
      <c r="J995" s="50" t="e">
        <f>'Raw Data'!#REF!/J$1</f>
        <v>#REF!</v>
      </c>
      <c r="K995" s="50" t="e">
        <f>'Raw Data'!#REF!/K$1</f>
        <v>#REF!</v>
      </c>
      <c r="L995" s="50" t="e">
        <f>'Raw Data'!#REF!/L$1</f>
        <v>#REF!</v>
      </c>
      <c r="M995" s="50" t="e">
        <f>'Raw Data'!#REF!/M$1</f>
        <v>#REF!</v>
      </c>
      <c r="N995" s="50" t="e">
        <f>'Raw Data'!#REF!/N$1</f>
        <v>#REF!</v>
      </c>
      <c r="O995" s="50" t="e">
        <f>'Raw Data'!#REF!/O$1</f>
        <v>#REF!</v>
      </c>
      <c r="P995" s="50" t="str">
        <f t="shared" si="154"/>
        <v/>
      </c>
      <c r="Q995" s="50" t="e">
        <f t="shared" si="155"/>
        <v>#REF!</v>
      </c>
    </row>
    <row r="996" spans="1:17">
      <c r="A996" s="101" t="s">
        <v>212</v>
      </c>
      <c r="B996" s="101">
        <v>5</v>
      </c>
      <c r="C996" s="101">
        <v>2024</v>
      </c>
      <c r="D996" s="101" t="s">
        <v>211</v>
      </c>
      <c r="E996" s="101" t="s">
        <v>211</v>
      </c>
      <c r="F996" s="194">
        <v>45627</v>
      </c>
      <c r="G996" s="101">
        <f t="shared" si="153"/>
        <v>31</v>
      </c>
      <c r="H996" s="103">
        <f t="shared" si="150"/>
        <v>45645</v>
      </c>
      <c r="I996" s="141">
        <f>_xlfn.XLOOKUP(Table12[[#This Row],[Month Year]],'Modelling New'!D:D,'Modelling New'!N:N)</f>
        <v>10.507</v>
      </c>
      <c r="J996" s="50" t="e">
        <f>'Raw Data'!#REF!/J$1</f>
        <v>#REF!</v>
      </c>
      <c r="K996" s="50" t="e">
        <f>'Raw Data'!#REF!/K$1</f>
        <v>#REF!</v>
      </c>
      <c r="L996" s="50" t="e">
        <f>'Raw Data'!#REF!/L$1</f>
        <v>#REF!</v>
      </c>
      <c r="M996" s="50" t="e">
        <f>'Raw Data'!#REF!/M$1</f>
        <v>#REF!</v>
      </c>
      <c r="N996" s="50" t="e">
        <f>'Raw Data'!#REF!/N$1</f>
        <v>#REF!</v>
      </c>
      <c r="O996" s="50" t="e">
        <f>'Raw Data'!#REF!/O$1</f>
        <v>#REF!</v>
      </c>
      <c r="P996" s="50" t="str">
        <f t="shared" si="154"/>
        <v/>
      </c>
      <c r="Q996" s="50" t="e">
        <f t="shared" si="155"/>
        <v>#REF!</v>
      </c>
    </row>
    <row r="997" spans="1:17">
      <c r="A997" s="101" t="s">
        <v>212</v>
      </c>
      <c r="B997" s="101">
        <v>5</v>
      </c>
      <c r="C997" s="101">
        <v>2024</v>
      </c>
      <c r="D997" s="101" t="s">
        <v>211</v>
      </c>
      <c r="E997" s="101" t="s">
        <v>211</v>
      </c>
      <c r="F997" s="194">
        <v>45627</v>
      </c>
      <c r="G997" s="101">
        <f t="shared" si="153"/>
        <v>31</v>
      </c>
      <c r="H997" s="103">
        <f t="shared" si="150"/>
        <v>45646</v>
      </c>
      <c r="I997" s="141">
        <f>_xlfn.XLOOKUP(Table12[[#This Row],[Month Year]],'Modelling New'!D:D,'Modelling New'!N:N)</f>
        <v>10.507</v>
      </c>
      <c r="J997" s="50" t="e">
        <f>'Raw Data'!#REF!/J$1</f>
        <v>#REF!</v>
      </c>
      <c r="K997" s="50" t="e">
        <f>'Raw Data'!#REF!/K$1</f>
        <v>#REF!</v>
      </c>
      <c r="L997" s="50" t="e">
        <f>'Raw Data'!#REF!/L$1</f>
        <v>#REF!</v>
      </c>
      <c r="M997" s="50" t="e">
        <f>'Raw Data'!#REF!/M$1</f>
        <v>#REF!</v>
      </c>
      <c r="N997" s="50" t="e">
        <f>'Raw Data'!#REF!/N$1</f>
        <v>#REF!</v>
      </c>
      <c r="O997" s="50" t="e">
        <f>'Raw Data'!#REF!/O$1</f>
        <v>#REF!</v>
      </c>
      <c r="P997" s="50" t="str">
        <f t="shared" si="154"/>
        <v/>
      </c>
      <c r="Q997" s="50" t="e">
        <f t="shared" si="155"/>
        <v>#REF!</v>
      </c>
    </row>
    <row r="998" spans="1:17">
      <c r="A998" s="101" t="s">
        <v>212</v>
      </c>
      <c r="B998" s="101">
        <v>5</v>
      </c>
      <c r="C998" s="101">
        <v>2024</v>
      </c>
      <c r="D998" s="101" t="s">
        <v>211</v>
      </c>
      <c r="E998" s="101" t="s">
        <v>211</v>
      </c>
      <c r="F998" s="194">
        <v>45627</v>
      </c>
      <c r="G998" s="101">
        <f t="shared" si="153"/>
        <v>31</v>
      </c>
      <c r="H998" s="103">
        <f t="shared" si="150"/>
        <v>45647</v>
      </c>
      <c r="I998" s="141">
        <f>_xlfn.XLOOKUP(Table12[[#This Row],[Month Year]],'Modelling New'!D:D,'Modelling New'!N:N)</f>
        <v>10.507</v>
      </c>
      <c r="J998" s="50" t="e">
        <f>'Raw Data'!#REF!/J$1</f>
        <v>#REF!</v>
      </c>
      <c r="K998" s="50" t="e">
        <f>'Raw Data'!#REF!/K$1</f>
        <v>#REF!</v>
      </c>
      <c r="L998" s="50" t="e">
        <f>'Raw Data'!#REF!/L$1</f>
        <v>#REF!</v>
      </c>
      <c r="M998" s="50" t="e">
        <f>'Raw Data'!#REF!/M$1</f>
        <v>#REF!</v>
      </c>
      <c r="N998" s="50" t="e">
        <f>'Raw Data'!#REF!/N$1</f>
        <v>#REF!</v>
      </c>
      <c r="O998" s="50" t="e">
        <f>'Raw Data'!#REF!/O$1</f>
        <v>#REF!</v>
      </c>
      <c r="P998" s="50" t="str">
        <f t="shared" si="154"/>
        <v/>
      </c>
      <c r="Q998" s="50" t="e">
        <f t="shared" si="155"/>
        <v>#REF!</v>
      </c>
    </row>
    <row r="999" spans="1:17">
      <c r="A999" s="101" t="s">
        <v>212</v>
      </c>
      <c r="B999" s="101">
        <v>5</v>
      </c>
      <c r="C999" s="101">
        <v>2024</v>
      </c>
      <c r="D999" s="101" t="s">
        <v>211</v>
      </c>
      <c r="E999" s="101" t="s">
        <v>211</v>
      </c>
      <c r="F999" s="194">
        <v>45627</v>
      </c>
      <c r="G999" s="101">
        <f t="shared" si="153"/>
        <v>31</v>
      </c>
      <c r="H999" s="103">
        <f t="shared" si="150"/>
        <v>45648</v>
      </c>
      <c r="I999" s="141">
        <f>_xlfn.XLOOKUP(Table12[[#This Row],[Month Year]],'Modelling New'!D:D,'Modelling New'!N:N)</f>
        <v>10.507</v>
      </c>
      <c r="J999" s="50" t="e">
        <f>'Raw Data'!#REF!/J$1</f>
        <v>#REF!</v>
      </c>
      <c r="K999" s="50" t="e">
        <f>'Raw Data'!#REF!/K$1</f>
        <v>#REF!</v>
      </c>
      <c r="L999" s="50" t="e">
        <f>'Raw Data'!#REF!/L$1</f>
        <v>#REF!</v>
      </c>
      <c r="M999" s="50" t="e">
        <f>'Raw Data'!#REF!/M$1</f>
        <v>#REF!</v>
      </c>
      <c r="N999" s="50" t="e">
        <f>'Raw Data'!#REF!/N$1</f>
        <v>#REF!</v>
      </c>
      <c r="O999" s="50" t="e">
        <f>'Raw Data'!#REF!/O$1</f>
        <v>#REF!</v>
      </c>
      <c r="P999" s="50" t="str">
        <f t="shared" si="154"/>
        <v/>
      </c>
      <c r="Q999" s="50" t="e">
        <f t="shared" si="155"/>
        <v>#REF!</v>
      </c>
    </row>
    <row r="1000" spans="1:17">
      <c r="A1000" s="101" t="s">
        <v>212</v>
      </c>
      <c r="B1000" s="101">
        <v>5</v>
      </c>
      <c r="C1000" s="101">
        <v>2024</v>
      </c>
      <c r="D1000" s="101" t="s">
        <v>211</v>
      </c>
      <c r="E1000" s="101" t="s">
        <v>211</v>
      </c>
      <c r="F1000" s="194">
        <v>45627</v>
      </c>
      <c r="G1000" s="101">
        <f t="shared" si="153"/>
        <v>31</v>
      </c>
      <c r="H1000" s="103">
        <f t="shared" si="150"/>
        <v>45649</v>
      </c>
      <c r="I1000" s="141">
        <f>_xlfn.XLOOKUP(Table12[[#This Row],[Month Year]],'Modelling New'!D:D,'Modelling New'!N:N)</f>
        <v>10.507</v>
      </c>
      <c r="J1000" s="50" t="e">
        <f>'Raw Data'!#REF!/J$1</f>
        <v>#REF!</v>
      </c>
      <c r="K1000" s="50" t="e">
        <f>'Raw Data'!#REF!/K$1</f>
        <v>#REF!</v>
      </c>
      <c r="L1000" s="50" t="e">
        <f>'Raw Data'!#REF!/L$1</f>
        <v>#REF!</v>
      </c>
      <c r="M1000" s="50" t="e">
        <f>'Raw Data'!#REF!/M$1</f>
        <v>#REF!</v>
      </c>
      <c r="N1000" s="50" t="e">
        <f>'Raw Data'!#REF!/N$1</f>
        <v>#REF!</v>
      </c>
      <c r="O1000" s="50" t="e">
        <f>'Raw Data'!#REF!/O$1</f>
        <v>#REF!</v>
      </c>
      <c r="P1000" s="50" t="str">
        <f t="shared" ref="P1000:P1002" si="156">IFERROR(AVERAGEIF(J1000:O1000,"&gt;"&amp;0,J1000:O1000),"")</f>
        <v/>
      </c>
      <c r="Q1000" s="50" t="e">
        <f t="shared" ref="Q1000:Q1002" si="157">MAXA(J1000:O1000)</f>
        <v>#REF!</v>
      </c>
    </row>
    <row r="1001" spans="1:17">
      <c r="A1001" s="101" t="s">
        <v>212</v>
      </c>
      <c r="B1001" s="101">
        <v>5</v>
      </c>
      <c r="C1001" s="101">
        <v>2024</v>
      </c>
      <c r="D1001" s="101" t="s">
        <v>211</v>
      </c>
      <c r="E1001" s="101" t="s">
        <v>211</v>
      </c>
      <c r="F1001" s="194">
        <v>45627</v>
      </c>
      <c r="G1001" s="101">
        <f t="shared" si="153"/>
        <v>31</v>
      </c>
      <c r="H1001" s="103">
        <f t="shared" si="150"/>
        <v>45650</v>
      </c>
      <c r="I1001" s="141">
        <f>_xlfn.XLOOKUP(Table12[[#This Row],[Month Year]],'Modelling New'!D:D,'Modelling New'!N:N)</f>
        <v>10.507</v>
      </c>
      <c r="J1001" s="50" t="e">
        <f>'Raw Data'!#REF!/J$1</f>
        <v>#REF!</v>
      </c>
      <c r="K1001" s="50" t="e">
        <f>'Raw Data'!#REF!/K$1</f>
        <v>#REF!</v>
      </c>
      <c r="L1001" s="50" t="e">
        <f>'Raw Data'!#REF!/L$1</f>
        <v>#REF!</v>
      </c>
      <c r="M1001" s="50" t="e">
        <f>'Raw Data'!#REF!/M$1</f>
        <v>#REF!</v>
      </c>
      <c r="N1001" s="50" t="e">
        <f>'Raw Data'!#REF!/N$1</f>
        <v>#REF!</v>
      </c>
      <c r="O1001" s="50" t="e">
        <f>'Raw Data'!#REF!/O$1</f>
        <v>#REF!</v>
      </c>
      <c r="P1001" s="50" t="str">
        <f t="shared" si="156"/>
        <v/>
      </c>
      <c r="Q1001" s="50" t="e">
        <f t="shared" si="157"/>
        <v>#REF!</v>
      </c>
    </row>
    <row r="1002" spans="1:17">
      <c r="A1002" s="101" t="s">
        <v>212</v>
      </c>
      <c r="B1002" s="101">
        <v>5</v>
      </c>
      <c r="C1002" s="101">
        <v>2024</v>
      </c>
      <c r="D1002" s="101" t="s">
        <v>211</v>
      </c>
      <c r="E1002" s="101" t="s">
        <v>211</v>
      </c>
      <c r="F1002" s="194">
        <v>45627</v>
      </c>
      <c r="G1002" s="101">
        <f t="shared" si="153"/>
        <v>31</v>
      </c>
      <c r="H1002" s="103">
        <f t="shared" si="150"/>
        <v>45651</v>
      </c>
      <c r="I1002" s="141">
        <f>_xlfn.XLOOKUP(Table12[[#This Row],[Month Year]],'Modelling New'!D:D,'Modelling New'!N:N)</f>
        <v>10.507</v>
      </c>
      <c r="J1002" s="50" t="e">
        <f>'Raw Data'!#REF!/J$1</f>
        <v>#REF!</v>
      </c>
      <c r="K1002" s="50" t="e">
        <f>'Raw Data'!#REF!/K$1</f>
        <v>#REF!</v>
      </c>
      <c r="L1002" s="50" t="e">
        <f>'Raw Data'!#REF!/L$1</f>
        <v>#REF!</v>
      </c>
      <c r="M1002" s="50" t="e">
        <f>'Raw Data'!#REF!/M$1</f>
        <v>#REF!</v>
      </c>
      <c r="N1002" s="50" t="e">
        <f>'Raw Data'!#REF!/N$1</f>
        <v>#REF!</v>
      </c>
      <c r="O1002" s="50" t="e">
        <f>'Raw Data'!#REF!/O$1</f>
        <v>#REF!</v>
      </c>
      <c r="P1002" s="50" t="str">
        <f t="shared" si="156"/>
        <v/>
      </c>
      <c r="Q1002" s="50" t="e">
        <f t="shared" si="157"/>
        <v>#REF!</v>
      </c>
    </row>
    <row r="1003" spans="1:17">
      <c r="A1003" s="101" t="s">
        <v>212</v>
      </c>
      <c r="B1003" s="101">
        <v>5</v>
      </c>
      <c r="C1003" s="101">
        <v>2024</v>
      </c>
      <c r="D1003" s="101" t="s">
        <v>211</v>
      </c>
      <c r="E1003" s="101" t="s">
        <v>211</v>
      </c>
      <c r="F1003" s="194">
        <v>45627</v>
      </c>
      <c r="G1003" s="101">
        <f t="shared" si="153"/>
        <v>31</v>
      </c>
      <c r="H1003" s="103">
        <f t="shared" si="150"/>
        <v>45652</v>
      </c>
      <c r="I1003" s="141">
        <f>_xlfn.XLOOKUP(Table12[[#This Row],[Month Year]],'Modelling New'!D:D,'Modelling New'!N:N)</f>
        <v>10.507</v>
      </c>
      <c r="J1003" s="50" t="e">
        <f>'Raw Data'!#REF!/J$1</f>
        <v>#REF!</v>
      </c>
      <c r="K1003" s="50" t="e">
        <f>'Raw Data'!#REF!/K$1</f>
        <v>#REF!</v>
      </c>
      <c r="L1003" s="50" t="e">
        <f>'Raw Data'!#REF!/L$1</f>
        <v>#REF!</v>
      </c>
      <c r="M1003" s="50" t="e">
        <f>'Raw Data'!#REF!/M$1</f>
        <v>#REF!</v>
      </c>
      <c r="N1003" s="50" t="e">
        <f>'Raw Data'!#REF!/N$1</f>
        <v>#REF!</v>
      </c>
      <c r="O1003" s="50" t="e">
        <f>'Raw Data'!#REF!/O$1</f>
        <v>#REF!</v>
      </c>
      <c r="P1003" s="50" t="str">
        <f t="shared" ref="P1003:P1004" si="158">IFERROR(AVERAGEIF(J1003:O1003,"&gt;"&amp;0,J1003:O1003),"")</f>
        <v/>
      </c>
      <c r="Q1003" s="50" t="e">
        <f t="shared" ref="Q1003:Q1004" si="159">MAXA(J1003:O1003)</f>
        <v>#REF!</v>
      </c>
    </row>
    <row r="1004" spans="1:17">
      <c r="A1004" s="101" t="s">
        <v>212</v>
      </c>
      <c r="B1004" s="101">
        <v>5</v>
      </c>
      <c r="C1004" s="101">
        <v>2024</v>
      </c>
      <c r="D1004" s="101" t="s">
        <v>211</v>
      </c>
      <c r="E1004" s="101" t="s">
        <v>211</v>
      </c>
      <c r="F1004" s="194">
        <v>45627</v>
      </c>
      <c r="G1004" s="101">
        <f t="shared" ref="G1004:G1008" si="160">DAY(EOMONTH(F1004,0))</f>
        <v>31</v>
      </c>
      <c r="H1004" s="103">
        <f t="shared" si="150"/>
        <v>45653</v>
      </c>
      <c r="I1004" s="141">
        <f>_xlfn.XLOOKUP(Table12[[#This Row],[Month Year]],'Modelling New'!D:D,'Modelling New'!N:N)</f>
        <v>10.507</v>
      </c>
      <c r="J1004" s="50" t="e">
        <f>'Raw Data'!#REF!/J$1</f>
        <v>#REF!</v>
      </c>
      <c r="K1004" s="50" t="e">
        <f>'Raw Data'!#REF!/K$1</f>
        <v>#REF!</v>
      </c>
      <c r="L1004" s="50" t="e">
        <f>'Raw Data'!#REF!/L$1</f>
        <v>#REF!</v>
      </c>
      <c r="M1004" s="50" t="e">
        <f>'Raw Data'!#REF!/M$1</f>
        <v>#REF!</v>
      </c>
      <c r="N1004" s="50" t="e">
        <f>'Raw Data'!#REF!/N$1</f>
        <v>#REF!</v>
      </c>
      <c r="O1004" s="50" t="e">
        <f>'Raw Data'!#REF!/O$1</f>
        <v>#REF!</v>
      </c>
      <c r="P1004" s="50" t="str">
        <f t="shared" si="158"/>
        <v/>
      </c>
      <c r="Q1004" s="50" t="e">
        <f t="shared" si="159"/>
        <v>#REF!</v>
      </c>
    </row>
    <row r="1005" spans="1:17">
      <c r="A1005" s="101" t="s">
        <v>212</v>
      </c>
      <c r="B1005" s="101">
        <v>5</v>
      </c>
      <c r="C1005" s="101">
        <v>2024</v>
      </c>
      <c r="D1005" s="101" t="s">
        <v>211</v>
      </c>
      <c r="E1005" s="101" t="s">
        <v>211</v>
      </c>
      <c r="F1005" s="194">
        <v>45627</v>
      </c>
      <c r="G1005" s="101">
        <f t="shared" si="160"/>
        <v>31</v>
      </c>
      <c r="H1005" s="103">
        <f t="shared" si="150"/>
        <v>45654</v>
      </c>
      <c r="I1005" s="141">
        <f>_xlfn.XLOOKUP(Table12[[#This Row],[Month Year]],'Modelling New'!D:D,'Modelling New'!N:N)</f>
        <v>10.507</v>
      </c>
      <c r="J1005" s="50" t="e">
        <f>'Raw Data'!#REF!/J$1</f>
        <v>#REF!</v>
      </c>
      <c r="K1005" s="50" t="e">
        <f>'Raw Data'!#REF!/K$1</f>
        <v>#REF!</v>
      </c>
      <c r="L1005" s="50" t="e">
        <f>'Raw Data'!#REF!/L$1</f>
        <v>#REF!</v>
      </c>
      <c r="M1005" s="50" t="e">
        <f>'Raw Data'!#REF!/M$1</f>
        <v>#REF!</v>
      </c>
      <c r="N1005" s="50" t="e">
        <f>'Raw Data'!#REF!/N$1</f>
        <v>#REF!</v>
      </c>
      <c r="O1005" s="50" t="e">
        <f>'Raw Data'!#REF!/O$1</f>
        <v>#REF!</v>
      </c>
      <c r="P1005" s="50" t="str">
        <f t="shared" ref="P1005:P1008" si="161">IFERROR(AVERAGEIF(J1005:O1005,"&gt;"&amp;0,J1005:O1005),"")</f>
        <v/>
      </c>
      <c r="Q1005" s="50" t="e">
        <f t="shared" ref="Q1005:Q1008" si="162">MAXA(J1005:O1005)</f>
        <v>#REF!</v>
      </c>
    </row>
    <row r="1006" spans="1:17">
      <c r="A1006" s="101" t="s">
        <v>212</v>
      </c>
      <c r="B1006" s="101">
        <v>5</v>
      </c>
      <c r="C1006" s="101">
        <v>2024</v>
      </c>
      <c r="D1006" s="101" t="s">
        <v>211</v>
      </c>
      <c r="E1006" s="101" t="s">
        <v>211</v>
      </c>
      <c r="F1006" s="194">
        <v>45627</v>
      </c>
      <c r="G1006" s="101">
        <f t="shared" si="160"/>
        <v>31</v>
      </c>
      <c r="H1006" s="103">
        <f t="shared" si="150"/>
        <v>45655</v>
      </c>
      <c r="I1006" s="141">
        <f>_xlfn.XLOOKUP(Table12[[#This Row],[Month Year]],'Modelling New'!D:D,'Modelling New'!N:N)</f>
        <v>10.507</v>
      </c>
      <c r="J1006" s="50" t="e">
        <f>'Raw Data'!#REF!/J$1</f>
        <v>#REF!</v>
      </c>
      <c r="K1006" s="50" t="e">
        <f>'Raw Data'!#REF!/K$1</f>
        <v>#REF!</v>
      </c>
      <c r="L1006" s="50" t="e">
        <f>'Raw Data'!#REF!/L$1</f>
        <v>#REF!</v>
      </c>
      <c r="M1006" s="50" t="e">
        <f>'Raw Data'!#REF!/M$1</f>
        <v>#REF!</v>
      </c>
      <c r="N1006" s="50" t="e">
        <f>'Raw Data'!#REF!/N$1</f>
        <v>#REF!</v>
      </c>
      <c r="O1006" s="50" t="e">
        <f>'Raw Data'!#REF!/O$1</f>
        <v>#REF!</v>
      </c>
      <c r="P1006" s="50" t="str">
        <f t="shared" si="161"/>
        <v/>
      </c>
      <c r="Q1006" s="50" t="e">
        <f t="shared" si="162"/>
        <v>#REF!</v>
      </c>
    </row>
    <row r="1007" spans="1:17">
      <c r="A1007" s="101" t="s">
        <v>212</v>
      </c>
      <c r="B1007" s="101">
        <v>5</v>
      </c>
      <c r="C1007" s="101">
        <v>2024</v>
      </c>
      <c r="D1007" s="101" t="s">
        <v>211</v>
      </c>
      <c r="E1007" s="101" t="s">
        <v>211</v>
      </c>
      <c r="F1007" s="194">
        <v>45627</v>
      </c>
      <c r="G1007" s="101">
        <f t="shared" si="160"/>
        <v>31</v>
      </c>
      <c r="H1007" s="103">
        <f t="shared" si="150"/>
        <v>45656</v>
      </c>
      <c r="I1007" s="141">
        <f>_xlfn.XLOOKUP(Table12[[#This Row],[Month Year]],'Modelling New'!D:D,'Modelling New'!N:N)</f>
        <v>10.507</v>
      </c>
      <c r="J1007" s="50" t="e">
        <f>'Raw Data'!#REF!/J$1</f>
        <v>#REF!</v>
      </c>
      <c r="K1007" s="50" t="e">
        <f>'Raw Data'!#REF!/K$1</f>
        <v>#REF!</v>
      </c>
      <c r="L1007" s="50" t="e">
        <f>'Raw Data'!#REF!/L$1</f>
        <v>#REF!</v>
      </c>
      <c r="M1007" s="50" t="e">
        <f>'Raw Data'!#REF!/M$1</f>
        <v>#REF!</v>
      </c>
      <c r="N1007" s="50" t="e">
        <f>'Raw Data'!#REF!/N$1</f>
        <v>#REF!</v>
      </c>
      <c r="O1007" s="50" t="e">
        <f>'Raw Data'!#REF!/O$1</f>
        <v>#REF!</v>
      </c>
      <c r="P1007" s="50" t="str">
        <f t="shared" si="161"/>
        <v/>
      </c>
      <c r="Q1007" s="50" t="e">
        <f t="shared" si="162"/>
        <v>#REF!</v>
      </c>
    </row>
    <row r="1008" spans="1:17">
      <c r="A1008" s="101" t="s">
        <v>212</v>
      </c>
      <c r="B1008" s="101">
        <v>5</v>
      </c>
      <c r="C1008" s="101">
        <v>2024</v>
      </c>
      <c r="D1008" s="101" t="s">
        <v>211</v>
      </c>
      <c r="E1008" s="101" t="s">
        <v>211</v>
      </c>
      <c r="F1008" s="194">
        <v>45627</v>
      </c>
      <c r="G1008" s="101">
        <f t="shared" si="160"/>
        <v>31</v>
      </c>
      <c r="H1008" s="103">
        <f t="shared" si="150"/>
        <v>45657</v>
      </c>
      <c r="I1008" s="141">
        <f>_xlfn.XLOOKUP(Table12[[#This Row],[Month Year]],'Modelling New'!D:D,'Modelling New'!N:N)</f>
        <v>10.507</v>
      </c>
      <c r="J1008" s="50" t="e">
        <f>'Raw Data'!#REF!/J$1</f>
        <v>#REF!</v>
      </c>
      <c r="K1008" s="50" t="e">
        <f>'Raw Data'!#REF!/K$1</f>
        <v>#REF!</v>
      </c>
      <c r="L1008" s="50" t="e">
        <f>'Raw Data'!#REF!/L$1</f>
        <v>#REF!</v>
      </c>
      <c r="M1008" s="50" t="e">
        <f>'Raw Data'!#REF!/M$1</f>
        <v>#REF!</v>
      </c>
      <c r="N1008" s="50" t="e">
        <f>'Raw Data'!#REF!/N$1</f>
        <v>#REF!</v>
      </c>
      <c r="O1008" s="50" t="e">
        <f>'Raw Data'!#REF!/O$1</f>
        <v>#REF!</v>
      </c>
      <c r="P1008" s="50" t="str">
        <f t="shared" si="161"/>
        <v/>
      </c>
      <c r="Q1008" s="50" t="e">
        <f t="shared" si="162"/>
        <v>#REF!</v>
      </c>
    </row>
    <row r="1009" spans="1:17">
      <c r="A1009" s="101" t="s">
        <v>212</v>
      </c>
      <c r="B1009" s="101">
        <v>5</v>
      </c>
      <c r="C1009" s="101">
        <v>2025</v>
      </c>
      <c r="D1009" s="101" t="s">
        <v>211</v>
      </c>
      <c r="E1009" s="101" t="s">
        <v>211</v>
      </c>
      <c r="F1009" s="194">
        <v>45658</v>
      </c>
      <c r="G1009" s="101">
        <f>DAY(EOMONTH(F1009,0))</f>
        <v>31</v>
      </c>
      <c r="H1009" s="103">
        <f>H1008+1</f>
        <v>45658</v>
      </c>
      <c r="I1009" s="141">
        <f>_xlfn.XLOOKUP(Table12[[#This Row],[Month Year]],'Modelling New'!D:D,'Modelling New'!N:N)</f>
        <v>10.507</v>
      </c>
      <c r="J1009" s="50" t="e">
        <f>'Raw Data'!#REF!/J$1</f>
        <v>#REF!</v>
      </c>
      <c r="K1009" s="50" t="e">
        <f>'Raw Data'!#REF!/K$1</f>
        <v>#REF!</v>
      </c>
      <c r="L1009" s="50" t="e">
        <f>'Raw Data'!#REF!/L$1</f>
        <v>#REF!</v>
      </c>
      <c r="M1009" s="50" t="e">
        <f>'Raw Data'!#REF!/M$1</f>
        <v>#REF!</v>
      </c>
      <c r="N1009" s="50" t="e">
        <f>'Raw Data'!#REF!/N$1</f>
        <v>#REF!</v>
      </c>
      <c r="O1009" s="50" t="e">
        <f>'Raw Data'!#REF!/O$1</f>
        <v>#REF!</v>
      </c>
      <c r="P1009" s="50" t="str">
        <f>IFERROR(AVERAGEIF(J1009:O1009,"&gt;"&amp;0,J1009:O1009),"")</f>
        <v/>
      </c>
      <c r="Q1009" s="50" t="e">
        <f>MAXA(J1009:O1009)</f>
        <v>#REF!</v>
      </c>
    </row>
    <row r="1010" spans="1:17">
      <c r="A1010" s="101" t="s">
        <v>212</v>
      </c>
      <c r="B1010" s="101">
        <v>5</v>
      </c>
      <c r="C1010" s="101">
        <v>2025</v>
      </c>
      <c r="D1010" s="101" t="s">
        <v>211</v>
      </c>
      <c r="E1010" s="101" t="s">
        <v>211</v>
      </c>
      <c r="F1010" s="194">
        <v>45658</v>
      </c>
      <c r="G1010" s="101">
        <f t="shared" ref="G1010:G1033" si="163">DAY(EOMONTH(F1010,0))</f>
        <v>31</v>
      </c>
      <c r="H1010" s="103">
        <f t="shared" ref="H1010:H1073" si="164">H1009+1</f>
        <v>45659</v>
      </c>
      <c r="I1010" s="141">
        <f>_xlfn.XLOOKUP(Table12[[#This Row],[Month Year]],'Modelling New'!D:D,'Modelling New'!N:N)</f>
        <v>10.507</v>
      </c>
      <c r="J1010" s="50" t="e">
        <f>'Raw Data'!#REF!/J$1</f>
        <v>#REF!</v>
      </c>
      <c r="K1010" s="50" t="e">
        <f>'Raw Data'!#REF!/K$1</f>
        <v>#REF!</v>
      </c>
      <c r="L1010" s="50" t="e">
        <f>'Raw Data'!#REF!/L$1</f>
        <v>#REF!</v>
      </c>
      <c r="M1010" s="50" t="e">
        <f>'Raw Data'!#REF!/M$1</f>
        <v>#REF!</v>
      </c>
      <c r="N1010" s="50" t="e">
        <f>'Raw Data'!#REF!/N$1</f>
        <v>#REF!</v>
      </c>
      <c r="O1010" s="50" t="e">
        <f>'Raw Data'!#REF!/O$1</f>
        <v>#REF!</v>
      </c>
      <c r="P1010" s="50" t="str">
        <f t="shared" ref="P1010:P1033" si="165">IFERROR(AVERAGEIF(J1010:O1010,"&gt;"&amp;0,J1010:O1010),"")</f>
        <v/>
      </c>
      <c r="Q1010" s="50" t="e">
        <f t="shared" ref="Q1010:Q1033" si="166">MAXA(J1010:O1010)</f>
        <v>#REF!</v>
      </c>
    </row>
    <row r="1011" spans="1:17">
      <c r="A1011" s="101" t="s">
        <v>212</v>
      </c>
      <c r="B1011" s="101">
        <v>5</v>
      </c>
      <c r="C1011" s="101">
        <v>2025</v>
      </c>
      <c r="D1011" s="101" t="s">
        <v>211</v>
      </c>
      <c r="E1011" s="101" t="s">
        <v>211</v>
      </c>
      <c r="F1011" s="194">
        <v>45658</v>
      </c>
      <c r="G1011" s="101">
        <f t="shared" si="163"/>
        <v>31</v>
      </c>
      <c r="H1011" s="103">
        <f t="shared" si="164"/>
        <v>45660</v>
      </c>
      <c r="I1011" s="141">
        <f>_xlfn.XLOOKUP(Table12[[#This Row],[Month Year]],'Modelling New'!D:D,'Modelling New'!N:N)</f>
        <v>10.507</v>
      </c>
      <c r="J1011" s="50" t="e">
        <f>'Raw Data'!#REF!/J$1</f>
        <v>#REF!</v>
      </c>
      <c r="K1011" s="50" t="e">
        <f>'Raw Data'!#REF!/K$1</f>
        <v>#REF!</v>
      </c>
      <c r="L1011" s="50" t="e">
        <f>'Raw Data'!#REF!/L$1</f>
        <v>#REF!</v>
      </c>
      <c r="M1011" s="50" t="e">
        <f>'Raw Data'!#REF!/M$1</f>
        <v>#REF!</v>
      </c>
      <c r="N1011" s="50" t="e">
        <f>'Raw Data'!#REF!/N$1</f>
        <v>#REF!</v>
      </c>
      <c r="O1011" s="50" t="e">
        <f>'Raw Data'!#REF!/O$1</f>
        <v>#REF!</v>
      </c>
      <c r="P1011" s="50" t="str">
        <f t="shared" si="165"/>
        <v/>
      </c>
      <c r="Q1011" s="50" t="e">
        <f t="shared" si="166"/>
        <v>#REF!</v>
      </c>
    </row>
    <row r="1012" spans="1:17">
      <c r="A1012" s="101" t="s">
        <v>212</v>
      </c>
      <c r="B1012" s="101">
        <v>5</v>
      </c>
      <c r="C1012" s="101">
        <v>2025</v>
      </c>
      <c r="D1012" s="101" t="s">
        <v>211</v>
      </c>
      <c r="E1012" s="101" t="s">
        <v>211</v>
      </c>
      <c r="F1012" s="194">
        <v>45658</v>
      </c>
      <c r="G1012" s="101">
        <f t="shared" si="163"/>
        <v>31</v>
      </c>
      <c r="H1012" s="103">
        <f t="shared" si="164"/>
        <v>45661</v>
      </c>
      <c r="I1012" s="141">
        <f>_xlfn.XLOOKUP(Table12[[#This Row],[Month Year]],'Modelling New'!D:D,'Modelling New'!N:N)</f>
        <v>10.507</v>
      </c>
      <c r="J1012" s="50" t="e">
        <f>'Raw Data'!#REF!/J$1</f>
        <v>#REF!</v>
      </c>
      <c r="K1012" s="50" t="e">
        <f>'Raw Data'!#REF!/K$1</f>
        <v>#REF!</v>
      </c>
      <c r="L1012" s="50" t="e">
        <f>'Raw Data'!#REF!/L$1</f>
        <v>#REF!</v>
      </c>
      <c r="M1012" s="50" t="e">
        <f>'Raw Data'!#REF!/M$1</f>
        <v>#REF!</v>
      </c>
      <c r="N1012" s="50" t="e">
        <f>'Raw Data'!#REF!/N$1</f>
        <v>#REF!</v>
      </c>
      <c r="O1012" s="50" t="e">
        <f>'Raw Data'!#REF!/O$1</f>
        <v>#REF!</v>
      </c>
      <c r="P1012" s="50" t="str">
        <f t="shared" si="165"/>
        <v/>
      </c>
      <c r="Q1012" s="50" t="e">
        <f t="shared" si="166"/>
        <v>#REF!</v>
      </c>
    </row>
    <row r="1013" spans="1:17">
      <c r="A1013" s="101" t="s">
        <v>212</v>
      </c>
      <c r="B1013" s="101">
        <v>5</v>
      </c>
      <c r="C1013" s="101">
        <v>2025</v>
      </c>
      <c r="D1013" s="101" t="s">
        <v>211</v>
      </c>
      <c r="E1013" s="101" t="s">
        <v>211</v>
      </c>
      <c r="F1013" s="194">
        <v>45658</v>
      </c>
      <c r="G1013" s="101">
        <f t="shared" si="163"/>
        <v>31</v>
      </c>
      <c r="H1013" s="103">
        <f t="shared" si="164"/>
        <v>45662</v>
      </c>
      <c r="I1013" s="141">
        <f>_xlfn.XLOOKUP(Table12[[#This Row],[Month Year]],'Modelling New'!D:D,'Modelling New'!N:N)</f>
        <v>10.507</v>
      </c>
      <c r="J1013" s="50" t="e">
        <f>'Raw Data'!#REF!/J$1</f>
        <v>#REF!</v>
      </c>
      <c r="K1013" s="50" t="e">
        <f>'Raw Data'!#REF!/K$1</f>
        <v>#REF!</v>
      </c>
      <c r="L1013" s="50" t="e">
        <f>'Raw Data'!#REF!/L$1</f>
        <v>#REF!</v>
      </c>
      <c r="M1013" s="50" t="e">
        <f>'Raw Data'!#REF!/M$1</f>
        <v>#REF!</v>
      </c>
      <c r="N1013" s="50" t="e">
        <f>'Raw Data'!#REF!/N$1</f>
        <v>#REF!</v>
      </c>
      <c r="O1013" s="50" t="e">
        <f>'Raw Data'!#REF!/O$1</f>
        <v>#REF!</v>
      </c>
      <c r="P1013" s="50" t="str">
        <f t="shared" si="165"/>
        <v/>
      </c>
      <c r="Q1013" s="50" t="e">
        <f t="shared" si="166"/>
        <v>#REF!</v>
      </c>
    </row>
    <row r="1014" spans="1:17">
      <c r="A1014" s="101" t="s">
        <v>212</v>
      </c>
      <c r="B1014" s="101">
        <v>5</v>
      </c>
      <c r="C1014" s="101">
        <v>2025</v>
      </c>
      <c r="D1014" s="101" t="s">
        <v>211</v>
      </c>
      <c r="E1014" s="101" t="s">
        <v>211</v>
      </c>
      <c r="F1014" s="194">
        <v>45658</v>
      </c>
      <c r="G1014" s="101">
        <f t="shared" si="163"/>
        <v>31</v>
      </c>
      <c r="H1014" s="103">
        <f t="shared" si="164"/>
        <v>45663</v>
      </c>
      <c r="I1014" s="141">
        <f>_xlfn.XLOOKUP(Table12[[#This Row],[Month Year]],'Modelling New'!D:D,'Modelling New'!N:N)</f>
        <v>10.507</v>
      </c>
      <c r="J1014" s="50" t="e">
        <f>'Raw Data'!#REF!/J$1</f>
        <v>#REF!</v>
      </c>
      <c r="K1014" s="50" t="e">
        <f>'Raw Data'!#REF!/K$1</f>
        <v>#REF!</v>
      </c>
      <c r="L1014" s="50" t="e">
        <f>'Raw Data'!#REF!/L$1</f>
        <v>#REF!</v>
      </c>
      <c r="M1014" s="50" t="e">
        <f>'Raw Data'!#REF!/M$1</f>
        <v>#REF!</v>
      </c>
      <c r="N1014" s="50" t="e">
        <f>'Raw Data'!#REF!/N$1</f>
        <v>#REF!</v>
      </c>
      <c r="O1014" s="50" t="e">
        <f>'Raw Data'!#REF!/O$1</f>
        <v>#REF!</v>
      </c>
      <c r="P1014" s="50" t="str">
        <f t="shared" si="165"/>
        <v/>
      </c>
      <c r="Q1014" s="50" t="e">
        <f t="shared" si="166"/>
        <v>#REF!</v>
      </c>
    </row>
    <row r="1015" spans="1:17">
      <c r="A1015" s="101" t="s">
        <v>212</v>
      </c>
      <c r="B1015" s="101">
        <v>5</v>
      </c>
      <c r="C1015" s="101">
        <v>2025</v>
      </c>
      <c r="D1015" s="101" t="s">
        <v>211</v>
      </c>
      <c r="E1015" s="101" t="s">
        <v>211</v>
      </c>
      <c r="F1015" s="194">
        <v>45658</v>
      </c>
      <c r="G1015" s="101">
        <f t="shared" si="163"/>
        <v>31</v>
      </c>
      <c r="H1015" s="103">
        <f t="shared" si="164"/>
        <v>45664</v>
      </c>
      <c r="I1015" s="141">
        <f>_xlfn.XLOOKUP(Table12[[#This Row],[Month Year]],'Modelling New'!D:D,'Modelling New'!N:N)</f>
        <v>10.507</v>
      </c>
      <c r="J1015" s="50" t="e">
        <f>'Raw Data'!#REF!/J$1</f>
        <v>#REF!</v>
      </c>
      <c r="K1015" s="50" t="e">
        <f>'Raw Data'!#REF!/K$1</f>
        <v>#REF!</v>
      </c>
      <c r="L1015" s="50" t="e">
        <f>'Raw Data'!#REF!/L$1</f>
        <v>#REF!</v>
      </c>
      <c r="M1015" s="50" t="e">
        <f>'Raw Data'!#REF!/M$1</f>
        <v>#REF!</v>
      </c>
      <c r="N1015" s="50" t="e">
        <f>'Raw Data'!#REF!/N$1</f>
        <v>#REF!</v>
      </c>
      <c r="O1015" s="50" t="e">
        <f>'Raw Data'!#REF!/O$1</f>
        <v>#REF!</v>
      </c>
      <c r="P1015" s="50" t="str">
        <f t="shared" si="165"/>
        <v/>
      </c>
      <c r="Q1015" s="50" t="e">
        <f t="shared" si="166"/>
        <v>#REF!</v>
      </c>
    </row>
    <row r="1016" spans="1:17">
      <c r="A1016" s="101" t="s">
        <v>212</v>
      </c>
      <c r="B1016" s="101">
        <v>5</v>
      </c>
      <c r="C1016" s="101">
        <v>2025</v>
      </c>
      <c r="D1016" s="101" t="s">
        <v>211</v>
      </c>
      <c r="E1016" s="101" t="s">
        <v>211</v>
      </c>
      <c r="F1016" s="194">
        <v>45658</v>
      </c>
      <c r="G1016" s="101">
        <f t="shared" si="163"/>
        <v>31</v>
      </c>
      <c r="H1016" s="103">
        <f t="shared" si="164"/>
        <v>45665</v>
      </c>
      <c r="I1016" s="141">
        <f>_xlfn.XLOOKUP(Table12[[#This Row],[Month Year]],'Modelling New'!D:D,'Modelling New'!N:N)</f>
        <v>10.507</v>
      </c>
      <c r="J1016" s="50" t="e">
        <f>'Raw Data'!#REF!/J$1</f>
        <v>#REF!</v>
      </c>
      <c r="K1016" s="50" t="e">
        <f>'Raw Data'!#REF!/K$1</f>
        <v>#REF!</v>
      </c>
      <c r="L1016" s="50" t="e">
        <f>'Raw Data'!#REF!/L$1</f>
        <v>#REF!</v>
      </c>
      <c r="M1016" s="50" t="e">
        <f>'Raw Data'!#REF!/M$1</f>
        <v>#REF!</v>
      </c>
      <c r="N1016" s="50" t="e">
        <f>'Raw Data'!#REF!/N$1</f>
        <v>#REF!</v>
      </c>
      <c r="O1016" s="50" t="e">
        <f>'Raw Data'!#REF!/O$1</f>
        <v>#REF!</v>
      </c>
      <c r="P1016" s="50" t="str">
        <f t="shared" si="165"/>
        <v/>
      </c>
      <c r="Q1016" s="50" t="e">
        <f t="shared" si="166"/>
        <v>#REF!</v>
      </c>
    </row>
    <row r="1017" spans="1:17">
      <c r="A1017" s="101" t="s">
        <v>212</v>
      </c>
      <c r="B1017" s="101">
        <v>5</v>
      </c>
      <c r="C1017" s="101">
        <v>2025</v>
      </c>
      <c r="D1017" s="101" t="s">
        <v>211</v>
      </c>
      <c r="E1017" s="101" t="s">
        <v>211</v>
      </c>
      <c r="F1017" s="194">
        <v>45658</v>
      </c>
      <c r="G1017" s="101">
        <f t="shared" si="163"/>
        <v>31</v>
      </c>
      <c r="H1017" s="103">
        <f t="shared" si="164"/>
        <v>45666</v>
      </c>
      <c r="I1017" s="141">
        <f>_xlfn.XLOOKUP(Table12[[#This Row],[Month Year]],'Modelling New'!D:D,'Modelling New'!N:N)</f>
        <v>10.507</v>
      </c>
      <c r="J1017" s="50" t="e">
        <f>'Raw Data'!#REF!/J$1</f>
        <v>#REF!</v>
      </c>
      <c r="K1017" s="50" t="e">
        <f>'Raw Data'!#REF!/K$1</f>
        <v>#REF!</v>
      </c>
      <c r="L1017" s="50" t="e">
        <f>'Raw Data'!#REF!/L$1</f>
        <v>#REF!</v>
      </c>
      <c r="M1017" s="50" t="e">
        <f>'Raw Data'!#REF!/M$1</f>
        <v>#REF!</v>
      </c>
      <c r="N1017" s="50" t="e">
        <f>'Raw Data'!#REF!/N$1</f>
        <v>#REF!</v>
      </c>
      <c r="O1017" s="50" t="e">
        <f>'Raw Data'!#REF!/O$1</f>
        <v>#REF!</v>
      </c>
      <c r="P1017" s="50" t="str">
        <f t="shared" si="165"/>
        <v/>
      </c>
      <c r="Q1017" s="50" t="e">
        <f t="shared" si="166"/>
        <v>#REF!</v>
      </c>
    </row>
    <row r="1018" spans="1:17">
      <c r="A1018" s="101" t="s">
        <v>212</v>
      </c>
      <c r="B1018" s="101">
        <v>5</v>
      </c>
      <c r="C1018" s="101">
        <v>2025</v>
      </c>
      <c r="D1018" s="101" t="s">
        <v>211</v>
      </c>
      <c r="E1018" s="101" t="s">
        <v>211</v>
      </c>
      <c r="F1018" s="194">
        <v>45658</v>
      </c>
      <c r="G1018" s="101">
        <f t="shared" si="163"/>
        <v>31</v>
      </c>
      <c r="H1018" s="103">
        <f t="shared" si="164"/>
        <v>45667</v>
      </c>
      <c r="I1018" s="141">
        <f>_xlfn.XLOOKUP(Table12[[#This Row],[Month Year]],'Modelling New'!D:D,'Modelling New'!N:N)</f>
        <v>10.507</v>
      </c>
      <c r="J1018" s="50" t="e">
        <f>'Raw Data'!#REF!/J$1</f>
        <v>#REF!</v>
      </c>
      <c r="K1018" s="50" t="e">
        <f>'Raw Data'!#REF!/K$1</f>
        <v>#REF!</v>
      </c>
      <c r="L1018" s="50" t="e">
        <f>'Raw Data'!#REF!/L$1</f>
        <v>#REF!</v>
      </c>
      <c r="M1018" s="50" t="e">
        <f>'Raw Data'!#REF!/M$1</f>
        <v>#REF!</v>
      </c>
      <c r="N1018" s="50" t="e">
        <f>'Raw Data'!#REF!/N$1</f>
        <v>#REF!</v>
      </c>
      <c r="O1018" s="50" t="e">
        <f>'Raw Data'!#REF!/O$1</f>
        <v>#REF!</v>
      </c>
      <c r="P1018" s="50" t="str">
        <f t="shared" si="165"/>
        <v/>
      </c>
      <c r="Q1018" s="50" t="e">
        <f t="shared" si="166"/>
        <v>#REF!</v>
      </c>
    </row>
    <row r="1019" spans="1:17">
      <c r="A1019" s="101" t="s">
        <v>212</v>
      </c>
      <c r="B1019" s="101">
        <v>5</v>
      </c>
      <c r="C1019" s="101">
        <v>2025</v>
      </c>
      <c r="D1019" s="101" t="s">
        <v>211</v>
      </c>
      <c r="E1019" s="101" t="s">
        <v>211</v>
      </c>
      <c r="F1019" s="194">
        <v>45658</v>
      </c>
      <c r="G1019" s="101">
        <f t="shared" si="163"/>
        <v>31</v>
      </c>
      <c r="H1019" s="103">
        <f t="shared" si="164"/>
        <v>45668</v>
      </c>
      <c r="I1019" s="141">
        <f>_xlfn.XLOOKUP(Table12[[#This Row],[Month Year]],'Modelling New'!D:D,'Modelling New'!N:N)</f>
        <v>10.507</v>
      </c>
      <c r="J1019" s="50" t="e">
        <f>'Raw Data'!#REF!/J$1</f>
        <v>#REF!</v>
      </c>
      <c r="K1019" s="50" t="e">
        <f>'Raw Data'!#REF!/K$1</f>
        <v>#REF!</v>
      </c>
      <c r="L1019" s="50" t="e">
        <f>'Raw Data'!#REF!/L$1</f>
        <v>#REF!</v>
      </c>
      <c r="M1019" s="50" t="e">
        <f>'Raw Data'!#REF!/M$1</f>
        <v>#REF!</v>
      </c>
      <c r="N1019" s="50" t="e">
        <f>'Raw Data'!#REF!/N$1</f>
        <v>#REF!</v>
      </c>
      <c r="O1019" s="50" t="e">
        <f>'Raw Data'!#REF!/O$1</f>
        <v>#REF!</v>
      </c>
      <c r="P1019" s="50" t="str">
        <f t="shared" si="165"/>
        <v/>
      </c>
      <c r="Q1019" s="50" t="e">
        <f t="shared" si="166"/>
        <v>#REF!</v>
      </c>
    </row>
    <row r="1020" spans="1:17">
      <c r="A1020" s="101" t="s">
        <v>212</v>
      </c>
      <c r="B1020" s="101">
        <v>5</v>
      </c>
      <c r="C1020" s="101">
        <v>2025</v>
      </c>
      <c r="D1020" s="101" t="s">
        <v>211</v>
      </c>
      <c r="E1020" s="101" t="s">
        <v>211</v>
      </c>
      <c r="F1020" s="194">
        <v>45658</v>
      </c>
      <c r="G1020" s="101">
        <f t="shared" si="163"/>
        <v>31</v>
      </c>
      <c r="H1020" s="103">
        <f t="shared" si="164"/>
        <v>45669</v>
      </c>
      <c r="I1020" s="141">
        <f>_xlfn.XLOOKUP(Table12[[#This Row],[Month Year]],'Modelling New'!D:D,'Modelling New'!N:N)</f>
        <v>10.507</v>
      </c>
      <c r="J1020" s="50" t="e">
        <f>'Raw Data'!#REF!/J$1</f>
        <v>#REF!</v>
      </c>
      <c r="K1020" s="50" t="e">
        <f>'Raw Data'!#REF!/K$1</f>
        <v>#REF!</v>
      </c>
      <c r="L1020" s="50" t="e">
        <f>'Raw Data'!#REF!/L$1</f>
        <v>#REF!</v>
      </c>
      <c r="M1020" s="50" t="e">
        <f>'Raw Data'!#REF!/M$1</f>
        <v>#REF!</v>
      </c>
      <c r="N1020" s="50" t="e">
        <f>'Raw Data'!#REF!/N$1</f>
        <v>#REF!</v>
      </c>
      <c r="O1020" s="50" t="e">
        <f>'Raw Data'!#REF!/O$1</f>
        <v>#REF!</v>
      </c>
      <c r="P1020" s="50" t="str">
        <f t="shared" si="165"/>
        <v/>
      </c>
      <c r="Q1020" s="50" t="e">
        <f t="shared" si="166"/>
        <v>#REF!</v>
      </c>
    </row>
    <row r="1021" spans="1:17">
      <c r="A1021" s="101" t="s">
        <v>212</v>
      </c>
      <c r="B1021" s="101">
        <v>5</v>
      </c>
      <c r="C1021" s="101">
        <v>2025</v>
      </c>
      <c r="D1021" s="101" t="s">
        <v>211</v>
      </c>
      <c r="E1021" s="101" t="s">
        <v>211</v>
      </c>
      <c r="F1021" s="194">
        <v>45658</v>
      </c>
      <c r="G1021" s="101">
        <f t="shared" si="163"/>
        <v>31</v>
      </c>
      <c r="H1021" s="103">
        <f t="shared" si="164"/>
        <v>45670</v>
      </c>
      <c r="I1021" s="141">
        <f>_xlfn.XLOOKUP(Table12[[#This Row],[Month Year]],'Modelling New'!D:D,'Modelling New'!N:N)</f>
        <v>10.507</v>
      </c>
      <c r="J1021" s="50" t="e">
        <f>'Raw Data'!#REF!/J$1</f>
        <v>#REF!</v>
      </c>
      <c r="K1021" s="50" t="e">
        <f>'Raw Data'!#REF!/K$1</f>
        <v>#REF!</v>
      </c>
      <c r="L1021" s="50" t="e">
        <f>'Raw Data'!#REF!/L$1</f>
        <v>#REF!</v>
      </c>
      <c r="M1021" s="50" t="e">
        <f>'Raw Data'!#REF!/M$1</f>
        <v>#REF!</v>
      </c>
      <c r="N1021" s="50" t="e">
        <f>'Raw Data'!#REF!/N$1</f>
        <v>#REF!</v>
      </c>
      <c r="O1021" s="50" t="e">
        <f>'Raw Data'!#REF!/O$1</f>
        <v>#REF!</v>
      </c>
      <c r="P1021" s="50" t="str">
        <f t="shared" si="165"/>
        <v/>
      </c>
      <c r="Q1021" s="50" t="e">
        <f t="shared" si="166"/>
        <v>#REF!</v>
      </c>
    </row>
    <row r="1022" spans="1:17">
      <c r="A1022" s="101" t="s">
        <v>212</v>
      </c>
      <c r="B1022" s="101">
        <v>5</v>
      </c>
      <c r="C1022" s="101">
        <v>2025</v>
      </c>
      <c r="D1022" s="101" t="s">
        <v>211</v>
      </c>
      <c r="E1022" s="101" t="s">
        <v>211</v>
      </c>
      <c r="F1022" s="194">
        <v>45658</v>
      </c>
      <c r="G1022" s="101">
        <f t="shared" si="163"/>
        <v>31</v>
      </c>
      <c r="H1022" s="103">
        <f t="shared" si="164"/>
        <v>45671</v>
      </c>
      <c r="I1022" s="141">
        <f>_xlfn.XLOOKUP(Table12[[#This Row],[Month Year]],'Modelling New'!D:D,'Modelling New'!N:N)</f>
        <v>10.507</v>
      </c>
      <c r="J1022" s="50" t="e">
        <f>'Raw Data'!#REF!/J$1</f>
        <v>#REF!</v>
      </c>
      <c r="K1022" s="50" t="e">
        <f>'Raw Data'!#REF!/K$1</f>
        <v>#REF!</v>
      </c>
      <c r="L1022" s="50" t="e">
        <f>'Raw Data'!#REF!/L$1</f>
        <v>#REF!</v>
      </c>
      <c r="M1022" s="50" t="e">
        <f>'Raw Data'!#REF!/M$1</f>
        <v>#REF!</v>
      </c>
      <c r="N1022" s="50" t="e">
        <f>'Raw Data'!#REF!/N$1</f>
        <v>#REF!</v>
      </c>
      <c r="O1022" s="50" t="e">
        <f>'Raw Data'!#REF!/O$1</f>
        <v>#REF!</v>
      </c>
      <c r="P1022" s="50" t="str">
        <f t="shared" si="165"/>
        <v/>
      </c>
      <c r="Q1022" s="50" t="e">
        <f t="shared" si="166"/>
        <v>#REF!</v>
      </c>
    </row>
    <row r="1023" spans="1:17">
      <c r="A1023" s="101" t="s">
        <v>212</v>
      </c>
      <c r="B1023" s="101">
        <v>5</v>
      </c>
      <c r="C1023" s="101">
        <v>2025</v>
      </c>
      <c r="D1023" s="101" t="s">
        <v>211</v>
      </c>
      <c r="E1023" s="101" t="s">
        <v>211</v>
      </c>
      <c r="F1023" s="194">
        <v>45658</v>
      </c>
      <c r="G1023" s="101">
        <f t="shared" si="163"/>
        <v>31</v>
      </c>
      <c r="H1023" s="103">
        <f t="shared" si="164"/>
        <v>45672</v>
      </c>
      <c r="I1023" s="141">
        <f>_xlfn.XLOOKUP(Table12[[#This Row],[Month Year]],'Modelling New'!D:D,'Modelling New'!N:N)</f>
        <v>10.507</v>
      </c>
      <c r="J1023" s="50" t="e">
        <f>'Raw Data'!#REF!/J$1</f>
        <v>#REF!</v>
      </c>
      <c r="K1023" s="50" t="e">
        <f>'Raw Data'!#REF!/K$1</f>
        <v>#REF!</v>
      </c>
      <c r="L1023" s="50" t="e">
        <f>'Raw Data'!#REF!/L$1</f>
        <v>#REF!</v>
      </c>
      <c r="M1023" s="50" t="e">
        <f>'Raw Data'!#REF!/M$1</f>
        <v>#REF!</v>
      </c>
      <c r="N1023" s="50" t="e">
        <f>'Raw Data'!#REF!/N$1</f>
        <v>#REF!</v>
      </c>
      <c r="O1023" s="50" t="e">
        <f>'Raw Data'!#REF!/O$1</f>
        <v>#REF!</v>
      </c>
      <c r="P1023" s="50" t="str">
        <f t="shared" si="165"/>
        <v/>
      </c>
      <c r="Q1023" s="50" t="e">
        <f t="shared" si="166"/>
        <v>#REF!</v>
      </c>
    </row>
    <row r="1024" spans="1:17">
      <c r="A1024" s="101" t="s">
        <v>212</v>
      </c>
      <c r="B1024" s="101">
        <v>5</v>
      </c>
      <c r="C1024" s="101">
        <v>2025</v>
      </c>
      <c r="D1024" s="101" t="s">
        <v>211</v>
      </c>
      <c r="E1024" s="101" t="s">
        <v>211</v>
      </c>
      <c r="F1024" s="194">
        <v>45658</v>
      </c>
      <c r="G1024" s="101">
        <f t="shared" si="163"/>
        <v>31</v>
      </c>
      <c r="H1024" s="103">
        <f t="shared" si="164"/>
        <v>45673</v>
      </c>
      <c r="I1024" s="141">
        <f>_xlfn.XLOOKUP(Table12[[#This Row],[Month Year]],'Modelling New'!D:D,'Modelling New'!N:N)</f>
        <v>10.507</v>
      </c>
      <c r="J1024" s="50" t="e">
        <f>'Raw Data'!#REF!/J$1</f>
        <v>#REF!</v>
      </c>
      <c r="K1024" s="50" t="e">
        <f>'Raw Data'!#REF!/K$1</f>
        <v>#REF!</v>
      </c>
      <c r="L1024" s="50" t="e">
        <f>'Raw Data'!#REF!/L$1</f>
        <v>#REF!</v>
      </c>
      <c r="M1024" s="50" t="e">
        <f>'Raw Data'!#REF!/M$1</f>
        <v>#REF!</v>
      </c>
      <c r="N1024" s="50" t="e">
        <f>'Raw Data'!#REF!/N$1</f>
        <v>#REF!</v>
      </c>
      <c r="O1024" s="50" t="e">
        <f>'Raw Data'!#REF!/O$1</f>
        <v>#REF!</v>
      </c>
      <c r="P1024" s="50" t="str">
        <f t="shared" si="165"/>
        <v/>
      </c>
      <c r="Q1024" s="50" t="e">
        <f t="shared" si="166"/>
        <v>#REF!</v>
      </c>
    </row>
    <row r="1025" spans="1:17">
      <c r="A1025" s="101" t="s">
        <v>212</v>
      </c>
      <c r="B1025" s="101">
        <v>5</v>
      </c>
      <c r="C1025" s="101">
        <v>2025</v>
      </c>
      <c r="D1025" s="101" t="s">
        <v>211</v>
      </c>
      <c r="E1025" s="101" t="s">
        <v>211</v>
      </c>
      <c r="F1025" s="194">
        <v>45658</v>
      </c>
      <c r="G1025" s="101">
        <f t="shared" si="163"/>
        <v>31</v>
      </c>
      <c r="H1025" s="103">
        <f t="shared" si="164"/>
        <v>45674</v>
      </c>
      <c r="I1025" s="141">
        <f>_xlfn.XLOOKUP(Table12[[#This Row],[Month Year]],'Modelling New'!D:D,'Modelling New'!N:N)</f>
        <v>10.507</v>
      </c>
      <c r="J1025" s="50" t="e">
        <f>'Raw Data'!#REF!/J$1</f>
        <v>#REF!</v>
      </c>
      <c r="K1025" s="50" t="e">
        <f>'Raw Data'!#REF!/K$1</f>
        <v>#REF!</v>
      </c>
      <c r="L1025" s="50" t="e">
        <f>'Raw Data'!#REF!/L$1</f>
        <v>#REF!</v>
      </c>
      <c r="M1025" s="50" t="e">
        <f>'Raw Data'!#REF!/M$1</f>
        <v>#REF!</v>
      </c>
      <c r="N1025" s="50" t="e">
        <f>'Raw Data'!#REF!/N$1</f>
        <v>#REF!</v>
      </c>
      <c r="O1025" s="50" t="e">
        <f>'Raw Data'!#REF!/O$1</f>
        <v>#REF!</v>
      </c>
      <c r="P1025" s="50" t="str">
        <f t="shared" si="165"/>
        <v/>
      </c>
      <c r="Q1025" s="50" t="e">
        <f t="shared" si="166"/>
        <v>#REF!</v>
      </c>
    </row>
    <row r="1026" spans="1:17">
      <c r="A1026" s="101" t="s">
        <v>212</v>
      </c>
      <c r="B1026" s="101">
        <v>5</v>
      </c>
      <c r="C1026" s="101">
        <v>2025</v>
      </c>
      <c r="D1026" s="101" t="s">
        <v>211</v>
      </c>
      <c r="E1026" s="101" t="s">
        <v>211</v>
      </c>
      <c r="F1026" s="194">
        <v>45658</v>
      </c>
      <c r="G1026" s="101">
        <f t="shared" si="163"/>
        <v>31</v>
      </c>
      <c r="H1026" s="103">
        <f t="shared" si="164"/>
        <v>45675</v>
      </c>
      <c r="I1026" s="141">
        <f>_xlfn.XLOOKUP(Table12[[#This Row],[Month Year]],'Modelling New'!D:D,'Modelling New'!N:N)</f>
        <v>10.507</v>
      </c>
      <c r="J1026" s="50" t="e">
        <f>'Raw Data'!#REF!/J$1</f>
        <v>#REF!</v>
      </c>
      <c r="K1026" s="50" t="e">
        <f>'Raw Data'!#REF!/K$1</f>
        <v>#REF!</v>
      </c>
      <c r="L1026" s="50" t="e">
        <f>'Raw Data'!#REF!/L$1</f>
        <v>#REF!</v>
      </c>
      <c r="M1026" s="50" t="e">
        <f>'Raw Data'!#REF!/M$1</f>
        <v>#REF!</v>
      </c>
      <c r="N1026" s="50" t="e">
        <f>'Raw Data'!#REF!/N$1</f>
        <v>#REF!</v>
      </c>
      <c r="O1026" s="50" t="e">
        <f>'Raw Data'!#REF!/O$1</f>
        <v>#REF!</v>
      </c>
      <c r="P1026" s="50" t="str">
        <f t="shared" si="165"/>
        <v/>
      </c>
      <c r="Q1026" s="50" t="e">
        <f t="shared" si="166"/>
        <v>#REF!</v>
      </c>
    </row>
    <row r="1027" spans="1:17">
      <c r="A1027" s="101" t="s">
        <v>212</v>
      </c>
      <c r="B1027" s="101">
        <v>5</v>
      </c>
      <c r="C1027" s="101">
        <v>2025</v>
      </c>
      <c r="D1027" s="101" t="s">
        <v>211</v>
      </c>
      <c r="E1027" s="101" t="s">
        <v>211</v>
      </c>
      <c r="F1027" s="194">
        <v>45658</v>
      </c>
      <c r="G1027" s="101">
        <f t="shared" si="163"/>
        <v>31</v>
      </c>
      <c r="H1027" s="103">
        <f t="shared" si="164"/>
        <v>45676</v>
      </c>
      <c r="I1027" s="141">
        <f>_xlfn.XLOOKUP(Table12[[#This Row],[Month Year]],'Modelling New'!D:D,'Modelling New'!N:N)</f>
        <v>10.507</v>
      </c>
      <c r="J1027" s="50" t="e">
        <f>'Raw Data'!#REF!/J$1</f>
        <v>#REF!</v>
      </c>
      <c r="K1027" s="50" t="e">
        <f>'Raw Data'!#REF!/K$1</f>
        <v>#REF!</v>
      </c>
      <c r="L1027" s="50" t="e">
        <f>'Raw Data'!#REF!/L$1</f>
        <v>#REF!</v>
      </c>
      <c r="M1027" s="50" t="e">
        <f>'Raw Data'!#REF!/M$1</f>
        <v>#REF!</v>
      </c>
      <c r="N1027" s="50" t="e">
        <f>'Raw Data'!#REF!/N$1</f>
        <v>#REF!</v>
      </c>
      <c r="O1027" s="50" t="e">
        <f>'Raw Data'!#REF!/O$1</f>
        <v>#REF!</v>
      </c>
      <c r="P1027" s="50" t="str">
        <f t="shared" si="165"/>
        <v/>
      </c>
      <c r="Q1027" s="50" t="e">
        <f t="shared" si="166"/>
        <v>#REF!</v>
      </c>
    </row>
    <row r="1028" spans="1:17">
      <c r="A1028" s="101" t="s">
        <v>212</v>
      </c>
      <c r="B1028" s="101">
        <v>5</v>
      </c>
      <c r="C1028" s="101">
        <v>2025</v>
      </c>
      <c r="D1028" s="101" t="s">
        <v>211</v>
      </c>
      <c r="E1028" s="101" t="s">
        <v>211</v>
      </c>
      <c r="F1028" s="194">
        <v>45658</v>
      </c>
      <c r="G1028" s="101">
        <f t="shared" si="163"/>
        <v>31</v>
      </c>
      <c r="H1028" s="103">
        <f t="shared" si="164"/>
        <v>45677</v>
      </c>
      <c r="I1028" s="141">
        <f>_xlfn.XLOOKUP(Table12[[#This Row],[Month Year]],'Modelling New'!D:D,'Modelling New'!N:N)</f>
        <v>10.507</v>
      </c>
      <c r="J1028" s="50" t="e">
        <f>'Raw Data'!#REF!/J$1</f>
        <v>#REF!</v>
      </c>
      <c r="K1028" s="50" t="e">
        <f>'Raw Data'!#REF!/K$1</f>
        <v>#REF!</v>
      </c>
      <c r="L1028" s="50" t="e">
        <f>'Raw Data'!#REF!/L$1</f>
        <v>#REF!</v>
      </c>
      <c r="M1028" s="50" t="e">
        <f>'Raw Data'!#REF!/M$1</f>
        <v>#REF!</v>
      </c>
      <c r="N1028" s="50" t="e">
        <f>'Raw Data'!#REF!/N$1</f>
        <v>#REF!</v>
      </c>
      <c r="O1028" s="50" t="e">
        <f>'Raw Data'!#REF!/O$1</f>
        <v>#REF!</v>
      </c>
      <c r="P1028" s="50" t="str">
        <f t="shared" si="165"/>
        <v/>
      </c>
      <c r="Q1028" s="50" t="e">
        <f t="shared" si="166"/>
        <v>#REF!</v>
      </c>
    </row>
    <row r="1029" spans="1:17">
      <c r="A1029" s="101" t="s">
        <v>212</v>
      </c>
      <c r="B1029" s="101">
        <v>5</v>
      </c>
      <c r="C1029" s="101">
        <v>2025</v>
      </c>
      <c r="D1029" s="101" t="s">
        <v>211</v>
      </c>
      <c r="E1029" s="101" t="s">
        <v>211</v>
      </c>
      <c r="F1029" s="194">
        <v>45658</v>
      </c>
      <c r="G1029" s="101">
        <f t="shared" si="163"/>
        <v>31</v>
      </c>
      <c r="H1029" s="103">
        <f t="shared" si="164"/>
        <v>45678</v>
      </c>
      <c r="I1029" s="141">
        <f>_xlfn.XLOOKUP(Table12[[#This Row],[Month Year]],'Modelling New'!D:D,'Modelling New'!N:N)</f>
        <v>10.507</v>
      </c>
      <c r="J1029" s="50" t="e">
        <f>'Raw Data'!#REF!/J$1</f>
        <v>#REF!</v>
      </c>
      <c r="K1029" s="50" t="e">
        <f>'Raw Data'!#REF!/K$1</f>
        <v>#REF!</v>
      </c>
      <c r="L1029" s="50" t="e">
        <f>'Raw Data'!#REF!/L$1</f>
        <v>#REF!</v>
      </c>
      <c r="M1029" s="50" t="e">
        <f>'Raw Data'!#REF!/M$1</f>
        <v>#REF!</v>
      </c>
      <c r="N1029" s="50" t="e">
        <f>'Raw Data'!#REF!/N$1</f>
        <v>#REF!</v>
      </c>
      <c r="O1029" s="50" t="e">
        <f>'Raw Data'!#REF!/O$1</f>
        <v>#REF!</v>
      </c>
      <c r="P1029" s="50" t="str">
        <f t="shared" si="165"/>
        <v/>
      </c>
      <c r="Q1029" s="50" t="e">
        <f t="shared" si="166"/>
        <v>#REF!</v>
      </c>
    </row>
    <row r="1030" spans="1:17">
      <c r="A1030" s="101" t="s">
        <v>212</v>
      </c>
      <c r="B1030" s="101">
        <v>5</v>
      </c>
      <c r="C1030" s="101">
        <v>2025</v>
      </c>
      <c r="D1030" s="101" t="s">
        <v>211</v>
      </c>
      <c r="E1030" s="101" t="s">
        <v>211</v>
      </c>
      <c r="F1030" s="194">
        <v>45658</v>
      </c>
      <c r="G1030" s="101">
        <f t="shared" si="163"/>
        <v>31</v>
      </c>
      <c r="H1030" s="103">
        <f t="shared" si="164"/>
        <v>45679</v>
      </c>
      <c r="I1030" s="141">
        <f>_xlfn.XLOOKUP(Table12[[#This Row],[Month Year]],'Modelling New'!D:D,'Modelling New'!N:N)</f>
        <v>10.507</v>
      </c>
      <c r="J1030" s="50" t="e">
        <f>'Raw Data'!#REF!/J$1</f>
        <v>#REF!</v>
      </c>
      <c r="K1030" s="50" t="e">
        <f>'Raw Data'!#REF!/K$1</f>
        <v>#REF!</v>
      </c>
      <c r="L1030" s="50" t="e">
        <f>'Raw Data'!#REF!/L$1</f>
        <v>#REF!</v>
      </c>
      <c r="M1030" s="50" t="e">
        <f>'Raw Data'!#REF!/M$1</f>
        <v>#REF!</v>
      </c>
      <c r="N1030" s="50" t="e">
        <f>'Raw Data'!#REF!/N$1</f>
        <v>#REF!</v>
      </c>
      <c r="O1030" s="50" t="e">
        <f>'Raw Data'!#REF!/O$1</f>
        <v>#REF!</v>
      </c>
      <c r="P1030" s="50" t="str">
        <f t="shared" si="165"/>
        <v/>
      </c>
      <c r="Q1030" s="50" t="e">
        <f t="shared" si="166"/>
        <v>#REF!</v>
      </c>
    </row>
    <row r="1031" spans="1:17">
      <c r="A1031" s="101" t="s">
        <v>212</v>
      </c>
      <c r="B1031" s="101">
        <v>5</v>
      </c>
      <c r="C1031" s="101">
        <v>2025</v>
      </c>
      <c r="D1031" s="101" t="s">
        <v>211</v>
      </c>
      <c r="E1031" s="101" t="s">
        <v>211</v>
      </c>
      <c r="F1031" s="194">
        <v>45658</v>
      </c>
      <c r="G1031" s="101">
        <f t="shared" si="163"/>
        <v>31</v>
      </c>
      <c r="H1031" s="103">
        <f t="shared" si="164"/>
        <v>45680</v>
      </c>
      <c r="I1031" s="141">
        <f>_xlfn.XLOOKUP(Table12[[#This Row],[Month Year]],'Modelling New'!D:D,'Modelling New'!N:N)</f>
        <v>10.507</v>
      </c>
      <c r="J1031" s="50" t="e">
        <f>'Raw Data'!#REF!/J$1</f>
        <v>#REF!</v>
      </c>
      <c r="K1031" s="50" t="e">
        <f>'Raw Data'!#REF!/K$1</f>
        <v>#REF!</v>
      </c>
      <c r="L1031" s="50" t="e">
        <f>'Raw Data'!#REF!/L$1</f>
        <v>#REF!</v>
      </c>
      <c r="M1031" s="50" t="e">
        <f>'Raw Data'!#REF!/M$1</f>
        <v>#REF!</v>
      </c>
      <c r="N1031" s="50" t="e">
        <f>'Raw Data'!#REF!/N$1</f>
        <v>#REF!</v>
      </c>
      <c r="O1031" s="50" t="e">
        <f>'Raw Data'!#REF!/O$1</f>
        <v>#REF!</v>
      </c>
      <c r="P1031" s="50" t="str">
        <f t="shared" si="165"/>
        <v/>
      </c>
      <c r="Q1031" s="50" t="e">
        <f t="shared" si="166"/>
        <v>#REF!</v>
      </c>
    </row>
    <row r="1032" spans="1:17">
      <c r="A1032" s="101" t="s">
        <v>212</v>
      </c>
      <c r="B1032" s="101">
        <v>5</v>
      </c>
      <c r="C1032" s="101">
        <v>2025</v>
      </c>
      <c r="D1032" s="101" t="s">
        <v>211</v>
      </c>
      <c r="E1032" s="101" t="s">
        <v>211</v>
      </c>
      <c r="F1032" s="194">
        <v>45658</v>
      </c>
      <c r="G1032" s="101">
        <f t="shared" si="163"/>
        <v>31</v>
      </c>
      <c r="H1032" s="103">
        <f t="shared" si="164"/>
        <v>45681</v>
      </c>
      <c r="I1032" s="141">
        <f>_xlfn.XLOOKUP(Table12[[#This Row],[Month Year]],'Modelling New'!D:D,'Modelling New'!N:N)</f>
        <v>10.507</v>
      </c>
      <c r="J1032" s="50" t="e">
        <f>'Raw Data'!#REF!/J$1</f>
        <v>#REF!</v>
      </c>
      <c r="K1032" s="50" t="e">
        <f>'Raw Data'!#REF!/K$1</f>
        <v>#REF!</v>
      </c>
      <c r="L1032" s="50" t="e">
        <f>'Raw Data'!#REF!/L$1</f>
        <v>#REF!</v>
      </c>
      <c r="M1032" s="50" t="e">
        <f>'Raw Data'!#REF!/M$1</f>
        <v>#REF!</v>
      </c>
      <c r="N1032" s="50" t="e">
        <f>'Raw Data'!#REF!/N$1</f>
        <v>#REF!</v>
      </c>
      <c r="O1032" s="50" t="e">
        <f>'Raw Data'!#REF!/O$1</f>
        <v>#REF!</v>
      </c>
      <c r="P1032" s="50" t="str">
        <f t="shared" si="165"/>
        <v/>
      </c>
      <c r="Q1032" s="50" t="e">
        <f t="shared" si="166"/>
        <v>#REF!</v>
      </c>
    </row>
    <row r="1033" spans="1:17">
      <c r="A1033" s="101" t="s">
        <v>212</v>
      </c>
      <c r="B1033" s="101">
        <v>5</v>
      </c>
      <c r="C1033" s="101">
        <v>2025</v>
      </c>
      <c r="D1033" s="101" t="s">
        <v>211</v>
      </c>
      <c r="E1033" s="101" t="s">
        <v>211</v>
      </c>
      <c r="F1033" s="194">
        <v>45658</v>
      </c>
      <c r="G1033" s="101">
        <f t="shared" si="163"/>
        <v>31</v>
      </c>
      <c r="H1033" s="103">
        <f t="shared" si="164"/>
        <v>45682</v>
      </c>
      <c r="I1033" s="141">
        <f>_xlfn.XLOOKUP(Table12[[#This Row],[Month Year]],'Modelling New'!D:D,'Modelling New'!N:N)</f>
        <v>10.507</v>
      </c>
      <c r="J1033" s="50" t="e">
        <f>'Raw Data'!#REF!/J$1</f>
        <v>#REF!</v>
      </c>
      <c r="K1033" s="50" t="e">
        <f>'Raw Data'!#REF!/K$1</f>
        <v>#REF!</v>
      </c>
      <c r="L1033" s="50" t="e">
        <f>'Raw Data'!#REF!/L$1</f>
        <v>#REF!</v>
      </c>
      <c r="M1033" s="50" t="e">
        <f>'Raw Data'!#REF!/M$1</f>
        <v>#REF!</v>
      </c>
      <c r="N1033" s="50" t="e">
        <f>'Raw Data'!#REF!/N$1</f>
        <v>#REF!</v>
      </c>
      <c r="O1033" s="50" t="e">
        <f>'Raw Data'!#REF!/O$1</f>
        <v>#REF!</v>
      </c>
      <c r="P1033" s="50" t="str">
        <f t="shared" si="165"/>
        <v/>
      </c>
      <c r="Q1033" s="50" t="e">
        <f t="shared" si="166"/>
        <v>#REF!</v>
      </c>
    </row>
    <row r="1034" spans="1:17">
      <c r="A1034" s="101" t="s">
        <v>212</v>
      </c>
      <c r="B1034" s="101">
        <v>5</v>
      </c>
      <c r="C1034" s="101">
        <v>2025</v>
      </c>
      <c r="D1034" s="101" t="s">
        <v>211</v>
      </c>
      <c r="E1034" s="101" t="s">
        <v>211</v>
      </c>
      <c r="F1034" s="194">
        <v>45658</v>
      </c>
      <c r="G1034" s="101">
        <f t="shared" ref="G1034:G1042" si="167">DAY(EOMONTH(F1034,0))</f>
        <v>31</v>
      </c>
      <c r="H1034" s="103">
        <f t="shared" si="164"/>
        <v>45683</v>
      </c>
      <c r="I1034" s="141">
        <f>_xlfn.XLOOKUP(Table12[[#This Row],[Month Year]],'Modelling New'!D:D,'Modelling New'!N:N)</f>
        <v>10.507</v>
      </c>
      <c r="J1034" s="50" t="e">
        <f>'Raw Data'!#REF!/J$1</f>
        <v>#REF!</v>
      </c>
      <c r="K1034" s="50" t="e">
        <f>'Raw Data'!#REF!/K$1</f>
        <v>#REF!</v>
      </c>
      <c r="L1034" s="50" t="e">
        <f>'Raw Data'!#REF!/L$1</f>
        <v>#REF!</v>
      </c>
      <c r="M1034" s="50" t="e">
        <f>'Raw Data'!#REF!/M$1</f>
        <v>#REF!</v>
      </c>
      <c r="N1034" s="50" t="e">
        <f>'Raw Data'!#REF!/N$1</f>
        <v>#REF!</v>
      </c>
      <c r="O1034" s="50" t="e">
        <f>'Raw Data'!#REF!/O$1</f>
        <v>#REF!</v>
      </c>
      <c r="P1034" s="50" t="str">
        <f t="shared" ref="P1034:P1039" si="168">IFERROR(AVERAGEIF(J1034:O1034,"&gt;"&amp;0,J1034:O1034),"")</f>
        <v/>
      </c>
      <c r="Q1034" s="50" t="e">
        <f t="shared" ref="Q1034:Q1039" si="169">MAXA(J1034:O1034)</f>
        <v>#REF!</v>
      </c>
    </row>
    <row r="1035" spans="1:17">
      <c r="A1035" s="101" t="s">
        <v>212</v>
      </c>
      <c r="B1035" s="101">
        <v>5</v>
      </c>
      <c r="C1035" s="101">
        <v>2025</v>
      </c>
      <c r="D1035" s="101" t="s">
        <v>211</v>
      </c>
      <c r="E1035" s="101" t="s">
        <v>211</v>
      </c>
      <c r="F1035" s="194">
        <v>45658</v>
      </c>
      <c r="G1035" s="101">
        <f t="shared" si="167"/>
        <v>31</v>
      </c>
      <c r="H1035" s="103">
        <f t="shared" si="164"/>
        <v>45684</v>
      </c>
      <c r="I1035" s="141">
        <f>_xlfn.XLOOKUP(Table12[[#This Row],[Month Year]],'Modelling New'!D:D,'Modelling New'!N:N)</f>
        <v>10.507</v>
      </c>
      <c r="J1035" s="50" t="e">
        <f>'Raw Data'!#REF!/J$1</f>
        <v>#REF!</v>
      </c>
      <c r="K1035" s="50" t="e">
        <f>'Raw Data'!#REF!/K$1</f>
        <v>#REF!</v>
      </c>
      <c r="L1035" s="50" t="e">
        <f>'Raw Data'!#REF!/L$1</f>
        <v>#REF!</v>
      </c>
      <c r="M1035" s="50" t="e">
        <f>'Raw Data'!#REF!/M$1</f>
        <v>#REF!</v>
      </c>
      <c r="N1035" s="50" t="e">
        <f>'Raw Data'!#REF!/N$1</f>
        <v>#REF!</v>
      </c>
      <c r="O1035" s="50" t="e">
        <f>'Raw Data'!#REF!/O$1</f>
        <v>#REF!</v>
      </c>
      <c r="P1035" s="50" t="str">
        <f t="shared" si="168"/>
        <v/>
      </c>
      <c r="Q1035" s="50" t="e">
        <f t="shared" si="169"/>
        <v>#REF!</v>
      </c>
    </row>
    <row r="1036" spans="1:17">
      <c r="A1036" s="101" t="s">
        <v>212</v>
      </c>
      <c r="B1036" s="101">
        <v>5</v>
      </c>
      <c r="C1036" s="101">
        <v>2025</v>
      </c>
      <c r="D1036" s="101" t="s">
        <v>211</v>
      </c>
      <c r="E1036" s="101" t="s">
        <v>211</v>
      </c>
      <c r="F1036" s="194">
        <v>45658</v>
      </c>
      <c r="G1036" s="101">
        <f t="shared" si="167"/>
        <v>31</v>
      </c>
      <c r="H1036" s="103">
        <f t="shared" si="164"/>
        <v>45685</v>
      </c>
      <c r="I1036" s="141">
        <f>_xlfn.XLOOKUP(Table12[[#This Row],[Month Year]],'Modelling New'!D:D,'Modelling New'!N:N)</f>
        <v>10.507</v>
      </c>
      <c r="J1036" s="50" t="e">
        <f>'Raw Data'!#REF!/J$1</f>
        <v>#REF!</v>
      </c>
      <c r="K1036" s="50" t="e">
        <f>'Raw Data'!#REF!/K$1</f>
        <v>#REF!</v>
      </c>
      <c r="L1036" s="50" t="e">
        <f>'Raw Data'!#REF!/L$1</f>
        <v>#REF!</v>
      </c>
      <c r="M1036" s="50" t="e">
        <f>'Raw Data'!#REF!/M$1</f>
        <v>#REF!</v>
      </c>
      <c r="N1036" s="50" t="e">
        <f>'Raw Data'!#REF!/N$1</f>
        <v>#REF!</v>
      </c>
      <c r="O1036" s="50" t="e">
        <f>'Raw Data'!#REF!/O$1</f>
        <v>#REF!</v>
      </c>
      <c r="P1036" s="50" t="str">
        <f t="shared" si="168"/>
        <v/>
      </c>
      <c r="Q1036" s="50" t="e">
        <f t="shared" si="169"/>
        <v>#REF!</v>
      </c>
    </row>
    <row r="1037" spans="1:17">
      <c r="A1037" s="101" t="s">
        <v>212</v>
      </c>
      <c r="B1037" s="101">
        <v>5</v>
      </c>
      <c r="C1037" s="101">
        <v>2025</v>
      </c>
      <c r="D1037" s="101" t="s">
        <v>211</v>
      </c>
      <c r="E1037" s="101" t="s">
        <v>211</v>
      </c>
      <c r="F1037" s="194">
        <v>45658</v>
      </c>
      <c r="G1037" s="101">
        <f t="shared" si="167"/>
        <v>31</v>
      </c>
      <c r="H1037" s="103">
        <f t="shared" si="164"/>
        <v>45686</v>
      </c>
      <c r="I1037" s="141">
        <f>_xlfn.XLOOKUP(Table12[[#This Row],[Month Year]],'Modelling New'!D:D,'Modelling New'!N:N)</f>
        <v>10.507</v>
      </c>
      <c r="J1037" s="50" t="e">
        <f>'Raw Data'!#REF!/J$1</f>
        <v>#REF!</v>
      </c>
      <c r="K1037" s="50" t="e">
        <f>'Raw Data'!#REF!/K$1</f>
        <v>#REF!</v>
      </c>
      <c r="L1037" s="50" t="e">
        <f>'Raw Data'!#REF!/L$1</f>
        <v>#REF!</v>
      </c>
      <c r="M1037" s="50" t="e">
        <f>'Raw Data'!#REF!/M$1</f>
        <v>#REF!</v>
      </c>
      <c r="N1037" s="50" t="e">
        <f>'Raw Data'!#REF!/N$1</f>
        <v>#REF!</v>
      </c>
      <c r="O1037" s="50" t="e">
        <f>'Raw Data'!#REF!/O$1</f>
        <v>#REF!</v>
      </c>
      <c r="P1037" s="50" t="str">
        <f t="shared" si="168"/>
        <v/>
      </c>
      <c r="Q1037" s="50" t="e">
        <f t="shared" si="169"/>
        <v>#REF!</v>
      </c>
    </row>
    <row r="1038" spans="1:17">
      <c r="A1038" s="101" t="s">
        <v>212</v>
      </c>
      <c r="B1038" s="101">
        <v>5</v>
      </c>
      <c r="C1038" s="101">
        <v>2025</v>
      </c>
      <c r="D1038" s="101" t="s">
        <v>211</v>
      </c>
      <c r="E1038" s="101" t="s">
        <v>211</v>
      </c>
      <c r="F1038" s="194">
        <v>45658</v>
      </c>
      <c r="G1038" s="101">
        <f t="shared" si="167"/>
        <v>31</v>
      </c>
      <c r="H1038" s="103">
        <f t="shared" si="164"/>
        <v>45687</v>
      </c>
      <c r="I1038" s="141">
        <f>_xlfn.XLOOKUP(Table12[[#This Row],[Month Year]],'Modelling New'!D:D,'Modelling New'!N:N)</f>
        <v>10.507</v>
      </c>
      <c r="J1038" s="50" t="e">
        <f>'Raw Data'!#REF!/J$1</f>
        <v>#REF!</v>
      </c>
      <c r="K1038" s="50" t="e">
        <f>'Raw Data'!#REF!/K$1</f>
        <v>#REF!</v>
      </c>
      <c r="L1038" s="50" t="e">
        <f>'Raw Data'!#REF!/L$1</f>
        <v>#REF!</v>
      </c>
      <c r="M1038" s="50" t="e">
        <f>'Raw Data'!#REF!/M$1</f>
        <v>#REF!</v>
      </c>
      <c r="N1038" s="50" t="e">
        <f>'Raw Data'!#REF!/N$1</f>
        <v>#REF!</v>
      </c>
      <c r="O1038" s="50" t="e">
        <f>'Raw Data'!#REF!/O$1</f>
        <v>#REF!</v>
      </c>
      <c r="P1038" s="50" t="str">
        <f t="shared" si="168"/>
        <v/>
      </c>
      <c r="Q1038" s="50" t="e">
        <f t="shared" si="169"/>
        <v>#REF!</v>
      </c>
    </row>
    <row r="1039" spans="1:17">
      <c r="A1039" s="101" t="s">
        <v>212</v>
      </c>
      <c r="B1039" s="101">
        <v>5</v>
      </c>
      <c r="C1039" s="101">
        <v>2025</v>
      </c>
      <c r="D1039" s="101" t="s">
        <v>211</v>
      </c>
      <c r="E1039" s="101" t="s">
        <v>211</v>
      </c>
      <c r="F1039" s="194">
        <v>45658</v>
      </c>
      <c r="G1039" s="101">
        <f t="shared" si="167"/>
        <v>31</v>
      </c>
      <c r="H1039" s="103">
        <f t="shared" si="164"/>
        <v>45688</v>
      </c>
      <c r="I1039" s="141">
        <f>_xlfn.XLOOKUP(Table12[[#This Row],[Month Year]],'Modelling New'!D:D,'Modelling New'!N:N)</f>
        <v>10.507</v>
      </c>
      <c r="J1039" s="50" t="e">
        <f>'Raw Data'!#REF!/J$1</f>
        <v>#REF!</v>
      </c>
      <c r="K1039" s="50" t="e">
        <f>'Raw Data'!#REF!/K$1</f>
        <v>#REF!</v>
      </c>
      <c r="L1039" s="50" t="e">
        <f>'Raw Data'!#REF!/L$1</f>
        <v>#REF!</v>
      </c>
      <c r="M1039" s="50" t="e">
        <f>'Raw Data'!#REF!/M$1</f>
        <v>#REF!</v>
      </c>
      <c r="N1039" s="50" t="e">
        <f>'Raw Data'!#REF!/N$1</f>
        <v>#REF!</v>
      </c>
      <c r="O1039" s="50" t="e">
        <f>'Raw Data'!#REF!/O$1</f>
        <v>#REF!</v>
      </c>
      <c r="P1039" s="50" t="str">
        <f t="shared" si="168"/>
        <v/>
      </c>
      <c r="Q1039" s="50" t="e">
        <f t="shared" si="169"/>
        <v>#REF!</v>
      </c>
    </row>
    <row r="1040" spans="1:17">
      <c r="A1040" s="101" t="s">
        <v>212</v>
      </c>
      <c r="B1040" s="101">
        <v>5</v>
      </c>
      <c r="C1040" s="101">
        <v>2025</v>
      </c>
      <c r="D1040" s="101" t="s">
        <v>211</v>
      </c>
      <c r="E1040" s="101" t="s">
        <v>211</v>
      </c>
      <c r="F1040" s="194">
        <v>45689</v>
      </c>
      <c r="G1040" s="101">
        <f t="shared" si="167"/>
        <v>28</v>
      </c>
      <c r="H1040" s="103">
        <f t="shared" si="164"/>
        <v>45689</v>
      </c>
      <c r="I1040" s="141">
        <f>_xlfn.XLOOKUP(Table12[[#This Row],[Month Year]],'Modelling New'!D:D,'Modelling New'!N:N)</f>
        <v>10.507</v>
      </c>
      <c r="J1040" s="50" t="e">
        <f>'Raw Data'!#REF!/J$1</f>
        <v>#REF!</v>
      </c>
      <c r="K1040" s="50" t="e">
        <f>'Raw Data'!#REF!/K$1</f>
        <v>#REF!</v>
      </c>
      <c r="L1040" s="50" t="e">
        <f>'Raw Data'!#REF!/L$1</f>
        <v>#REF!</v>
      </c>
      <c r="M1040" s="50" t="e">
        <f>'Raw Data'!#REF!/M$1</f>
        <v>#REF!</v>
      </c>
      <c r="N1040" s="50" t="e">
        <f>'Raw Data'!#REF!/N$1</f>
        <v>#REF!</v>
      </c>
      <c r="O1040" s="50" t="e">
        <f>'Raw Data'!#REF!/O$1</f>
        <v>#REF!</v>
      </c>
      <c r="P1040" s="50" t="str">
        <f t="shared" ref="P1040:P1054" si="170">IFERROR(AVERAGEIF(J1040:O1040,"&gt;"&amp;0,J1040:O1040),"")</f>
        <v/>
      </c>
      <c r="Q1040" s="50" t="e">
        <f t="shared" ref="Q1040:Q1054" si="171">MAXA(J1040:O1040)</f>
        <v>#REF!</v>
      </c>
    </row>
    <row r="1041" spans="1:17">
      <c r="A1041" s="101" t="s">
        <v>212</v>
      </c>
      <c r="B1041" s="101">
        <v>5</v>
      </c>
      <c r="C1041" s="101">
        <v>2025</v>
      </c>
      <c r="D1041" s="101" t="s">
        <v>211</v>
      </c>
      <c r="E1041" s="101" t="s">
        <v>211</v>
      </c>
      <c r="F1041" s="194">
        <v>45689</v>
      </c>
      <c r="G1041" s="101">
        <f t="shared" si="167"/>
        <v>28</v>
      </c>
      <c r="H1041" s="103">
        <f t="shared" si="164"/>
        <v>45690</v>
      </c>
      <c r="I1041" s="141">
        <f>_xlfn.XLOOKUP(Table12[[#This Row],[Month Year]],'Modelling New'!D:D,'Modelling New'!N:N)</f>
        <v>10.507</v>
      </c>
      <c r="J1041" s="50" t="e">
        <f>'Raw Data'!#REF!/J$1</f>
        <v>#REF!</v>
      </c>
      <c r="K1041" s="50" t="e">
        <f>'Raw Data'!#REF!/K$1</f>
        <v>#REF!</v>
      </c>
      <c r="L1041" s="50" t="e">
        <f>'Raw Data'!#REF!/L$1</f>
        <v>#REF!</v>
      </c>
      <c r="M1041" s="50" t="e">
        <f>'Raw Data'!#REF!/M$1</f>
        <v>#REF!</v>
      </c>
      <c r="N1041" s="50" t="e">
        <f>'Raw Data'!#REF!/N$1</f>
        <v>#REF!</v>
      </c>
      <c r="O1041" s="50" t="e">
        <f>'Raw Data'!#REF!/O$1</f>
        <v>#REF!</v>
      </c>
      <c r="P1041" s="50" t="str">
        <f t="shared" si="170"/>
        <v/>
      </c>
      <c r="Q1041" s="50" t="e">
        <f t="shared" si="171"/>
        <v>#REF!</v>
      </c>
    </row>
    <row r="1042" spans="1:17">
      <c r="A1042" s="101" t="s">
        <v>212</v>
      </c>
      <c r="B1042" s="101">
        <v>5</v>
      </c>
      <c r="C1042" s="101">
        <v>2025</v>
      </c>
      <c r="D1042" s="101" t="s">
        <v>211</v>
      </c>
      <c r="E1042" s="101" t="s">
        <v>211</v>
      </c>
      <c r="F1042" s="194">
        <v>45689</v>
      </c>
      <c r="G1042" s="101">
        <f t="shared" si="167"/>
        <v>28</v>
      </c>
      <c r="H1042" s="103">
        <f t="shared" si="164"/>
        <v>45691</v>
      </c>
      <c r="I1042" s="141">
        <f>_xlfn.XLOOKUP(Table12[[#This Row],[Month Year]],'Modelling New'!D:D,'Modelling New'!N:N)</f>
        <v>10.507</v>
      </c>
      <c r="J1042" s="50" t="e">
        <f>'Raw Data'!#REF!/J$1</f>
        <v>#REF!</v>
      </c>
      <c r="K1042" s="50" t="e">
        <f>'Raw Data'!#REF!/K$1</f>
        <v>#REF!</v>
      </c>
      <c r="L1042" s="50" t="e">
        <f>'Raw Data'!#REF!/L$1</f>
        <v>#REF!</v>
      </c>
      <c r="M1042" s="50" t="e">
        <f>'Raw Data'!#REF!/M$1</f>
        <v>#REF!</v>
      </c>
      <c r="N1042" s="50" t="e">
        <f>'Raw Data'!#REF!/N$1</f>
        <v>#REF!</v>
      </c>
      <c r="O1042" s="50" t="e">
        <f>'Raw Data'!#REF!/O$1</f>
        <v>#REF!</v>
      </c>
      <c r="P1042" s="50" t="str">
        <f t="shared" si="170"/>
        <v/>
      </c>
      <c r="Q1042" s="50" t="e">
        <f t="shared" si="171"/>
        <v>#REF!</v>
      </c>
    </row>
    <row r="1043" spans="1:17">
      <c r="A1043" s="101" t="s">
        <v>212</v>
      </c>
      <c r="B1043" s="101">
        <v>5</v>
      </c>
      <c r="C1043" s="101">
        <v>2025</v>
      </c>
      <c r="D1043" s="101" t="s">
        <v>211</v>
      </c>
      <c r="E1043" s="101" t="s">
        <v>211</v>
      </c>
      <c r="F1043" s="194">
        <v>45689</v>
      </c>
      <c r="G1043" s="101">
        <f t="shared" ref="G1043:G1056" si="172">DAY(EOMONTH(F1043,0))</f>
        <v>28</v>
      </c>
      <c r="H1043" s="103">
        <f t="shared" si="164"/>
        <v>45692</v>
      </c>
      <c r="I1043" s="141">
        <f>_xlfn.XLOOKUP(Table12[[#This Row],[Month Year]],'Modelling New'!D:D,'Modelling New'!N:N)</f>
        <v>10.507</v>
      </c>
      <c r="J1043" s="50" t="e">
        <f>'Raw Data'!#REF!/J$1</f>
        <v>#REF!</v>
      </c>
      <c r="K1043" s="50" t="e">
        <f>'Raw Data'!#REF!/K$1</f>
        <v>#REF!</v>
      </c>
      <c r="L1043" s="50" t="e">
        <f>'Raw Data'!#REF!/L$1</f>
        <v>#REF!</v>
      </c>
      <c r="M1043" s="50" t="e">
        <f>'Raw Data'!#REF!/M$1</f>
        <v>#REF!</v>
      </c>
      <c r="N1043" s="50" t="e">
        <f>'Raw Data'!#REF!/N$1</f>
        <v>#REF!</v>
      </c>
      <c r="O1043" s="50" t="e">
        <f>'Raw Data'!#REF!/O$1</f>
        <v>#REF!</v>
      </c>
      <c r="P1043" s="50" t="str">
        <f t="shared" si="170"/>
        <v/>
      </c>
      <c r="Q1043" s="50" t="e">
        <f t="shared" si="171"/>
        <v>#REF!</v>
      </c>
    </row>
    <row r="1044" spans="1:17">
      <c r="A1044" s="101" t="s">
        <v>212</v>
      </c>
      <c r="B1044" s="101">
        <v>5</v>
      </c>
      <c r="C1044" s="101">
        <v>2025</v>
      </c>
      <c r="D1044" s="101" t="s">
        <v>211</v>
      </c>
      <c r="E1044" s="101" t="s">
        <v>211</v>
      </c>
      <c r="F1044" s="194">
        <v>45689</v>
      </c>
      <c r="G1044" s="101">
        <f t="shared" si="172"/>
        <v>28</v>
      </c>
      <c r="H1044" s="103">
        <f t="shared" si="164"/>
        <v>45693</v>
      </c>
      <c r="I1044" s="141">
        <f>_xlfn.XLOOKUP(Table12[[#This Row],[Month Year]],'Modelling New'!D:D,'Modelling New'!N:N)</f>
        <v>10.507</v>
      </c>
      <c r="J1044" s="50" t="e">
        <f>'Raw Data'!#REF!/J$1</f>
        <v>#REF!</v>
      </c>
      <c r="K1044" s="50" t="e">
        <f>'Raw Data'!#REF!/K$1</f>
        <v>#REF!</v>
      </c>
      <c r="L1044" s="50" t="e">
        <f>'Raw Data'!#REF!/L$1</f>
        <v>#REF!</v>
      </c>
      <c r="M1044" s="50" t="e">
        <f>'Raw Data'!#REF!/M$1</f>
        <v>#REF!</v>
      </c>
      <c r="N1044" s="50" t="e">
        <f>'Raw Data'!#REF!/N$1</f>
        <v>#REF!</v>
      </c>
      <c r="O1044" s="50" t="e">
        <f>'Raw Data'!#REF!/O$1</f>
        <v>#REF!</v>
      </c>
      <c r="P1044" s="50" t="str">
        <f t="shared" si="170"/>
        <v/>
      </c>
      <c r="Q1044" s="50" t="e">
        <f t="shared" si="171"/>
        <v>#REF!</v>
      </c>
    </row>
    <row r="1045" spans="1:17">
      <c r="A1045" s="101" t="s">
        <v>212</v>
      </c>
      <c r="B1045" s="101">
        <v>5</v>
      </c>
      <c r="C1045" s="101">
        <v>2025</v>
      </c>
      <c r="D1045" s="101" t="s">
        <v>211</v>
      </c>
      <c r="E1045" s="101" t="s">
        <v>211</v>
      </c>
      <c r="F1045" s="194">
        <v>45689</v>
      </c>
      <c r="G1045" s="101">
        <f t="shared" si="172"/>
        <v>28</v>
      </c>
      <c r="H1045" s="103">
        <f t="shared" si="164"/>
        <v>45694</v>
      </c>
      <c r="I1045" s="141">
        <f>_xlfn.XLOOKUP(Table12[[#This Row],[Month Year]],'Modelling New'!D:D,'Modelling New'!N:N)</f>
        <v>10.507</v>
      </c>
      <c r="J1045" s="50" t="e">
        <f>'Raw Data'!#REF!/J$1</f>
        <v>#REF!</v>
      </c>
      <c r="K1045" s="50" t="e">
        <f>'Raw Data'!#REF!/K$1</f>
        <v>#REF!</v>
      </c>
      <c r="L1045" s="50" t="e">
        <f>'Raw Data'!#REF!/L$1</f>
        <v>#REF!</v>
      </c>
      <c r="M1045" s="50" t="e">
        <f>'Raw Data'!#REF!/M$1</f>
        <v>#REF!</v>
      </c>
      <c r="N1045" s="50" t="e">
        <f>'Raw Data'!#REF!/N$1</f>
        <v>#REF!</v>
      </c>
      <c r="O1045" s="50" t="e">
        <f>'Raw Data'!#REF!/O$1</f>
        <v>#REF!</v>
      </c>
      <c r="P1045" s="50" t="str">
        <f t="shared" si="170"/>
        <v/>
      </c>
      <c r="Q1045" s="50" t="e">
        <f t="shared" si="171"/>
        <v>#REF!</v>
      </c>
    </row>
    <row r="1046" spans="1:17">
      <c r="A1046" s="101" t="s">
        <v>212</v>
      </c>
      <c r="B1046" s="101">
        <v>5</v>
      </c>
      <c r="C1046" s="101">
        <v>2025</v>
      </c>
      <c r="D1046" s="101" t="s">
        <v>211</v>
      </c>
      <c r="E1046" s="101" t="s">
        <v>211</v>
      </c>
      <c r="F1046" s="194">
        <v>45689</v>
      </c>
      <c r="G1046" s="101">
        <f t="shared" si="172"/>
        <v>28</v>
      </c>
      <c r="H1046" s="103">
        <f t="shared" si="164"/>
        <v>45695</v>
      </c>
      <c r="I1046" s="141">
        <f>_xlfn.XLOOKUP(Table12[[#This Row],[Month Year]],'Modelling New'!D:D,'Modelling New'!N:N)</f>
        <v>10.507</v>
      </c>
      <c r="J1046" s="50" t="e">
        <f>'Raw Data'!#REF!/J$1</f>
        <v>#REF!</v>
      </c>
      <c r="K1046" s="50" t="e">
        <f>'Raw Data'!#REF!/K$1</f>
        <v>#REF!</v>
      </c>
      <c r="L1046" s="50" t="e">
        <f>'Raw Data'!#REF!/L$1</f>
        <v>#REF!</v>
      </c>
      <c r="M1046" s="50" t="e">
        <f>'Raw Data'!#REF!/M$1</f>
        <v>#REF!</v>
      </c>
      <c r="N1046" s="50" t="e">
        <f>'Raw Data'!#REF!/N$1</f>
        <v>#REF!</v>
      </c>
      <c r="O1046" s="50" t="e">
        <f>'Raw Data'!#REF!/O$1</f>
        <v>#REF!</v>
      </c>
      <c r="P1046" s="50" t="str">
        <f t="shared" si="170"/>
        <v/>
      </c>
      <c r="Q1046" s="50" t="e">
        <f t="shared" si="171"/>
        <v>#REF!</v>
      </c>
    </row>
    <row r="1047" spans="1:17">
      <c r="A1047" s="101" t="s">
        <v>212</v>
      </c>
      <c r="B1047" s="101">
        <v>5</v>
      </c>
      <c r="C1047" s="101">
        <v>2025</v>
      </c>
      <c r="D1047" s="101" t="s">
        <v>211</v>
      </c>
      <c r="E1047" s="101" t="s">
        <v>211</v>
      </c>
      <c r="F1047" s="194">
        <v>45689</v>
      </c>
      <c r="G1047" s="101">
        <f t="shared" si="172"/>
        <v>28</v>
      </c>
      <c r="H1047" s="103">
        <f t="shared" si="164"/>
        <v>45696</v>
      </c>
      <c r="I1047" s="141">
        <f>_xlfn.XLOOKUP(Table12[[#This Row],[Month Year]],'Modelling New'!D:D,'Modelling New'!N:N)</f>
        <v>10.507</v>
      </c>
      <c r="J1047" s="50" t="e">
        <f>'Raw Data'!#REF!/J$1</f>
        <v>#REF!</v>
      </c>
      <c r="K1047" s="50" t="e">
        <f>'Raw Data'!#REF!/K$1</f>
        <v>#REF!</v>
      </c>
      <c r="L1047" s="50" t="e">
        <f>'Raw Data'!#REF!/L$1</f>
        <v>#REF!</v>
      </c>
      <c r="M1047" s="50" t="e">
        <f>'Raw Data'!#REF!/M$1</f>
        <v>#REF!</v>
      </c>
      <c r="N1047" s="50" t="e">
        <f>'Raw Data'!#REF!/N$1</f>
        <v>#REF!</v>
      </c>
      <c r="O1047" s="50" t="e">
        <f>'Raw Data'!#REF!/O$1</f>
        <v>#REF!</v>
      </c>
      <c r="P1047" s="50" t="str">
        <f t="shared" si="170"/>
        <v/>
      </c>
      <c r="Q1047" s="50" t="e">
        <f t="shared" si="171"/>
        <v>#REF!</v>
      </c>
    </row>
    <row r="1048" spans="1:17">
      <c r="A1048" s="101" t="s">
        <v>212</v>
      </c>
      <c r="B1048" s="101">
        <v>5</v>
      </c>
      <c r="C1048" s="101">
        <v>2025</v>
      </c>
      <c r="D1048" s="101" t="s">
        <v>211</v>
      </c>
      <c r="E1048" s="101" t="s">
        <v>211</v>
      </c>
      <c r="F1048" s="194">
        <v>45689</v>
      </c>
      <c r="G1048" s="101">
        <f t="shared" si="172"/>
        <v>28</v>
      </c>
      <c r="H1048" s="103">
        <f t="shared" si="164"/>
        <v>45697</v>
      </c>
      <c r="I1048" s="141">
        <f>_xlfn.XLOOKUP(Table12[[#This Row],[Month Year]],'Modelling New'!D:D,'Modelling New'!N:N)</f>
        <v>10.507</v>
      </c>
      <c r="J1048" s="50" t="e">
        <f>'Raw Data'!#REF!/J$1</f>
        <v>#REF!</v>
      </c>
      <c r="K1048" s="50" t="e">
        <f>'Raw Data'!#REF!/K$1</f>
        <v>#REF!</v>
      </c>
      <c r="L1048" s="50" t="e">
        <f>'Raw Data'!#REF!/L$1</f>
        <v>#REF!</v>
      </c>
      <c r="M1048" s="50" t="e">
        <f>'Raw Data'!#REF!/M$1</f>
        <v>#REF!</v>
      </c>
      <c r="N1048" s="50" t="e">
        <f>'Raw Data'!#REF!/N$1</f>
        <v>#REF!</v>
      </c>
      <c r="O1048" s="50" t="e">
        <f>'Raw Data'!#REF!/O$1</f>
        <v>#REF!</v>
      </c>
      <c r="P1048" s="50" t="str">
        <f t="shared" si="170"/>
        <v/>
      </c>
      <c r="Q1048" s="50" t="e">
        <f t="shared" si="171"/>
        <v>#REF!</v>
      </c>
    </row>
    <row r="1049" spans="1:17">
      <c r="A1049" s="101" t="s">
        <v>212</v>
      </c>
      <c r="B1049" s="101">
        <v>5</v>
      </c>
      <c r="C1049" s="101">
        <v>2025</v>
      </c>
      <c r="D1049" s="101" t="s">
        <v>211</v>
      </c>
      <c r="E1049" s="101" t="s">
        <v>211</v>
      </c>
      <c r="F1049" s="194">
        <v>45689</v>
      </c>
      <c r="G1049" s="101">
        <f t="shared" si="172"/>
        <v>28</v>
      </c>
      <c r="H1049" s="103">
        <f t="shared" si="164"/>
        <v>45698</v>
      </c>
      <c r="I1049" s="141">
        <f>_xlfn.XLOOKUP(Table12[[#This Row],[Month Year]],'Modelling New'!D:D,'Modelling New'!N:N)</f>
        <v>10.507</v>
      </c>
      <c r="J1049" s="50" t="e">
        <f>'Raw Data'!#REF!/J$1</f>
        <v>#REF!</v>
      </c>
      <c r="K1049" s="50" t="e">
        <f>'Raw Data'!#REF!/K$1</f>
        <v>#REF!</v>
      </c>
      <c r="L1049" s="50" t="e">
        <f>'Raw Data'!#REF!/L$1</f>
        <v>#REF!</v>
      </c>
      <c r="M1049" s="50" t="e">
        <f>'Raw Data'!#REF!/M$1</f>
        <v>#REF!</v>
      </c>
      <c r="N1049" s="50" t="e">
        <f>'Raw Data'!#REF!/N$1</f>
        <v>#REF!</v>
      </c>
      <c r="O1049" s="50" t="e">
        <f>'Raw Data'!#REF!/O$1</f>
        <v>#REF!</v>
      </c>
      <c r="P1049" s="50" t="str">
        <f t="shared" si="170"/>
        <v/>
      </c>
      <c r="Q1049" s="50" t="e">
        <f t="shared" si="171"/>
        <v>#REF!</v>
      </c>
    </row>
    <row r="1050" spans="1:17">
      <c r="A1050" s="101" t="s">
        <v>212</v>
      </c>
      <c r="B1050" s="101">
        <v>5</v>
      </c>
      <c r="C1050" s="101">
        <v>2025</v>
      </c>
      <c r="D1050" s="101" t="s">
        <v>211</v>
      </c>
      <c r="E1050" s="101" t="s">
        <v>211</v>
      </c>
      <c r="F1050" s="194">
        <v>45689</v>
      </c>
      <c r="G1050" s="101">
        <f t="shared" si="172"/>
        <v>28</v>
      </c>
      <c r="H1050" s="103">
        <f t="shared" si="164"/>
        <v>45699</v>
      </c>
      <c r="I1050" s="141">
        <f>_xlfn.XLOOKUP(Table12[[#This Row],[Month Year]],'Modelling New'!D:D,'Modelling New'!N:N)</f>
        <v>10.507</v>
      </c>
      <c r="J1050" s="50" t="e">
        <f>'Raw Data'!#REF!/J$1</f>
        <v>#REF!</v>
      </c>
      <c r="K1050" s="50" t="e">
        <f>'Raw Data'!#REF!/K$1</f>
        <v>#REF!</v>
      </c>
      <c r="L1050" s="50" t="e">
        <f>'Raw Data'!#REF!/L$1</f>
        <v>#REF!</v>
      </c>
      <c r="M1050" s="50" t="e">
        <f>'Raw Data'!#REF!/M$1</f>
        <v>#REF!</v>
      </c>
      <c r="N1050" s="50" t="e">
        <f>'Raw Data'!#REF!/N$1</f>
        <v>#REF!</v>
      </c>
      <c r="O1050" s="50" t="e">
        <f>'Raw Data'!#REF!/O$1</f>
        <v>#REF!</v>
      </c>
      <c r="P1050" s="50" t="str">
        <f t="shared" si="170"/>
        <v/>
      </c>
      <c r="Q1050" s="50" t="e">
        <f t="shared" si="171"/>
        <v>#REF!</v>
      </c>
    </row>
    <row r="1051" spans="1:17">
      <c r="A1051" s="101" t="s">
        <v>212</v>
      </c>
      <c r="B1051" s="101">
        <v>5</v>
      </c>
      <c r="C1051" s="101">
        <v>2025</v>
      </c>
      <c r="D1051" s="101" t="s">
        <v>211</v>
      </c>
      <c r="E1051" s="101" t="s">
        <v>211</v>
      </c>
      <c r="F1051" s="194">
        <v>45689</v>
      </c>
      <c r="G1051" s="101">
        <f t="shared" si="172"/>
        <v>28</v>
      </c>
      <c r="H1051" s="103">
        <f t="shared" si="164"/>
        <v>45700</v>
      </c>
      <c r="I1051" s="141">
        <f>_xlfn.XLOOKUP(Table12[[#This Row],[Month Year]],'Modelling New'!D:D,'Modelling New'!N:N)</f>
        <v>10.507</v>
      </c>
      <c r="J1051" s="50" t="e">
        <f>'Raw Data'!#REF!/J$1</f>
        <v>#REF!</v>
      </c>
      <c r="K1051" s="50" t="e">
        <f>'Raw Data'!#REF!/K$1</f>
        <v>#REF!</v>
      </c>
      <c r="L1051" s="50" t="e">
        <f>'Raw Data'!#REF!/L$1</f>
        <v>#REF!</v>
      </c>
      <c r="M1051" s="50" t="e">
        <f>'Raw Data'!#REF!/M$1</f>
        <v>#REF!</v>
      </c>
      <c r="N1051" s="50" t="e">
        <f>'Raw Data'!#REF!/N$1</f>
        <v>#REF!</v>
      </c>
      <c r="O1051" s="50" t="e">
        <f>'Raw Data'!#REF!/O$1</f>
        <v>#REF!</v>
      </c>
      <c r="P1051" s="50" t="str">
        <f t="shared" si="170"/>
        <v/>
      </c>
      <c r="Q1051" s="50" t="e">
        <f t="shared" si="171"/>
        <v>#REF!</v>
      </c>
    </row>
    <row r="1052" spans="1:17">
      <c r="A1052" s="101" t="s">
        <v>212</v>
      </c>
      <c r="B1052" s="101">
        <v>5</v>
      </c>
      <c r="C1052" s="101">
        <v>2025</v>
      </c>
      <c r="D1052" s="101" t="s">
        <v>211</v>
      </c>
      <c r="E1052" s="101" t="s">
        <v>211</v>
      </c>
      <c r="F1052" s="194">
        <v>45689</v>
      </c>
      <c r="G1052" s="101">
        <f t="shared" si="172"/>
        <v>28</v>
      </c>
      <c r="H1052" s="103">
        <f t="shared" si="164"/>
        <v>45701</v>
      </c>
      <c r="I1052" s="141">
        <f>_xlfn.XLOOKUP(Table12[[#This Row],[Month Year]],'Modelling New'!D:D,'Modelling New'!N:N)</f>
        <v>10.507</v>
      </c>
      <c r="J1052" s="50" t="e">
        <f>'Raw Data'!#REF!/J$1</f>
        <v>#REF!</v>
      </c>
      <c r="K1052" s="50" t="e">
        <f>'Raw Data'!#REF!/K$1</f>
        <v>#REF!</v>
      </c>
      <c r="L1052" s="50" t="e">
        <f>'Raw Data'!#REF!/L$1</f>
        <v>#REF!</v>
      </c>
      <c r="M1052" s="50" t="e">
        <f>'Raw Data'!#REF!/M$1</f>
        <v>#REF!</v>
      </c>
      <c r="N1052" s="50" t="e">
        <f>'Raw Data'!#REF!/N$1</f>
        <v>#REF!</v>
      </c>
      <c r="O1052" s="50" t="e">
        <f>'Raw Data'!#REF!/O$1</f>
        <v>#REF!</v>
      </c>
      <c r="P1052" s="50" t="str">
        <f t="shared" si="170"/>
        <v/>
      </c>
      <c r="Q1052" s="50" t="e">
        <f t="shared" si="171"/>
        <v>#REF!</v>
      </c>
    </row>
    <row r="1053" spans="1:17">
      <c r="A1053" s="101" t="s">
        <v>212</v>
      </c>
      <c r="B1053" s="101">
        <v>5</v>
      </c>
      <c r="C1053" s="101">
        <v>2025</v>
      </c>
      <c r="D1053" s="101" t="s">
        <v>211</v>
      </c>
      <c r="E1053" s="101" t="s">
        <v>211</v>
      </c>
      <c r="F1053" s="194">
        <v>45689</v>
      </c>
      <c r="G1053" s="101">
        <f t="shared" si="172"/>
        <v>28</v>
      </c>
      <c r="H1053" s="103">
        <f t="shared" si="164"/>
        <v>45702</v>
      </c>
      <c r="I1053" s="141">
        <f>_xlfn.XLOOKUP(Table12[[#This Row],[Month Year]],'Modelling New'!D:D,'Modelling New'!N:N)</f>
        <v>10.507</v>
      </c>
      <c r="J1053" s="50" t="e">
        <f>'Raw Data'!#REF!/J$1</f>
        <v>#REF!</v>
      </c>
      <c r="K1053" s="50" t="e">
        <f>'Raw Data'!#REF!/K$1</f>
        <v>#REF!</v>
      </c>
      <c r="L1053" s="50" t="e">
        <f>'Raw Data'!#REF!/L$1</f>
        <v>#REF!</v>
      </c>
      <c r="M1053" s="50" t="e">
        <f>'Raw Data'!#REF!/M$1</f>
        <v>#REF!</v>
      </c>
      <c r="N1053" s="50" t="e">
        <f>'Raw Data'!#REF!/N$1</f>
        <v>#REF!</v>
      </c>
      <c r="O1053" s="50" t="e">
        <f>'Raw Data'!#REF!/O$1</f>
        <v>#REF!</v>
      </c>
      <c r="P1053" s="50" t="str">
        <f t="shared" si="170"/>
        <v/>
      </c>
      <c r="Q1053" s="50" t="e">
        <f t="shared" si="171"/>
        <v>#REF!</v>
      </c>
    </row>
    <row r="1054" spans="1:17">
      <c r="A1054" s="101" t="s">
        <v>212</v>
      </c>
      <c r="B1054" s="101">
        <v>5</v>
      </c>
      <c r="C1054" s="101">
        <v>2025</v>
      </c>
      <c r="D1054" s="101" t="s">
        <v>211</v>
      </c>
      <c r="E1054" s="101" t="s">
        <v>211</v>
      </c>
      <c r="F1054" s="194">
        <v>45689</v>
      </c>
      <c r="G1054" s="101">
        <f t="shared" si="172"/>
        <v>28</v>
      </c>
      <c r="H1054" s="103">
        <f t="shared" si="164"/>
        <v>45703</v>
      </c>
      <c r="I1054" s="141">
        <f>_xlfn.XLOOKUP(Table12[[#This Row],[Month Year]],'Modelling New'!D:D,'Modelling New'!N:N)</f>
        <v>10.507</v>
      </c>
      <c r="J1054" s="50" t="e">
        <f>'Raw Data'!#REF!/J$1</f>
        <v>#REF!</v>
      </c>
      <c r="K1054" s="50" t="e">
        <f>'Raw Data'!#REF!/K$1</f>
        <v>#REF!</v>
      </c>
      <c r="L1054" s="50" t="e">
        <f>'Raw Data'!#REF!/L$1</f>
        <v>#REF!</v>
      </c>
      <c r="M1054" s="50" t="e">
        <f>'Raw Data'!#REF!/M$1</f>
        <v>#REF!</v>
      </c>
      <c r="N1054" s="50" t="e">
        <f>'Raw Data'!#REF!/N$1</f>
        <v>#REF!</v>
      </c>
      <c r="O1054" s="50" t="e">
        <f>'Raw Data'!#REF!/O$1</f>
        <v>#REF!</v>
      </c>
      <c r="P1054" s="50" t="str">
        <f t="shared" si="170"/>
        <v/>
      </c>
      <c r="Q1054" s="50" t="e">
        <f t="shared" si="171"/>
        <v>#REF!</v>
      </c>
    </row>
    <row r="1055" spans="1:17">
      <c r="A1055" s="101" t="s">
        <v>212</v>
      </c>
      <c r="B1055" s="101">
        <v>5</v>
      </c>
      <c r="C1055" s="101">
        <v>2025</v>
      </c>
      <c r="D1055" s="101" t="s">
        <v>211</v>
      </c>
      <c r="E1055" s="101" t="s">
        <v>211</v>
      </c>
      <c r="F1055" s="194">
        <v>45689</v>
      </c>
      <c r="G1055" s="101">
        <f t="shared" si="172"/>
        <v>28</v>
      </c>
      <c r="H1055" s="103">
        <f t="shared" si="164"/>
        <v>45704</v>
      </c>
      <c r="I1055" s="141">
        <f>_xlfn.XLOOKUP(Table12[[#This Row],[Month Year]],'Modelling New'!D:D,'Modelling New'!N:N)</f>
        <v>10.507</v>
      </c>
      <c r="J1055" s="50" t="e">
        <f>'Raw Data'!#REF!/J$1</f>
        <v>#REF!</v>
      </c>
      <c r="K1055" s="50" t="e">
        <f>'Raw Data'!#REF!/K$1</f>
        <v>#REF!</v>
      </c>
      <c r="L1055" s="50" t="e">
        <f>'Raw Data'!#REF!/L$1</f>
        <v>#REF!</v>
      </c>
      <c r="M1055" s="50" t="e">
        <f>'Raw Data'!#REF!/M$1</f>
        <v>#REF!</v>
      </c>
      <c r="N1055" s="50" t="e">
        <f>'Raw Data'!#REF!/N$1</f>
        <v>#REF!</v>
      </c>
      <c r="O1055" s="50" t="e">
        <f>'Raw Data'!#REF!/O$1</f>
        <v>#REF!</v>
      </c>
      <c r="P1055" s="50" t="str">
        <f t="shared" ref="P1055:P1066" si="173">IFERROR(AVERAGEIF(J1055:O1055,"&gt;"&amp;0,J1055:O1055),"")</f>
        <v/>
      </c>
      <c r="Q1055" s="50" t="e">
        <f t="shared" ref="Q1055:Q1066" si="174">MAXA(J1055:O1055)</f>
        <v>#REF!</v>
      </c>
    </row>
    <row r="1056" spans="1:17">
      <c r="A1056" s="101" t="s">
        <v>212</v>
      </c>
      <c r="B1056" s="101">
        <v>5</v>
      </c>
      <c r="C1056" s="101">
        <v>2025</v>
      </c>
      <c r="D1056" s="101" t="s">
        <v>211</v>
      </c>
      <c r="E1056" s="101" t="s">
        <v>211</v>
      </c>
      <c r="F1056" s="194">
        <v>45689</v>
      </c>
      <c r="G1056" s="101">
        <f t="shared" si="172"/>
        <v>28</v>
      </c>
      <c r="H1056" s="103">
        <f t="shared" si="164"/>
        <v>45705</v>
      </c>
      <c r="I1056" s="141">
        <f>_xlfn.XLOOKUP(Table12[[#This Row],[Month Year]],'Modelling New'!D:D,'Modelling New'!N:N)</f>
        <v>10.507</v>
      </c>
      <c r="J1056" s="50" t="e">
        <f>'Raw Data'!#REF!/J$1</f>
        <v>#REF!</v>
      </c>
      <c r="K1056" s="50" t="e">
        <f>'Raw Data'!#REF!/K$1</f>
        <v>#REF!</v>
      </c>
      <c r="L1056" s="50" t="e">
        <f>'Raw Data'!#REF!/L$1</f>
        <v>#REF!</v>
      </c>
      <c r="M1056" s="50" t="e">
        <f>'Raw Data'!#REF!/M$1</f>
        <v>#REF!</v>
      </c>
      <c r="N1056" s="50" t="e">
        <f>'Raw Data'!#REF!/N$1</f>
        <v>#REF!</v>
      </c>
      <c r="O1056" s="50" t="e">
        <f>'Raw Data'!#REF!/O$1</f>
        <v>#REF!</v>
      </c>
      <c r="P1056" s="50" t="str">
        <f t="shared" si="173"/>
        <v/>
      </c>
      <c r="Q1056" s="50" t="e">
        <f t="shared" si="174"/>
        <v>#REF!</v>
      </c>
    </row>
    <row r="1057" spans="1:17">
      <c r="A1057" s="101" t="s">
        <v>212</v>
      </c>
      <c r="B1057" s="101">
        <v>5</v>
      </c>
      <c r="C1057" s="101">
        <v>2025</v>
      </c>
      <c r="D1057" s="101" t="s">
        <v>211</v>
      </c>
      <c r="E1057" s="101" t="s">
        <v>211</v>
      </c>
      <c r="F1057" s="194">
        <v>45689</v>
      </c>
      <c r="G1057" s="101">
        <f t="shared" ref="G1057:G1065" si="175">DAY(EOMONTH(F1057,0))</f>
        <v>28</v>
      </c>
      <c r="H1057" s="103">
        <f t="shared" si="164"/>
        <v>45706</v>
      </c>
      <c r="I1057" s="141">
        <f>_xlfn.XLOOKUP(Table12[[#This Row],[Month Year]],'Modelling New'!D:D,'Modelling New'!N:N)</f>
        <v>10.507</v>
      </c>
      <c r="J1057" s="50" t="e">
        <f>'Raw Data'!#REF!/J$1</f>
        <v>#REF!</v>
      </c>
      <c r="K1057" s="50" t="e">
        <f>'Raw Data'!#REF!/K$1</f>
        <v>#REF!</v>
      </c>
      <c r="L1057" s="50" t="e">
        <f>'Raw Data'!#REF!/L$1</f>
        <v>#REF!</v>
      </c>
      <c r="M1057" s="50" t="e">
        <f>'Raw Data'!#REF!/M$1</f>
        <v>#REF!</v>
      </c>
      <c r="N1057" s="50" t="e">
        <f>'Raw Data'!#REF!/N$1</f>
        <v>#REF!</v>
      </c>
      <c r="O1057" s="50" t="e">
        <f>'Raw Data'!#REF!/O$1</f>
        <v>#REF!</v>
      </c>
      <c r="P1057" s="50" t="str">
        <f t="shared" si="173"/>
        <v/>
      </c>
      <c r="Q1057" s="50" t="e">
        <f t="shared" si="174"/>
        <v>#REF!</v>
      </c>
    </row>
    <row r="1058" spans="1:17">
      <c r="A1058" s="101" t="s">
        <v>212</v>
      </c>
      <c r="B1058" s="101">
        <v>5</v>
      </c>
      <c r="C1058" s="101">
        <v>2025</v>
      </c>
      <c r="D1058" s="101" t="s">
        <v>211</v>
      </c>
      <c r="E1058" s="101" t="s">
        <v>211</v>
      </c>
      <c r="F1058" s="194">
        <v>45689</v>
      </c>
      <c r="G1058" s="101">
        <f t="shared" si="175"/>
        <v>28</v>
      </c>
      <c r="H1058" s="103">
        <f t="shared" si="164"/>
        <v>45707</v>
      </c>
      <c r="I1058" s="141">
        <f>_xlfn.XLOOKUP(Table12[[#This Row],[Month Year]],'Modelling New'!D:D,'Modelling New'!N:N)</f>
        <v>10.507</v>
      </c>
      <c r="J1058" s="50" t="e">
        <f>'Raw Data'!#REF!/J$1</f>
        <v>#REF!</v>
      </c>
      <c r="K1058" s="50" t="e">
        <f>'Raw Data'!#REF!/K$1</f>
        <v>#REF!</v>
      </c>
      <c r="L1058" s="50" t="e">
        <f>'Raw Data'!#REF!/L$1</f>
        <v>#REF!</v>
      </c>
      <c r="M1058" s="50" t="e">
        <f>'Raw Data'!#REF!/M$1</f>
        <v>#REF!</v>
      </c>
      <c r="N1058" s="50" t="e">
        <f>'Raw Data'!#REF!/N$1</f>
        <v>#REF!</v>
      </c>
      <c r="O1058" s="50" t="e">
        <f>'Raw Data'!#REF!/O$1</f>
        <v>#REF!</v>
      </c>
      <c r="P1058" s="50" t="str">
        <f t="shared" si="173"/>
        <v/>
      </c>
      <c r="Q1058" s="50" t="e">
        <f t="shared" si="174"/>
        <v>#REF!</v>
      </c>
    </row>
    <row r="1059" spans="1:17">
      <c r="A1059" s="101" t="s">
        <v>212</v>
      </c>
      <c r="B1059" s="101">
        <v>5</v>
      </c>
      <c r="C1059" s="101">
        <v>2025</v>
      </c>
      <c r="D1059" s="101" t="s">
        <v>211</v>
      </c>
      <c r="E1059" s="101" t="s">
        <v>211</v>
      </c>
      <c r="F1059" s="194">
        <v>45689</v>
      </c>
      <c r="G1059" s="101">
        <f t="shared" si="175"/>
        <v>28</v>
      </c>
      <c r="H1059" s="103">
        <f t="shared" si="164"/>
        <v>45708</v>
      </c>
      <c r="I1059" s="141">
        <f>_xlfn.XLOOKUP(Table12[[#This Row],[Month Year]],'Modelling New'!D:D,'Modelling New'!N:N)</f>
        <v>10.507</v>
      </c>
      <c r="J1059" s="50" t="e">
        <f>'Raw Data'!#REF!/J$1</f>
        <v>#REF!</v>
      </c>
      <c r="K1059" s="50" t="e">
        <f>'Raw Data'!#REF!/K$1</f>
        <v>#REF!</v>
      </c>
      <c r="L1059" s="50" t="e">
        <f>'Raw Data'!#REF!/L$1</f>
        <v>#REF!</v>
      </c>
      <c r="M1059" s="50" t="e">
        <f>'Raw Data'!#REF!/M$1</f>
        <v>#REF!</v>
      </c>
      <c r="N1059" s="50" t="e">
        <f>'Raw Data'!#REF!/N$1</f>
        <v>#REF!</v>
      </c>
      <c r="O1059" s="50" t="e">
        <f>'Raw Data'!#REF!/O$1</f>
        <v>#REF!</v>
      </c>
      <c r="P1059" s="50" t="str">
        <f t="shared" si="173"/>
        <v/>
      </c>
      <c r="Q1059" s="50" t="e">
        <f t="shared" si="174"/>
        <v>#REF!</v>
      </c>
    </row>
    <row r="1060" spans="1:17">
      <c r="A1060" s="101" t="s">
        <v>212</v>
      </c>
      <c r="B1060" s="101">
        <v>5</v>
      </c>
      <c r="C1060" s="101">
        <v>2025</v>
      </c>
      <c r="D1060" s="101" t="s">
        <v>211</v>
      </c>
      <c r="E1060" s="101" t="s">
        <v>211</v>
      </c>
      <c r="F1060" s="194">
        <v>45689</v>
      </c>
      <c r="G1060" s="101">
        <f t="shared" si="175"/>
        <v>28</v>
      </c>
      <c r="H1060" s="103">
        <f t="shared" si="164"/>
        <v>45709</v>
      </c>
      <c r="I1060" s="141">
        <f>_xlfn.XLOOKUP(Table12[[#This Row],[Month Year]],'Modelling New'!D:D,'Modelling New'!N:N)</f>
        <v>10.507</v>
      </c>
      <c r="J1060" s="50" t="e">
        <f>'Raw Data'!#REF!/J$1</f>
        <v>#REF!</v>
      </c>
      <c r="K1060" s="50" t="e">
        <f>'Raw Data'!#REF!/K$1</f>
        <v>#REF!</v>
      </c>
      <c r="L1060" s="50" t="e">
        <f>'Raw Data'!#REF!/L$1</f>
        <v>#REF!</v>
      </c>
      <c r="M1060" s="50" t="e">
        <f>'Raw Data'!#REF!/M$1</f>
        <v>#REF!</v>
      </c>
      <c r="N1060" s="50" t="e">
        <f>'Raw Data'!#REF!/N$1</f>
        <v>#REF!</v>
      </c>
      <c r="O1060" s="50" t="e">
        <f>'Raw Data'!#REF!/O$1</f>
        <v>#REF!</v>
      </c>
      <c r="P1060" s="50" t="str">
        <f t="shared" si="173"/>
        <v/>
      </c>
      <c r="Q1060" s="50" t="e">
        <f t="shared" si="174"/>
        <v>#REF!</v>
      </c>
    </row>
    <row r="1061" spans="1:17">
      <c r="A1061" s="101" t="s">
        <v>212</v>
      </c>
      <c r="B1061" s="101">
        <v>5</v>
      </c>
      <c r="C1061" s="101">
        <v>2025</v>
      </c>
      <c r="D1061" s="101" t="s">
        <v>211</v>
      </c>
      <c r="E1061" s="101" t="s">
        <v>211</v>
      </c>
      <c r="F1061" s="194">
        <v>45689</v>
      </c>
      <c r="G1061" s="101">
        <f t="shared" si="175"/>
        <v>28</v>
      </c>
      <c r="H1061" s="103">
        <f t="shared" si="164"/>
        <v>45710</v>
      </c>
      <c r="I1061" s="141">
        <f>_xlfn.XLOOKUP(Table12[[#This Row],[Month Year]],'Modelling New'!D:D,'Modelling New'!N:N)</f>
        <v>10.507</v>
      </c>
      <c r="J1061" s="50" t="e">
        <f>'Raw Data'!#REF!/J$1</f>
        <v>#REF!</v>
      </c>
      <c r="K1061" s="50" t="e">
        <f>'Raw Data'!#REF!/K$1</f>
        <v>#REF!</v>
      </c>
      <c r="L1061" s="50" t="e">
        <f>'Raw Data'!#REF!/L$1</f>
        <v>#REF!</v>
      </c>
      <c r="M1061" s="50" t="e">
        <f>'Raw Data'!#REF!/M$1</f>
        <v>#REF!</v>
      </c>
      <c r="N1061" s="50" t="e">
        <f>'Raw Data'!#REF!/N$1</f>
        <v>#REF!</v>
      </c>
      <c r="O1061" s="50" t="e">
        <f>'Raw Data'!#REF!/O$1</f>
        <v>#REF!</v>
      </c>
      <c r="P1061" s="50" t="str">
        <f t="shared" si="173"/>
        <v/>
      </c>
      <c r="Q1061" s="50" t="e">
        <f t="shared" si="174"/>
        <v>#REF!</v>
      </c>
    </row>
    <row r="1062" spans="1:17">
      <c r="A1062" s="101" t="s">
        <v>212</v>
      </c>
      <c r="B1062" s="101">
        <v>5</v>
      </c>
      <c r="C1062" s="101">
        <v>2025</v>
      </c>
      <c r="D1062" s="101" t="s">
        <v>211</v>
      </c>
      <c r="E1062" s="101" t="s">
        <v>211</v>
      </c>
      <c r="F1062" s="194">
        <v>45689</v>
      </c>
      <c r="G1062" s="101">
        <f t="shared" si="175"/>
        <v>28</v>
      </c>
      <c r="H1062" s="103">
        <f t="shared" si="164"/>
        <v>45711</v>
      </c>
      <c r="I1062" s="141">
        <f>_xlfn.XLOOKUP(Table12[[#This Row],[Month Year]],'Modelling New'!D:D,'Modelling New'!N:N)</f>
        <v>10.507</v>
      </c>
      <c r="J1062" s="50" t="e">
        <f>'Raw Data'!#REF!/J$1</f>
        <v>#REF!</v>
      </c>
      <c r="K1062" s="50" t="e">
        <f>'Raw Data'!#REF!/K$1</f>
        <v>#REF!</v>
      </c>
      <c r="L1062" s="50" t="e">
        <f>'Raw Data'!#REF!/L$1</f>
        <v>#REF!</v>
      </c>
      <c r="M1062" s="50" t="e">
        <f>'Raw Data'!#REF!/M$1</f>
        <v>#REF!</v>
      </c>
      <c r="N1062" s="50" t="e">
        <f>'Raw Data'!#REF!/N$1</f>
        <v>#REF!</v>
      </c>
      <c r="O1062" s="50" t="e">
        <f>'Raw Data'!#REF!/O$1</f>
        <v>#REF!</v>
      </c>
      <c r="P1062" s="50" t="str">
        <f t="shared" si="173"/>
        <v/>
      </c>
      <c r="Q1062" s="50" t="e">
        <f t="shared" si="174"/>
        <v>#REF!</v>
      </c>
    </row>
    <row r="1063" spans="1:17">
      <c r="A1063" s="101" t="s">
        <v>212</v>
      </c>
      <c r="B1063" s="101">
        <v>5</v>
      </c>
      <c r="C1063" s="101">
        <v>2025</v>
      </c>
      <c r="D1063" s="101" t="s">
        <v>211</v>
      </c>
      <c r="E1063" s="101" t="s">
        <v>211</v>
      </c>
      <c r="F1063" s="194">
        <v>45689</v>
      </c>
      <c r="G1063" s="101">
        <f t="shared" si="175"/>
        <v>28</v>
      </c>
      <c r="H1063" s="103">
        <f t="shared" si="164"/>
        <v>45712</v>
      </c>
      <c r="I1063" s="141">
        <f>_xlfn.XLOOKUP(Table12[[#This Row],[Month Year]],'Modelling New'!D:D,'Modelling New'!N:N)</f>
        <v>10.507</v>
      </c>
      <c r="J1063" s="50" t="e">
        <f>'Raw Data'!#REF!/J$1</f>
        <v>#REF!</v>
      </c>
      <c r="K1063" s="50" t="e">
        <f>'Raw Data'!#REF!/K$1</f>
        <v>#REF!</v>
      </c>
      <c r="L1063" s="50" t="e">
        <f>'Raw Data'!#REF!/L$1</f>
        <v>#REF!</v>
      </c>
      <c r="M1063" s="50" t="e">
        <f>'Raw Data'!#REF!/M$1</f>
        <v>#REF!</v>
      </c>
      <c r="N1063" s="50" t="e">
        <f>'Raw Data'!#REF!/N$1</f>
        <v>#REF!</v>
      </c>
      <c r="O1063" s="50" t="e">
        <f>'Raw Data'!#REF!/O$1</f>
        <v>#REF!</v>
      </c>
      <c r="P1063" s="50" t="str">
        <f t="shared" si="173"/>
        <v/>
      </c>
      <c r="Q1063" s="50" t="e">
        <f t="shared" si="174"/>
        <v>#REF!</v>
      </c>
    </row>
    <row r="1064" spans="1:17">
      <c r="A1064" s="101" t="s">
        <v>212</v>
      </c>
      <c r="B1064" s="101">
        <v>5</v>
      </c>
      <c r="C1064" s="101">
        <v>2025</v>
      </c>
      <c r="D1064" s="101" t="s">
        <v>211</v>
      </c>
      <c r="E1064" s="101" t="s">
        <v>211</v>
      </c>
      <c r="F1064" s="194">
        <v>45689</v>
      </c>
      <c r="G1064" s="101">
        <f t="shared" si="175"/>
        <v>28</v>
      </c>
      <c r="H1064" s="103">
        <f t="shared" si="164"/>
        <v>45713</v>
      </c>
      <c r="I1064" s="141">
        <f>_xlfn.XLOOKUP(Table12[[#This Row],[Month Year]],'Modelling New'!D:D,'Modelling New'!N:N)</f>
        <v>10.507</v>
      </c>
      <c r="J1064" s="50" t="e">
        <f>'Raw Data'!#REF!/J$1</f>
        <v>#REF!</v>
      </c>
      <c r="K1064" s="50" t="e">
        <f>'Raw Data'!#REF!/K$1</f>
        <v>#REF!</v>
      </c>
      <c r="L1064" s="50" t="e">
        <f>'Raw Data'!#REF!/L$1</f>
        <v>#REF!</v>
      </c>
      <c r="M1064" s="50" t="e">
        <f>'Raw Data'!#REF!/M$1</f>
        <v>#REF!</v>
      </c>
      <c r="N1064" s="50" t="e">
        <f>'Raw Data'!#REF!/N$1</f>
        <v>#REF!</v>
      </c>
      <c r="O1064" s="50" t="e">
        <f>'Raw Data'!#REF!/O$1</f>
        <v>#REF!</v>
      </c>
      <c r="P1064" s="50" t="str">
        <f t="shared" si="173"/>
        <v/>
      </c>
      <c r="Q1064" s="50" t="e">
        <f t="shared" si="174"/>
        <v>#REF!</v>
      </c>
    </row>
    <row r="1065" spans="1:17">
      <c r="A1065" s="101" t="s">
        <v>212</v>
      </c>
      <c r="B1065" s="101">
        <v>5</v>
      </c>
      <c r="C1065" s="101">
        <v>2025</v>
      </c>
      <c r="D1065" s="101" t="s">
        <v>211</v>
      </c>
      <c r="E1065" s="101" t="s">
        <v>211</v>
      </c>
      <c r="F1065" s="194">
        <v>45689</v>
      </c>
      <c r="G1065" s="101">
        <f t="shared" si="175"/>
        <v>28</v>
      </c>
      <c r="H1065" s="103">
        <f t="shared" si="164"/>
        <v>45714</v>
      </c>
      <c r="I1065" s="141">
        <f>_xlfn.XLOOKUP(Table12[[#This Row],[Month Year]],'Modelling New'!D:D,'Modelling New'!N:N)</f>
        <v>10.507</v>
      </c>
      <c r="J1065" s="50" t="e">
        <f>'Raw Data'!#REF!/J$1</f>
        <v>#REF!</v>
      </c>
      <c r="K1065" s="50" t="e">
        <f>'Raw Data'!#REF!/K$1</f>
        <v>#REF!</v>
      </c>
      <c r="L1065" s="50" t="e">
        <f>'Raw Data'!#REF!/L$1</f>
        <v>#REF!</v>
      </c>
      <c r="M1065" s="50" t="e">
        <f>'Raw Data'!#REF!/M$1</f>
        <v>#REF!</v>
      </c>
      <c r="N1065" s="50" t="e">
        <f>'Raw Data'!#REF!/N$1</f>
        <v>#REF!</v>
      </c>
      <c r="O1065" s="50" t="e">
        <f>'Raw Data'!#REF!/O$1</f>
        <v>#REF!</v>
      </c>
      <c r="P1065" s="50" t="str">
        <f t="shared" si="173"/>
        <v/>
      </c>
      <c r="Q1065" s="50" t="e">
        <f t="shared" si="174"/>
        <v>#REF!</v>
      </c>
    </row>
    <row r="1066" spans="1:17">
      <c r="A1066" s="101" t="s">
        <v>212</v>
      </c>
      <c r="B1066" s="101">
        <v>5</v>
      </c>
      <c r="C1066" s="101">
        <v>2025</v>
      </c>
      <c r="D1066" s="101" t="s">
        <v>211</v>
      </c>
      <c r="E1066" s="101" t="s">
        <v>211</v>
      </c>
      <c r="F1066" s="194">
        <v>45689</v>
      </c>
      <c r="G1066" s="101">
        <f t="shared" ref="G1066:G1067" si="176">DAY(EOMONTH(F1066,0))</f>
        <v>28</v>
      </c>
      <c r="H1066" s="103">
        <f t="shared" si="164"/>
        <v>45715</v>
      </c>
      <c r="I1066" s="141">
        <f>_xlfn.XLOOKUP(Table12[[#This Row],[Month Year]],'Modelling New'!D:D,'Modelling New'!N:N)</f>
        <v>10.507</v>
      </c>
      <c r="J1066" s="50" t="e">
        <f>'Raw Data'!#REF!/J$1</f>
        <v>#REF!</v>
      </c>
      <c r="K1066" s="50" t="e">
        <f>'Raw Data'!#REF!/K$1</f>
        <v>#REF!</v>
      </c>
      <c r="L1066" s="50" t="e">
        <f>'Raw Data'!#REF!/L$1</f>
        <v>#REF!</v>
      </c>
      <c r="M1066" s="50" t="e">
        <f>'Raw Data'!#REF!/M$1</f>
        <v>#REF!</v>
      </c>
      <c r="N1066" s="50" t="e">
        <f>'Raw Data'!#REF!/N$1</f>
        <v>#REF!</v>
      </c>
      <c r="O1066" s="50" t="e">
        <f>'Raw Data'!#REF!/O$1</f>
        <v>#REF!</v>
      </c>
      <c r="P1066" s="50" t="str">
        <f t="shared" si="173"/>
        <v/>
      </c>
      <c r="Q1066" s="50" t="e">
        <f t="shared" si="174"/>
        <v>#REF!</v>
      </c>
    </row>
    <row r="1067" spans="1:17">
      <c r="A1067" s="101" t="s">
        <v>212</v>
      </c>
      <c r="B1067" s="101">
        <v>5</v>
      </c>
      <c r="C1067" s="101">
        <v>2025</v>
      </c>
      <c r="D1067" s="101" t="s">
        <v>211</v>
      </c>
      <c r="E1067" s="101" t="s">
        <v>211</v>
      </c>
      <c r="F1067" s="194">
        <v>45689</v>
      </c>
      <c r="G1067" s="101">
        <f t="shared" si="176"/>
        <v>28</v>
      </c>
      <c r="H1067" s="103">
        <f t="shared" si="164"/>
        <v>45716</v>
      </c>
      <c r="I1067" s="141">
        <f>_xlfn.XLOOKUP(Table12[[#This Row],[Month Year]],'Modelling New'!D:D,'Modelling New'!N:N)</f>
        <v>10.507</v>
      </c>
      <c r="J1067" s="50" t="e">
        <f>'Raw Data'!#REF!/J$1</f>
        <v>#REF!</v>
      </c>
      <c r="K1067" s="50" t="e">
        <f>'Raw Data'!#REF!/K$1</f>
        <v>#REF!</v>
      </c>
      <c r="L1067" s="50" t="e">
        <f>'Raw Data'!#REF!/L$1</f>
        <v>#REF!</v>
      </c>
      <c r="M1067" s="50" t="e">
        <f>'Raw Data'!#REF!/M$1</f>
        <v>#REF!</v>
      </c>
      <c r="N1067" s="50" t="e">
        <f>'Raw Data'!#REF!/N$1</f>
        <v>#REF!</v>
      </c>
      <c r="O1067" s="50" t="e">
        <f>'Raw Data'!#REF!/O$1</f>
        <v>#REF!</v>
      </c>
      <c r="P1067" s="50" t="str">
        <f t="shared" ref="P1067" si="177">IFERROR(AVERAGEIF(J1067:O1067,"&gt;"&amp;0,J1067:O1067),"")</f>
        <v/>
      </c>
      <c r="Q1067" s="50" t="e">
        <f t="shared" ref="Q1067" si="178">MAXA(J1067:O1067)</f>
        <v>#REF!</v>
      </c>
    </row>
    <row r="1068" spans="1:17">
      <c r="A1068" s="101" t="s">
        <v>212</v>
      </c>
      <c r="B1068" s="101">
        <v>3</v>
      </c>
      <c r="C1068" s="101">
        <v>2025</v>
      </c>
      <c r="D1068" s="101" t="s">
        <v>211</v>
      </c>
      <c r="E1068" s="101" t="s">
        <v>211</v>
      </c>
      <c r="F1068" s="194">
        <v>45717</v>
      </c>
      <c r="G1068" s="101">
        <f t="shared" ref="G1068:G1086" si="179">DAY(EOMONTH(F1068,0))</f>
        <v>31</v>
      </c>
      <c r="H1068" s="103">
        <f t="shared" si="164"/>
        <v>45717</v>
      </c>
      <c r="I1068" s="141">
        <f>_xlfn.XLOOKUP(Table12[[#This Row],[Month Year]],'Modelling New'!D:D,'Modelling New'!N:N)</f>
        <v>10.507</v>
      </c>
      <c r="J1068" s="50" t="e">
        <f>'Raw Data'!#REF!/J$1</f>
        <v>#REF!</v>
      </c>
      <c r="K1068" s="50" t="e">
        <f>'Raw Data'!#REF!/K$1</f>
        <v>#REF!</v>
      </c>
      <c r="L1068" s="50" t="e">
        <f>'Raw Data'!#REF!/L$1</f>
        <v>#REF!</v>
      </c>
      <c r="M1068" s="50" t="e">
        <f>'Raw Data'!#REF!/M$1</f>
        <v>#REF!</v>
      </c>
      <c r="N1068" s="50" t="e">
        <f>'Raw Data'!#REF!/N$1</f>
        <v>#REF!</v>
      </c>
      <c r="O1068" s="50" t="e">
        <f>'Raw Data'!#REF!/O$1</f>
        <v>#REF!</v>
      </c>
      <c r="P1068" s="50" t="str">
        <f t="shared" ref="P1068:P1078" si="180">IFERROR(AVERAGEIF(J1068:O1068,"&gt;"&amp;0,J1068:O1068),"")</f>
        <v/>
      </c>
      <c r="Q1068" s="50" t="e">
        <f t="shared" ref="Q1068:Q1078" si="181">MAXA(J1068:O1068)</f>
        <v>#REF!</v>
      </c>
    </row>
    <row r="1069" spans="1:17">
      <c r="A1069" s="101" t="s">
        <v>212</v>
      </c>
      <c r="B1069" s="101">
        <v>3</v>
      </c>
      <c r="C1069" s="101">
        <v>2025</v>
      </c>
      <c r="D1069" s="101" t="s">
        <v>211</v>
      </c>
      <c r="E1069" s="101" t="s">
        <v>211</v>
      </c>
      <c r="F1069" s="194">
        <v>45717</v>
      </c>
      <c r="G1069" s="101">
        <f t="shared" si="179"/>
        <v>31</v>
      </c>
      <c r="H1069" s="103">
        <f t="shared" si="164"/>
        <v>45718</v>
      </c>
      <c r="I1069" s="141">
        <f>_xlfn.XLOOKUP(Table12[[#This Row],[Month Year]],'Modelling New'!D:D,'Modelling New'!N:N)</f>
        <v>10.507</v>
      </c>
      <c r="J1069" s="50" t="e">
        <f>'Raw Data'!#REF!/J$1</f>
        <v>#REF!</v>
      </c>
      <c r="K1069" s="50" t="e">
        <f>'Raw Data'!#REF!/K$1</f>
        <v>#REF!</v>
      </c>
      <c r="L1069" s="50" t="e">
        <f>'Raw Data'!#REF!/L$1</f>
        <v>#REF!</v>
      </c>
      <c r="M1069" s="50" t="e">
        <f>'Raw Data'!#REF!/M$1</f>
        <v>#REF!</v>
      </c>
      <c r="N1069" s="50" t="e">
        <f>'Raw Data'!#REF!/N$1</f>
        <v>#REF!</v>
      </c>
      <c r="O1069" s="50" t="e">
        <f>'Raw Data'!#REF!/O$1</f>
        <v>#REF!</v>
      </c>
      <c r="P1069" s="50" t="str">
        <f t="shared" si="180"/>
        <v/>
      </c>
      <c r="Q1069" s="50" t="e">
        <f t="shared" si="181"/>
        <v>#REF!</v>
      </c>
    </row>
    <row r="1070" spans="1:17">
      <c r="A1070" s="101" t="s">
        <v>212</v>
      </c>
      <c r="B1070" s="101">
        <v>3</v>
      </c>
      <c r="C1070" s="101">
        <v>2025</v>
      </c>
      <c r="D1070" s="101" t="s">
        <v>211</v>
      </c>
      <c r="E1070" s="101" t="s">
        <v>211</v>
      </c>
      <c r="F1070" s="194">
        <v>45717</v>
      </c>
      <c r="G1070" s="101">
        <f t="shared" si="179"/>
        <v>31</v>
      </c>
      <c r="H1070" s="103">
        <f t="shared" si="164"/>
        <v>45719</v>
      </c>
      <c r="I1070" s="141">
        <f>_xlfn.XLOOKUP(Table12[[#This Row],[Month Year]],'Modelling New'!D:D,'Modelling New'!N:N)</f>
        <v>10.507</v>
      </c>
      <c r="J1070" s="50" t="e">
        <f>'Raw Data'!#REF!/J$1</f>
        <v>#REF!</v>
      </c>
      <c r="K1070" s="50" t="e">
        <f>'Raw Data'!#REF!/K$1</f>
        <v>#REF!</v>
      </c>
      <c r="L1070" s="50" t="e">
        <f>'Raw Data'!#REF!/L$1</f>
        <v>#REF!</v>
      </c>
      <c r="M1070" s="50" t="e">
        <f>'Raw Data'!#REF!/M$1</f>
        <v>#REF!</v>
      </c>
      <c r="N1070" s="50" t="e">
        <f>'Raw Data'!#REF!/N$1</f>
        <v>#REF!</v>
      </c>
      <c r="O1070" s="50" t="e">
        <f>'Raw Data'!#REF!/O$1</f>
        <v>#REF!</v>
      </c>
      <c r="P1070" s="50" t="str">
        <f t="shared" si="180"/>
        <v/>
      </c>
      <c r="Q1070" s="50" t="e">
        <f t="shared" si="181"/>
        <v>#REF!</v>
      </c>
    </row>
    <row r="1071" spans="1:17">
      <c r="A1071" s="101" t="s">
        <v>212</v>
      </c>
      <c r="B1071" s="101">
        <v>3</v>
      </c>
      <c r="C1071" s="101">
        <v>2025</v>
      </c>
      <c r="D1071" s="101" t="s">
        <v>211</v>
      </c>
      <c r="E1071" s="101" t="s">
        <v>211</v>
      </c>
      <c r="F1071" s="194">
        <v>45717</v>
      </c>
      <c r="G1071" s="101">
        <f t="shared" si="179"/>
        <v>31</v>
      </c>
      <c r="H1071" s="103">
        <f t="shared" si="164"/>
        <v>45720</v>
      </c>
      <c r="I1071" s="141">
        <f>_xlfn.XLOOKUP(Table12[[#This Row],[Month Year]],'Modelling New'!D:D,'Modelling New'!N:N)</f>
        <v>10.507</v>
      </c>
      <c r="J1071" s="50" t="e">
        <f>'Raw Data'!#REF!/J$1</f>
        <v>#REF!</v>
      </c>
      <c r="K1071" s="50" t="e">
        <f>'Raw Data'!#REF!/K$1</f>
        <v>#REF!</v>
      </c>
      <c r="L1071" s="50" t="e">
        <f>'Raw Data'!#REF!/L$1</f>
        <v>#REF!</v>
      </c>
      <c r="M1071" s="50" t="e">
        <f>'Raw Data'!#REF!/M$1</f>
        <v>#REF!</v>
      </c>
      <c r="N1071" s="50" t="e">
        <f>'Raw Data'!#REF!/N$1</f>
        <v>#REF!</v>
      </c>
      <c r="O1071" s="50" t="e">
        <f>'Raw Data'!#REF!/O$1</f>
        <v>#REF!</v>
      </c>
      <c r="P1071" s="50" t="str">
        <f t="shared" si="180"/>
        <v/>
      </c>
      <c r="Q1071" s="50" t="e">
        <f t="shared" si="181"/>
        <v>#REF!</v>
      </c>
    </row>
    <row r="1072" spans="1:17">
      <c r="A1072" s="101" t="s">
        <v>212</v>
      </c>
      <c r="B1072" s="101">
        <v>3</v>
      </c>
      <c r="C1072" s="101">
        <v>2025</v>
      </c>
      <c r="D1072" s="101" t="s">
        <v>211</v>
      </c>
      <c r="E1072" s="101" t="s">
        <v>211</v>
      </c>
      <c r="F1072" s="194">
        <v>45717</v>
      </c>
      <c r="G1072" s="101">
        <f t="shared" si="179"/>
        <v>31</v>
      </c>
      <c r="H1072" s="103">
        <f t="shared" si="164"/>
        <v>45721</v>
      </c>
      <c r="I1072" s="141">
        <f>_xlfn.XLOOKUP(Table12[[#This Row],[Month Year]],'Modelling New'!D:D,'Modelling New'!N:N)</f>
        <v>10.507</v>
      </c>
      <c r="J1072" s="50" t="e">
        <f>'Raw Data'!#REF!/J$1</f>
        <v>#REF!</v>
      </c>
      <c r="K1072" s="50" t="e">
        <f>'Raw Data'!#REF!/K$1</f>
        <v>#REF!</v>
      </c>
      <c r="L1072" s="50" t="e">
        <f>'Raw Data'!#REF!/L$1</f>
        <v>#REF!</v>
      </c>
      <c r="M1072" s="50" t="e">
        <f>'Raw Data'!#REF!/M$1</f>
        <v>#REF!</v>
      </c>
      <c r="N1072" s="50" t="e">
        <f>'Raw Data'!#REF!/N$1</f>
        <v>#REF!</v>
      </c>
      <c r="O1072" s="50" t="e">
        <f>'Raw Data'!#REF!/O$1</f>
        <v>#REF!</v>
      </c>
      <c r="P1072" s="50" t="str">
        <f t="shared" si="180"/>
        <v/>
      </c>
      <c r="Q1072" s="50" t="e">
        <f t="shared" si="181"/>
        <v>#REF!</v>
      </c>
    </row>
    <row r="1073" spans="1:17">
      <c r="A1073" s="101" t="s">
        <v>212</v>
      </c>
      <c r="B1073" s="101">
        <v>3</v>
      </c>
      <c r="C1073" s="101">
        <v>2025</v>
      </c>
      <c r="D1073" s="101" t="s">
        <v>211</v>
      </c>
      <c r="E1073" s="101" t="s">
        <v>211</v>
      </c>
      <c r="F1073" s="194">
        <v>45717</v>
      </c>
      <c r="G1073" s="101">
        <f t="shared" si="179"/>
        <v>31</v>
      </c>
      <c r="H1073" s="103">
        <f t="shared" si="164"/>
        <v>45722</v>
      </c>
      <c r="I1073" s="141">
        <f>_xlfn.XLOOKUP(Table12[[#This Row],[Month Year]],'Modelling New'!D:D,'Modelling New'!N:N)</f>
        <v>10.507</v>
      </c>
      <c r="J1073" s="50" t="e">
        <f>'Raw Data'!#REF!/J$1</f>
        <v>#REF!</v>
      </c>
      <c r="K1073" s="50" t="e">
        <f>'Raw Data'!#REF!/K$1</f>
        <v>#REF!</v>
      </c>
      <c r="L1073" s="50" t="e">
        <f>'Raw Data'!#REF!/L$1</f>
        <v>#REF!</v>
      </c>
      <c r="M1073" s="50" t="e">
        <f>'Raw Data'!#REF!/M$1</f>
        <v>#REF!</v>
      </c>
      <c r="N1073" s="50" t="e">
        <f>'Raw Data'!#REF!/N$1</f>
        <v>#REF!</v>
      </c>
      <c r="O1073" s="50" t="e">
        <f>'Raw Data'!#REF!/O$1</f>
        <v>#REF!</v>
      </c>
      <c r="P1073" s="50" t="str">
        <f t="shared" si="180"/>
        <v/>
      </c>
      <c r="Q1073" s="50" t="e">
        <f t="shared" si="181"/>
        <v>#REF!</v>
      </c>
    </row>
    <row r="1074" spans="1:17">
      <c r="A1074" s="101" t="s">
        <v>212</v>
      </c>
      <c r="B1074" s="101">
        <v>3</v>
      </c>
      <c r="C1074" s="101">
        <v>2025</v>
      </c>
      <c r="D1074" s="101" t="s">
        <v>211</v>
      </c>
      <c r="E1074" s="101" t="s">
        <v>211</v>
      </c>
      <c r="F1074" s="194">
        <v>45717</v>
      </c>
      <c r="G1074" s="101">
        <f t="shared" si="179"/>
        <v>31</v>
      </c>
      <c r="H1074" s="103">
        <f t="shared" ref="H1074:H1098" si="182">H1073+1</f>
        <v>45723</v>
      </c>
      <c r="I1074" s="141">
        <f>_xlfn.XLOOKUP(Table12[[#This Row],[Month Year]],'Modelling New'!D:D,'Modelling New'!N:N)</f>
        <v>10.507</v>
      </c>
      <c r="J1074" s="50" t="e">
        <f>'Raw Data'!#REF!/J$1</f>
        <v>#REF!</v>
      </c>
      <c r="K1074" s="50" t="e">
        <f>'Raw Data'!#REF!/K$1</f>
        <v>#REF!</v>
      </c>
      <c r="L1074" s="50" t="e">
        <f>'Raw Data'!#REF!/L$1</f>
        <v>#REF!</v>
      </c>
      <c r="M1074" s="50" t="e">
        <f>'Raw Data'!#REF!/M$1</f>
        <v>#REF!</v>
      </c>
      <c r="N1074" s="50" t="e">
        <f>'Raw Data'!#REF!/N$1</f>
        <v>#REF!</v>
      </c>
      <c r="O1074" s="50" t="e">
        <f>'Raw Data'!#REF!/O$1</f>
        <v>#REF!</v>
      </c>
      <c r="P1074" s="50" t="str">
        <f t="shared" si="180"/>
        <v/>
      </c>
      <c r="Q1074" s="50" t="e">
        <f t="shared" si="181"/>
        <v>#REF!</v>
      </c>
    </row>
    <row r="1075" spans="1:17">
      <c r="A1075" s="101" t="s">
        <v>212</v>
      </c>
      <c r="B1075" s="101">
        <v>3</v>
      </c>
      <c r="C1075" s="101">
        <v>2025</v>
      </c>
      <c r="D1075" s="101" t="s">
        <v>211</v>
      </c>
      <c r="E1075" s="101" t="s">
        <v>211</v>
      </c>
      <c r="F1075" s="194">
        <v>45717</v>
      </c>
      <c r="G1075" s="101">
        <f t="shared" si="179"/>
        <v>31</v>
      </c>
      <c r="H1075" s="103">
        <f t="shared" si="182"/>
        <v>45724</v>
      </c>
      <c r="I1075" s="141">
        <f>_xlfn.XLOOKUP(Table12[[#This Row],[Month Year]],'Modelling New'!D:D,'Modelling New'!N:N)</f>
        <v>10.507</v>
      </c>
      <c r="J1075" s="50" t="e">
        <f>'Raw Data'!#REF!/J$1</f>
        <v>#REF!</v>
      </c>
      <c r="K1075" s="50" t="e">
        <f>'Raw Data'!#REF!/K$1</f>
        <v>#REF!</v>
      </c>
      <c r="L1075" s="50" t="e">
        <f>'Raw Data'!#REF!/L$1</f>
        <v>#REF!</v>
      </c>
      <c r="M1075" s="50" t="e">
        <f>'Raw Data'!#REF!/M$1</f>
        <v>#REF!</v>
      </c>
      <c r="N1075" s="50" t="e">
        <f>'Raw Data'!#REF!/N$1</f>
        <v>#REF!</v>
      </c>
      <c r="O1075" s="50" t="e">
        <f>'Raw Data'!#REF!/O$1</f>
        <v>#REF!</v>
      </c>
      <c r="P1075" s="50" t="str">
        <f t="shared" si="180"/>
        <v/>
      </c>
      <c r="Q1075" s="50" t="e">
        <f t="shared" si="181"/>
        <v>#REF!</v>
      </c>
    </row>
    <row r="1076" spans="1:17">
      <c r="A1076" s="101" t="s">
        <v>212</v>
      </c>
      <c r="B1076" s="101">
        <v>3</v>
      </c>
      <c r="C1076" s="101">
        <v>2025</v>
      </c>
      <c r="D1076" s="101" t="s">
        <v>211</v>
      </c>
      <c r="E1076" s="101" t="s">
        <v>211</v>
      </c>
      <c r="F1076" s="194">
        <v>45717</v>
      </c>
      <c r="G1076" s="101">
        <f t="shared" si="179"/>
        <v>31</v>
      </c>
      <c r="H1076" s="103">
        <f t="shared" si="182"/>
        <v>45725</v>
      </c>
      <c r="I1076" s="141">
        <f>_xlfn.XLOOKUP(Table12[[#This Row],[Month Year]],'Modelling New'!D:D,'Modelling New'!N:N)</f>
        <v>10.507</v>
      </c>
      <c r="J1076" s="50" t="e">
        <f>'Raw Data'!#REF!/J$1</f>
        <v>#REF!</v>
      </c>
      <c r="K1076" s="50" t="e">
        <f>'Raw Data'!#REF!/K$1</f>
        <v>#REF!</v>
      </c>
      <c r="L1076" s="50" t="e">
        <f>'Raw Data'!#REF!/L$1</f>
        <v>#REF!</v>
      </c>
      <c r="M1076" s="50" t="e">
        <f>'Raw Data'!#REF!/M$1</f>
        <v>#REF!</v>
      </c>
      <c r="N1076" s="50" t="e">
        <f>'Raw Data'!#REF!/N$1</f>
        <v>#REF!</v>
      </c>
      <c r="O1076" s="50" t="e">
        <f>'Raw Data'!#REF!/O$1</f>
        <v>#REF!</v>
      </c>
      <c r="P1076" s="50" t="str">
        <f t="shared" si="180"/>
        <v/>
      </c>
      <c r="Q1076" s="50" t="e">
        <f t="shared" si="181"/>
        <v>#REF!</v>
      </c>
    </row>
    <row r="1077" spans="1:17">
      <c r="A1077" s="101" t="s">
        <v>212</v>
      </c>
      <c r="B1077" s="101">
        <v>3</v>
      </c>
      <c r="C1077" s="101">
        <v>2025</v>
      </c>
      <c r="D1077" s="101" t="s">
        <v>211</v>
      </c>
      <c r="E1077" s="101" t="s">
        <v>211</v>
      </c>
      <c r="F1077" s="194">
        <v>45717</v>
      </c>
      <c r="G1077" s="101">
        <f t="shared" si="179"/>
        <v>31</v>
      </c>
      <c r="H1077" s="103">
        <f t="shared" si="182"/>
        <v>45726</v>
      </c>
      <c r="I1077" s="141">
        <f>_xlfn.XLOOKUP(Table12[[#This Row],[Month Year]],'Modelling New'!D:D,'Modelling New'!N:N)</f>
        <v>10.507</v>
      </c>
      <c r="J1077" s="50" t="e">
        <f>'Raw Data'!#REF!/J$1</f>
        <v>#REF!</v>
      </c>
      <c r="K1077" s="50" t="e">
        <f>'Raw Data'!#REF!/K$1</f>
        <v>#REF!</v>
      </c>
      <c r="L1077" s="50" t="e">
        <f>'Raw Data'!#REF!/L$1</f>
        <v>#REF!</v>
      </c>
      <c r="M1077" s="50" t="e">
        <f>'Raw Data'!#REF!/M$1</f>
        <v>#REF!</v>
      </c>
      <c r="N1077" s="50" t="e">
        <f>'Raw Data'!#REF!/N$1</f>
        <v>#REF!</v>
      </c>
      <c r="O1077" s="50" t="e">
        <f>'Raw Data'!#REF!/O$1</f>
        <v>#REF!</v>
      </c>
      <c r="P1077" s="50" t="str">
        <f t="shared" si="180"/>
        <v/>
      </c>
      <c r="Q1077" s="50" t="e">
        <f t="shared" si="181"/>
        <v>#REF!</v>
      </c>
    </row>
    <row r="1078" spans="1:17">
      <c r="A1078" s="101" t="s">
        <v>212</v>
      </c>
      <c r="B1078" s="101">
        <v>3</v>
      </c>
      <c r="C1078" s="101">
        <v>2025</v>
      </c>
      <c r="D1078" s="101" t="s">
        <v>211</v>
      </c>
      <c r="E1078" s="101" t="s">
        <v>211</v>
      </c>
      <c r="F1078" s="194">
        <v>45717</v>
      </c>
      <c r="G1078" s="101">
        <f t="shared" si="179"/>
        <v>31</v>
      </c>
      <c r="H1078" s="103">
        <f t="shared" si="182"/>
        <v>45727</v>
      </c>
      <c r="I1078" s="141">
        <f>_xlfn.XLOOKUP(Table12[[#This Row],[Month Year]],'Modelling New'!D:D,'Modelling New'!N:N)</f>
        <v>10.507</v>
      </c>
      <c r="J1078" s="50" t="e">
        <f>'Raw Data'!#REF!/J$1</f>
        <v>#REF!</v>
      </c>
      <c r="K1078" s="50" t="e">
        <f>'Raw Data'!#REF!/K$1</f>
        <v>#REF!</v>
      </c>
      <c r="L1078" s="50" t="e">
        <f>'Raw Data'!#REF!/L$1</f>
        <v>#REF!</v>
      </c>
      <c r="M1078" s="50" t="e">
        <f>'Raw Data'!#REF!/M$1</f>
        <v>#REF!</v>
      </c>
      <c r="N1078" s="50" t="e">
        <f>'Raw Data'!#REF!/N$1</f>
        <v>#REF!</v>
      </c>
      <c r="O1078" s="50" t="e">
        <f>'Raw Data'!#REF!/O$1</f>
        <v>#REF!</v>
      </c>
      <c r="P1078" s="50" t="str">
        <f t="shared" si="180"/>
        <v/>
      </c>
      <c r="Q1078" s="50" t="e">
        <f t="shared" si="181"/>
        <v>#REF!</v>
      </c>
    </row>
    <row r="1079" spans="1:17">
      <c r="A1079" s="101" t="s">
        <v>212</v>
      </c>
      <c r="B1079" s="101">
        <v>3</v>
      </c>
      <c r="C1079" s="101">
        <v>2025</v>
      </c>
      <c r="D1079" s="101" t="s">
        <v>211</v>
      </c>
      <c r="E1079" s="101" t="s">
        <v>211</v>
      </c>
      <c r="F1079" s="194">
        <v>45717</v>
      </c>
      <c r="G1079" s="101">
        <f t="shared" si="179"/>
        <v>31</v>
      </c>
      <c r="H1079" s="103">
        <f t="shared" si="182"/>
        <v>45728</v>
      </c>
      <c r="I1079" s="141">
        <f>_xlfn.XLOOKUP(Table12[[#This Row],[Month Year]],'Modelling New'!D:D,'Modelling New'!N:N)</f>
        <v>10.507</v>
      </c>
      <c r="J1079" s="50" t="e">
        <f>'Raw Data'!#REF!/J$1</f>
        <v>#REF!</v>
      </c>
      <c r="K1079" s="50" t="e">
        <f>'Raw Data'!#REF!/K$1</f>
        <v>#REF!</v>
      </c>
      <c r="L1079" s="50" t="e">
        <f>'Raw Data'!#REF!/L$1</f>
        <v>#REF!</v>
      </c>
      <c r="M1079" s="50" t="e">
        <f>'Raw Data'!#REF!/M$1</f>
        <v>#REF!</v>
      </c>
      <c r="N1079" s="50" t="e">
        <f>'Raw Data'!#REF!/N$1</f>
        <v>#REF!</v>
      </c>
      <c r="O1079" s="50" t="e">
        <f>'Raw Data'!#REF!/O$1</f>
        <v>#REF!</v>
      </c>
      <c r="P1079" s="50" t="str">
        <f t="shared" ref="P1079:P1084" si="183">IFERROR(AVERAGEIF(J1079:O1079,"&gt;"&amp;0,J1079:O1079),"")</f>
        <v/>
      </c>
      <c r="Q1079" s="50" t="e">
        <f t="shared" ref="Q1079:Q1084" si="184">MAXA(J1079:O1079)</f>
        <v>#REF!</v>
      </c>
    </row>
    <row r="1080" spans="1:17">
      <c r="A1080" s="101" t="s">
        <v>212</v>
      </c>
      <c r="B1080" s="101">
        <v>3</v>
      </c>
      <c r="C1080" s="101">
        <v>2025</v>
      </c>
      <c r="D1080" s="101" t="s">
        <v>211</v>
      </c>
      <c r="E1080" s="101" t="s">
        <v>211</v>
      </c>
      <c r="F1080" s="194">
        <v>45717</v>
      </c>
      <c r="G1080" s="101">
        <f t="shared" si="179"/>
        <v>31</v>
      </c>
      <c r="H1080" s="103">
        <f t="shared" si="182"/>
        <v>45729</v>
      </c>
      <c r="I1080" s="141">
        <f>_xlfn.XLOOKUP(Table12[[#This Row],[Month Year]],'Modelling New'!D:D,'Modelling New'!N:N)</f>
        <v>10.507</v>
      </c>
      <c r="J1080" s="50" t="e">
        <f>'Raw Data'!#REF!/J$1</f>
        <v>#REF!</v>
      </c>
      <c r="K1080" s="50" t="e">
        <f>'Raw Data'!#REF!/K$1</f>
        <v>#REF!</v>
      </c>
      <c r="L1080" s="50" t="e">
        <f>'Raw Data'!#REF!/L$1</f>
        <v>#REF!</v>
      </c>
      <c r="M1080" s="50" t="e">
        <f>'Raw Data'!#REF!/M$1</f>
        <v>#REF!</v>
      </c>
      <c r="N1080" s="50" t="e">
        <f>'Raw Data'!#REF!/N$1</f>
        <v>#REF!</v>
      </c>
      <c r="O1080" s="50" t="e">
        <f>'Raw Data'!#REF!/O$1</f>
        <v>#REF!</v>
      </c>
      <c r="P1080" s="50" t="str">
        <f t="shared" si="183"/>
        <v/>
      </c>
      <c r="Q1080" s="50" t="e">
        <f t="shared" si="184"/>
        <v>#REF!</v>
      </c>
    </row>
    <row r="1081" spans="1:17">
      <c r="A1081" s="101" t="s">
        <v>212</v>
      </c>
      <c r="B1081" s="101">
        <v>3</v>
      </c>
      <c r="C1081" s="101">
        <v>2025</v>
      </c>
      <c r="D1081" s="101" t="s">
        <v>211</v>
      </c>
      <c r="E1081" s="101" t="s">
        <v>211</v>
      </c>
      <c r="F1081" s="194">
        <v>45717</v>
      </c>
      <c r="G1081" s="101">
        <f t="shared" si="179"/>
        <v>31</v>
      </c>
      <c r="H1081" s="103">
        <f t="shared" si="182"/>
        <v>45730</v>
      </c>
      <c r="I1081" s="141">
        <f>_xlfn.XLOOKUP(Table12[[#This Row],[Month Year]],'Modelling New'!D:D,'Modelling New'!N:N)</f>
        <v>10.507</v>
      </c>
      <c r="J1081" s="50" t="e">
        <f>'Raw Data'!#REF!/J$1</f>
        <v>#REF!</v>
      </c>
      <c r="K1081" s="50" t="e">
        <f>'Raw Data'!#REF!/K$1</f>
        <v>#REF!</v>
      </c>
      <c r="L1081" s="50" t="e">
        <f>'Raw Data'!#REF!/L$1</f>
        <v>#REF!</v>
      </c>
      <c r="M1081" s="50" t="e">
        <f>'Raw Data'!#REF!/M$1</f>
        <v>#REF!</v>
      </c>
      <c r="N1081" s="50" t="e">
        <f>'Raw Data'!#REF!/N$1</f>
        <v>#REF!</v>
      </c>
      <c r="O1081" s="50" t="e">
        <f>'Raw Data'!#REF!/O$1</f>
        <v>#REF!</v>
      </c>
      <c r="P1081" s="50" t="str">
        <f t="shared" si="183"/>
        <v/>
      </c>
      <c r="Q1081" s="50" t="e">
        <f t="shared" si="184"/>
        <v>#REF!</v>
      </c>
    </row>
    <row r="1082" spans="1:17">
      <c r="A1082" s="101" t="s">
        <v>212</v>
      </c>
      <c r="B1082" s="101">
        <v>3</v>
      </c>
      <c r="C1082" s="101">
        <v>2025</v>
      </c>
      <c r="D1082" s="101" t="s">
        <v>211</v>
      </c>
      <c r="E1082" s="101" t="s">
        <v>211</v>
      </c>
      <c r="F1082" s="194">
        <v>45717</v>
      </c>
      <c r="G1082" s="101">
        <f t="shared" si="179"/>
        <v>31</v>
      </c>
      <c r="H1082" s="103">
        <f t="shared" si="182"/>
        <v>45731</v>
      </c>
      <c r="I1082" s="141">
        <f>_xlfn.XLOOKUP(Table12[[#This Row],[Month Year]],'Modelling New'!D:D,'Modelling New'!N:N)</f>
        <v>10.507</v>
      </c>
      <c r="J1082" s="50" t="e">
        <f>'Raw Data'!#REF!/J$1</f>
        <v>#REF!</v>
      </c>
      <c r="K1082" s="50" t="e">
        <f>'Raw Data'!#REF!/K$1</f>
        <v>#REF!</v>
      </c>
      <c r="L1082" s="50" t="e">
        <f>'Raw Data'!#REF!/L$1</f>
        <v>#REF!</v>
      </c>
      <c r="M1082" s="50" t="e">
        <f>'Raw Data'!#REF!/M$1</f>
        <v>#REF!</v>
      </c>
      <c r="N1082" s="50" t="e">
        <f>'Raw Data'!#REF!/N$1</f>
        <v>#REF!</v>
      </c>
      <c r="O1082" s="50" t="e">
        <f>'Raw Data'!#REF!/O$1</f>
        <v>#REF!</v>
      </c>
      <c r="P1082" s="50" t="str">
        <f t="shared" si="183"/>
        <v/>
      </c>
      <c r="Q1082" s="50" t="e">
        <f t="shared" si="184"/>
        <v>#REF!</v>
      </c>
    </row>
    <row r="1083" spans="1:17">
      <c r="A1083" s="101" t="s">
        <v>212</v>
      </c>
      <c r="B1083" s="101">
        <v>3</v>
      </c>
      <c r="C1083" s="101">
        <v>2025</v>
      </c>
      <c r="D1083" s="101" t="s">
        <v>211</v>
      </c>
      <c r="E1083" s="101" t="s">
        <v>211</v>
      </c>
      <c r="F1083" s="194">
        <v>45717</v>
      </c>
      <c r="G1083" s="101">
        <f t="shared" si="179"/>
        <v>31</v>
      </c>
      <c r="H1083" s="103">
        <f t="shared" si="182"/>
        <v>45732</v>
      </c>
      <c r="I1083" s="141">
        <f>_xlfn.XLOOKUP(Table12[[#This Row],[Month Year]],'Modelling New'!D:D,'Modelling New'!N:N)</f>
        <v>10.507</v>
      </c>
      <c r="J1083" s="50" t="e">
        <f>'Raw Data'!#REF!/J$1</f>
        <v>#REF!</v>
      </c>
      <c r="K1083" s="50" t="e">
        <f>'Raw Data'!#REF!/K$1</f>
        <v>#REF!</v>
      </c>
      <c r="L1083" s="50" t="e">
        <f>'Raw Data'!#REF!/L$1</f>
        <v>#REF!</v>
      </c>
      <c r="M1083" s="50" t="e">
        <f>'Raw Data'!#REF!/M$1</f>
        <v>#REF!</v>
      </c>
      <c r="N1083" s="50" t="e">
        <f>'Raw Data'!#REF!/N$1</f>
        <v>#REF!</v>
      </c>
      <c r="O1083" s="50" t="e">
        <f>'Raw Data'!#REF!/O$1</f>
        <v>#REF!</v>
      </c>
      <c r="P1083" s="50" t="str">
        <f t="shared" si="183"/>
        <v/>
      </c>
      <c r="Q1083" s="50" t="e">
        <f t="shared" si="184"/>
        <v>#REF!</v>
      </c>
    </row>
    <row r="1084" spans="1:17">
      <c r="A1084" s="101" t="s">
        <v>212</v>
      </c>
      <c r="B1084" s="101">
        <v>3</v>
      </c>
      <c r="C1084" s="101">
        <v>2025</v>
      </c>
      <c r="D1084" s="101" t="s">
        <v>211</v>
      </c>
      <c r="E1084" s="101" t="s">
        <v>211</v>
      </c>
      <c r="F1084" s="194">
        <v>45717</v>
      </c>
      <c r="G1084" s="101">
        <f t="shared" si="179"/>
        <v>31</v>
      </c>
      <c r="H1084" s="103">
        <f t="shared" si="182"/>
        <v>45733</v>
      </c>
      <c r="I1084" s="141">
        <f>_xlfn.XLOOKUP(Table12[[#This Row],[Month Year]],'Modelling New'!D:D,'Modelling New'!N:N)</f>
        <v>10.507</v>
      </c>
      <c r="J1084" s="50" t="e">
        <f>'Raw Data'!#REF!/J$1</f>
        <v>#REF!</v>
      </c>
      <c r="K1084" s="50" t="e">
        <f>'Raw Data'!#REF!/K$1</f>
        <v>#REF!</v>
      </c>
      <c r="L1084" s="50" t="e">
        <f>'Raw Data'!#REF!/L$1</f>
        <v>#REF!</v>
      </c>
      <c r="M1084" s="50" t="e">
        <f>'Raw Data'!#REF!/M$1</f>
        <v>#REF!</v>
      </c>
      <c r="N1084" s="50" t="e">
        <f>'Raw Data'!#REF!/N$1</f>
        <v>#REF!</v>
      </c>
      <c r="O1084" s="50" t="e">
        <f>'Raw Data'!#REF!/O$1</f>
        <v>#REF!</v>
      </c>
      <c r="P1084" s="50" t="str">
        <f t="shared" si="183"/>
        <v/>
      </c>
      <c r="Q1084" s="50" t="e">
        <f t="shared" si="184"/>
        <v>#REF!</v>
      </c>
    </row>
    <row r="1085" spans="1:17">
      <c r="A1085" s="101" t="s">
        <v>212</v>
      </c>
      <c r="B1085" s="101">
        <v>3</v>
      </c>
      <c r="C1085" s="101">
        <v>2025</v>
      </c>
      <c r="D1085" s="101" t="s">
        <v>211</v>
      </c>
      <c r="E1085" s="101" t="s">
        <v>211</v>
      </c>
      <c r="F1085" s="194">
        <v>45717</v>
      </c>
      <c r="G1085" s="101">
        <f t="shared" si="179"/>
        <v>31</v>
      </c>
      <c r="H1085" s="103">
        <f t="shared" si="182"/>
        <v>45734</v>
      </c>
      <c r="I1085" s="141">
        <f>_xlfn.XLOOKUP(Table12[[#This Row],[Month Year]],'Modelling New'!D:D,'Modelling New'!N:N)</f>
        <v>10.507</v>
      </c>
      <c r="J1085" s="50" t="e">
        <f>'Raw Data'!#REF!/J$1</f>
        <v>#REF!</v>
      </c>
      <c r="K1085" s="50" t="e">
        <f>'Raw Data'!#REF!/K$1</f>
        <v>#REF!</v>
      </c>
      <c r="L1085" s="50" t="e">
        <f>'Raw Data'!#REF!/L$1</f>
        <v>#REF!</v>
      </c>
      <c r="M1085" s="50" t="e">
        <f>'Raw Data'!#REF!/M$1</f>
        <v>#REF!</v>
      </c>
      <c r="N1085" s="50" t="e">
        <f>'Raw Data'!#REF!/N$1</f>
        <v>#REF!</v>
      </c>
      <c r="O1085" s="50" t="e">
        <f>'Raw Data'!#REF!/O$1</f>
        <v>#REF!</v>
      </c>
      <c r="P1085" s="50" t="str">
        <f t="shared" ref="P1085:P1089" si="185">IFERROR(AVERAGEIF(J1085:O1085,"&gt;"&amp;0,J1085:O1085),"")</f>
        <v/>
      </c>
      <c r="Q1085" s="50" t="e">
        <f t="shared" ref="Q1085:Q1089" si="186">MAXA(J1085:O1085)</f>
        <v>#REF!</v>
      </c>
    </row>
    <row r="1086" spans="1:17">
      <c r="A1086" s="101" t="s">
        <v>212</v>
      </c>
      <c r="B1086" s="101">
        <v>3</v>
      </c>
      <c r="C1086" s="101">
        <v>2025</v>
      </c>
      <c r="D1086" s="101" t="s">
        <v>211</v>
      </c>
      <c r="E1086" s="101" t="s">
        <v>211</v>
      </c>
      <c r="F1086" s="194">
        <v>45717</v>
      </c>
      <c r="G1086" s="101">
        <f t="shared" si="179"/>
        <v>31</v>
      </c>
      <c r="H1086" s="103">
        <f t="shared" si="182"/>
        <v>45735</v>
      </c>
      <c r="I1086" s="141">
        <f>_xlfn.XLOOKUP(Table12[[#This Row],[Month Year]],'Modelling New'!D:D,'Modelling New'!N:N)</f>
        <v>10.507</v>
      </c>
      <c r="J1086" s="50" t="e">
        <f>'Raw Data'!#REF!/J$1</f>
        <v>#REF!</v>
      </c>
      <c r="K1086" s="50" t="e">
        <f>'Raw Data'!#REF!/K$1</f>
        <v>#REF!</v>
      </c>
      <c r="L1086" s="50" t="e">
        <f>'Raw Data'!#REF!/L$1</f>
        <v>#REF!</v>
      </c>
      <c r="M1086" s="50" t="e">
        <f>'Raw Data'!#REF!/M$1</f>
        <v>#REF!</v>
      </c>
      <c r="N1086" s="50" t="e">
        <f>'Raw Data'!#REF!/N$1</f>
        <v>#REF!</v>
      </c>
      <c r="O1086" s="50" t="e">
        <f>'Raw Data'!#REF!/O$1</f>
        <v>#REF!</v>
      </c>
      <c r="P1086" s="50" t="str">
        <f t="shared" si="185"/>
        <v/>
      </c>
      <c r="Q1086" s="50" t="e">
        <f t="shared" si="186"/>
        <v>#REF!</v>
      </c>
    </row>
    <row r="1087" spans="1:17">
      <c r="A1087" s="101" t="s">
        <v>212</v>
      </c>
      <c r="B1087" s="101">
        <v>3</v>
      </c>
      <c r="C1087" s="101">
        <v>2025</v>
      </c>
      <c r="D1087" s="101" t="s">
        <v>211</v>
      </c>
      <c r="E1087" s="101" t="s">
        <v>211</v>
      </c>
      <c r="F1087" s="194">
        <v>45717</v>
      </c>
      <c r="G1087" s="101">
        <f t="shared" ref="G1087:G1098" si="187">DAY(EOMONTH(F1087,0))</f>
        <v>31</v>
      </c>
      <c r="H1087" s="103">
        <f t="shared" si="182"/>
        <v>45736</v>
      </c>
      <c r="I1087" s="141">
        <f>_xlfn.XLOOKUP(Table12[[#This Row],[Month Year]],'Modelling New'!D:D,'Modelling New'!N:N)</f>
        <v>10.507</v>
      </c>
      <c r="J1087" s="50" t="e">
        <f>'Raw Data'!#REF!/J$1</f>
        <v>#REF!</v>
      </c>
      <c r="K1087" s="50" t="e">
        <f>'Raw Data'!#REF!/K$1</f>
        <v>#REF!</v>
      </c>
      <c r="L1087" s="50" t="e">
        <f>'Raw Data'!#REF!/L$1</f>
        <v>#REF!</v>
      </c>
      <c r="M1087" s="50" t="e">
        <f>'Raw Data'!#REF!/M$1</f>
        <v>#REF!</v>
      </c>
      <c r="N1087" s="50" t="e">
        <f>'Raw Data'!#REF!/N$1</f>
        <v>#REF!</v>
      </c>
      <c r="O1087" s="50" t="e">
        <f>'Raw Data'!#REF!/O$1</f>
        <v>#REF!</v>
      </c>
      <c r="P1087" s="50" t="str">
        <f t="shared" si="185"/>
        <v/>
      </c>
      <c r="Q1087" s="50" t="e">
        <f t="shared" si="186"/>
        <v>#REF!</v>
      </c>
    </row>
    <row r="1088" spans="1:17">
      <c r="A1088" s="101" t="s">
        <v>212</v>
      </c>
      <c r="B1088" s="101">
        <v>3</v>
      </c>
      <c r="C1088" s="101">
        <v>2025</v>
      </c>
      <c r="D1088" s="101" t="s">
        <v>211</v>
      </c>
      <c r="E1088" s="101" t="s">
        <v>211</v>
      </c>
      <c r="F1088" s="194">
        <v>45717</v>
      </c>
      <c r="G1088" s="101">
        <f t="shared" si="187"/>
        <v>31</v>
      </c>
      <c r="H1088" s="103">
        <f t="shared" si="182"/>
        <v>45737</v>
      </c>
      <c r="I1088" s="141">
        <f>_xlfn.XLOOKUP(Table12[[#This Row],[Month Year]],'Modelling New'!D:D,'Modelling New'!N:N)</f>
        <v>10.507</v>
      </c>
      <c r="J1088" s="50" t="e">
        <f>'Raw Data'!#REF!/J$1</f>
        <v>#REF!</v>
      </c>
      <c r="K1088" s="50" t="e">
        <f>'Raw Data'!#REF!/K$1</f>
        <v>#REF!</v>
      </c>
      <c r="L1088" s="50" t="e">
        <f>'Raw Data'!#REF!/L$1</f>
        <v>#REF!</v>
      </c>
      <c r="M1088" s="50" t="e">
        <f>'Raw Data'!#REF!/M$1</f>
        <v>#REF!</v>
      </c>
      <c r="N1088" s="50" t="e">
        <f>'Raw Data'!#REF!/N$1</f>
        <v>#REF!</v>
      </c>
      <c r="O1088" s="50" t="e">
        <f>'Raw Data'!#REF!/O$1</f>
        <v>#REF!</v>
      </c>
      <c r="P1088" s="50" t="str">
        <f t="shared" si="185"/>
        <v/>
      </c>
      <c r="Q1088" s="50" t="e">
        <f t="shared" si="186"/>
        <v>#REF!</v>
      </c>
    </row>
    <row r="1089" spans="1:17">
      <c r="A1089" s="101" t="s">
        <v>212</v>
      </c>
      <c r="B1089" s="101">
        <v>3</v>
      </c>
      <c r="C1089" s="101">
        <v>2025</v>
      </c>
      <c r="D1089" s="101" t="s">
        <v>211</v>
      </c>
      <c r="E1089" s="101" t="s">
        <v>211</v>
      </c>
      <c r="F1089" s="194">
        <v>45717</v>
      </c>
      <c r="G1089" s="101">
        <f t="shared" si="187"/>
        <v>31</v>
      </c>
      <c r="H1089" s="103">
        <f t="shared" si="182"/>
        <v>45738</v>
      </c>
      <c r="I1089" s="141">
        <f>_xlfn.XLOOKUP(Table12[[#This Row],[Month Year]],'Modelling New'!D:D,'Modelling New'!N:N)</f>
        <v>10.507</v>
      </c>
      <c r="J1089" s="50" t="e">
        <f>'Raw Data'!#REF!/J$1</f>
        <v>#REF!</v>
      </c>
      <c r="K1089" s="50" t="e">
        <f>'Raw Data'!#REF!/K$1</f>
        <v>#REF!</v>
      </c>
      <c r="L1089" s="50" t="e">
        <f>'Raw Data'!#REF!/L$1</f>
        <v>#REF!</v>
      </c>
      <c r="M1089" s="50" t="e">
        <f>'Raw Data'!#REF!/M$1</f>
        <v>#REF!</v>
      </c>
      <c r="N1089" s="50" t="e">
        <f>'Raw Data'!#REF!/N$1</f>
        <v>#REF!</v>
      </c>
      <c r="O1089" s="50" t="e">
        <f>'Raw Data'!#REF!/O$1</f>
        <v>#REF!</v>
      </c>
      <c r="P1089" s="50" t="str">
        <f t="shared" si="185"/>
        <v/>
      </c>
      <c r="Q1089" s="50" t="e">
        <f t="shared" si="186"/>
        <v>#REF!</v>
      </c>
    </row>
    <row r="1090" spans="1:17">
      <c r="A1090" s="101" t="s">
        <v>212</v>
      </c>
      <c r="B1090" s="101">
        <v>3</v>
      </c>
      <c r="C1090" s="101">
        <v>2025</v>
      </c>
      <c r="D1090" s="101" t="s">
        <v>211</v>
      </c>
      <c r="E1090" s="101" t="s">
        <v>211</v>
      </c>
      <c r="F1090" s="194">
        <v>45717</v>
      </c>
      <c r="G1090" s="101">
        <f t="shared" si="187"/>
        <v>31</v>
      </c>
      <c r="H1090" s="103">
        <f t="shared" si="182"/>
        <v>45739</v>
      </c>
      <c r="I1090" s="141">
        <f>_xlfn.XLOOKUP(Table12[[#This Row],[Month Year]],'Modelling New'!D:D,'Modelling New'!N:N)</f>
        <v>10.507</v>
      </c>
      <c r="J1090" s="50" t="e">
        <f>'Raw Data'!#REF!/J$1</f>
        <v>#REF!</v>
      </c>
      <c r="K1090" s="50" t="e">
        <f>'Raw Data'!#REF!/K$1</f>
        <v>#REF!</v>
      </c>
      <c r="L1090" s="50" t="e">
        <f>'Raw Data'!#REF!/L$1</f>
        <v>#REF!</v>
      </c>
      <c r="M1090" s="50" t="e">
        <f>'Raw Data'!#REF!/M$1</f>
        <v>#REF!</v>
      </c>
      <c r="N1090" s="50" t="e">
        <f>'Raw Data'!#REF!/N$1</f>
        <v>#REF!</v>
      </c>
      <c r="O1090" s="50" t="e">
        <f>'Raw Data'!#REF!/O$1</f>
        <v>#REF!</v>
      </c>
      <c r="P1090" s="50" t="str">
        <f t="shared" ref="P1090:P1098" si="188">IFERROR(AVERAGEIF(J1090:O1090,"&gt;"&amp;0,J1090:O1090),"")</f>
        <v/>
      </c>
      <c r="Q1090" s="50" t="e">
        <f t="shared" ref="Q1090:Q1098" si="189">MAXA(J1090:O1090)</f>
        <v>#REF!</v>
      </c>
    </row>
    <row r="1091" spans="1:17">
      <c r="A1091" s="101" t="s">
        <v>212</v>
      </c>
      <c r="B1091" s="101">
        <v>3</v>
      </c>
      <c r="C1091" s="101">
        <v>2025</v>
      </c>
      <c r="D1091" s="101" t="s">
        <v>211</v>
      </c>
      <c r="E1091" s="101" t="s">
        <v>211</v>
      </c>
      <c r="F1091" s="194">
        <v>45717</v>
      </c>
      <c r="G1091" s="101">
        <f t="shared" si="187"/>
        <v>31</v>
      </c>
      <c r="H1091" s="103">
        <f t="shared" si="182"/>
        <v>45740</v>
      </c>
      <c r="I1091" s="141">
        <f>_xlfn.XLOOKUP(Table12[[#This Row],[Month Year]],'Modelling New'!D:D,'Modelling New'!N:N)</f>
        <v>10.507</v>
      </c>
      <c r="J1091" s="50" t="e">
        <f>'Raw Data'!#REF!/J$1</f>
        <v>#REF!</v>
      </c>
      <c r="K1091" s="50" t="e">
        <f>'Raw Data'!#REF!/K$1</f>
        <v>#REF!</v>
      </c>
      <c r="L1091" s="50" t="e">
        <f>'Raw Data'!#REF!/L$1</f>
        <v>#REF!</v>
      </c>
      <c r="M1091" s="50" t="e">
        <f>'Raw Data'!#REF!/M$1</f>
        <v>#REF!</v>
      </c>
      <c r="N1091" s="50" t="e">
        <f>'Raw Data'!#REF!/N$1</f>
        <v>#REF!</v>
      </c>
      <c r="O1091" s="50" t="e">
        <f>'Raw Data'!#REF!/O$1</f>
        <v>#REF!</v>
      </c>
      <c r="P1091" s="50" t="str">
        <f t="shared" si="188"/>
        <v/>
      </c>
      <c r="Q1091" s="50" t="e">
        <f t="shared" si="189"/>
        <v>#REF!</v>
      </c>
    </row>
    <row r="1092" spans="1:17">
      <c r="A1092" s="101" t="s">
        <v>212</v>
      </c>
      <c r="B1092" s="101">
        <v>3</v>
      </c>
      <c r="C1092" s="101">
        <v>2025</v>
      </c>
      <c r="D1092" s="101" t="s">
        <v>211</v>
      </c>
      <c r="E1092" s="101" t="s">
        <v>211</v>
      </c>
      <c r="F1092" s="194">
        <v>45717</v>
      </c>
      <c r="G1092" s="101">
        <f t="shared" si="187"/>
        <v>31</v>
      </c>
      <c r="H1092" s="103">
        <f t="shared" si="182"/>
        <v>45741</v>
      </c>
      <c r="I1092" s="141">
        <f>_xlfn.XLOOKUP(Table12[[#This Row],[Month Year]],'Modelling New'!D:D,'Modelling New'!N:N)</f>
        <v>10.507</v>
      </c>
      <c r="J1092" s="50" t="e">
        <f>'Raw Data'!#REF!/J$1</f>
        <v>#REF!</v>
      </c>
      <c r="K1092" s="50" t="e">
        <f>'Raw Data'!#REF!/K$1</f>
        <v>#REF!</v>
      </c>
      <c r="L1092" s="50" t="e">
        <f>'Raw Data'!#REF!/L$1</f>
        <v>#REF!</v>
      </c>
      <c r="M1092" s="50" t="e">
        <f>'Raw Data'!#REF!/M$1</f>
        <v>#REF!</v>
      </c>
      <c r="N1092" s="50" t="e">
        <f>'Raw Data'!#REF!/N$1</f>
        <v>#REF!</v>
      </c>
      <c r="O1092" s="50" t="e">
        <f>'Raw Data'!#REF!/O$1</f>
        <v>#REF!</v>
      </c>
      <c r="P1092" s="50" t="str">
        <f t="shared" si="188"/>
        <v/>
      </c>
      <c r="Q1092" s="50" t="e">
        <f t="shared" si="189"/>
        <v>#REF!</v>
      </c>
    </row>
    <row r="1093" spans="1:17">
      <c r="A1093" s="101" t="s">
        <v>212</v>
      </c>
      <c r="B1093" s="101">
        <v>3</v>
      </c>
      <c r="C1093" s="101">
        <v>2025</v>
      </c>
      <c r="D1093" s="101" t="s">
        <v>211</v>
      </c>
      <c r="E1093" s="101" t="s">
        <v>211</v>
      </c>
      <c r="F1093" s="194">
        <v>45717</v>
      </c>
      <c r="G1093" s="101">
        <f t="shared" si="187"/>
        <v>31</v>
      </c>
      <c r="H1093" s="103">
        <f t="shared" si="182"/>
        <v>45742</v>
      </c>
      <c r="I1093" s="141">
        <f>_xlfn.XLOOKUP(Table12[[#This Row],[Month Year]],'Modelling New'!D:D,'Modelling New'!N:N)</f>
        <v>10.507</v>
      </c>
      <c r="J1093" s="50" t="e">
        <f>'Raw Data'!#REF!/J$1</f>
        <v>#REF!</v>
      </c>
      <c r="K1093" s="50" t="e">
        <f>'Raw Data'!#REF!/K$1</f>
        <v>#REF!</v>
      </c>
      <c r="L1093" s="50" t="e">
        <f>'Raw Data'!#REF!/L$1</f>
        <v>#REF!</v>
      </c>
      <c r="M1093" s="50" t="e">
        <f>'Raw Data'!#REF!/M$1</f>
        <v>#REF!</v>
      </c>
      <c r="N1093" s="50" t="e">
        <f>'Raw Data'!#REF!/N$1</f>
        <v>#REF!</v>
      </c>
      <c r="O1093" s="50" t="e">
        <f>'Raw Data'!#REF!/O$1</f>
        <v>#REF!</v>
      </c>
      <c r="P1093" s="50" t="str">
        <f t="shared" si="188"/>
        <v/>
      </c>
      <c r="Q1093" s="50" t="e">
        <f t="shared" si="189"/>
        <v>#REF!</v>
      </c>
    </row>
    <row r="1094" spans="1:17">
      <c r="A1094" s="101" t="s">
        <v>212</v>
      </c>
      <c r="B1094" s="101">
        <v>3</v>
      </c>
      <c r="C1094" s="101">
        <v>2025</v>
      </c>
      <c r="D1094" s="101" t="s">
        <v>211</v>
      </c>
      <c r="E1094" s="101" t="s">
        <v>211</v>
      </c>
      <c r="F1094" s="194">
        <v>45717</v>
      </c>
      <c r="G1094" s="101">
        <f t="shared" si="187"/>
        <v>31</v>
      </c>
      <c r="H1094" s="103">
        <f t="shared" si="182"/>
        <v>45743</v>
      </c>
      <c r="I1094" s="141">
        <f>_xlfn.XLOOKUP(Table12[[#This Row],[Month Year]],'Modelling New'!D:D,'Modelling New'!N:N)</f>
        <v>10.507</v>
      </c>
      <c r="J1094" s="50" t="e">
        <f>'Raw Data'!#REF!/J$1</f>
        <v>#REF!</v>
      </c>
      <c r="K1094" s="50" t="e">
        <f>'Raw Data'!#REF!/K$1</f>
        <v>#REF!</v>
      </c>
      <c r="L1094" s="50" t="e">
        <f>'Raw Data'!#REF!/L$1</f>
        <v>#REF!</v>
      </c>
      <c r="M1094" s="50" t="e">
        <f>'Raw Data'!#REF!/M$1</f>
        <v>#REF!</v>
      </c>
      <c r="N1094" s="50" t="e">
        <f>'Raw Data'!#REF!/N$1</f>
        <v>#REF!</v>
      </c>
      <c r="O1094" s="50" t="e">
        <f>'Raw Data'!#REF!/O$1</f>
        <v>#REF!</v>
      </c>
      <c r="P1094" s="50" t="str">
        <f t="shared" si="188"/>
        <v/>
      </c>
      <c r="Q1094" s="50" t="e">
        <f t="shared" si="189"/>
        <v>#REF!</v>
      </c>
    </row>
    <row r="1095" spans="1:17">
      <c r="A1095" s="101" t="s">
        <v>212</v>
      </c>
      <c r="B1095" s="101">
        <v>3</v>
      </c>
      <c r="C1095" s="101">
        <v>2025</v>
      </c>
      <c r="D1095" s="101" t="s">
        <v>211</v>
      </c>
      <c r="E1095" s="101" t="s">
        <v>211</v>
      </c>
      <c r="F1095" s="194">
        <v>45717</v>
      </c>
      <c r="G1095" s="101">
        <f t="shared" si="187"/>
        <v>31</v>
      </c>
      <c r="H1095" s="103">
        <f t="shared" si="182"/>
        <v>45744</v>
      </c>
      <c r="I1095" s="141">
        <f>_xlfn.XLOOKUP(Table12[[#This Row],[Month Year]],'Modelling New'!D:D,'Modelling New'!N:N)</f>
        <v>10.507</v>
      </c>
      <c r="J1095" s="50" t="e">
        <f>'Raw Data'!#REF!/J$1</f>
        <v>#REF!</v>
      </c>
      <c r="K1095" s="50" t="e">
        <f>'Raw Data'!#REF!/K$1</f>
        <v>#REF!</v>
      </c>
      <c r="L1095" s="50" t="e">
        <f>'Raw Data'!#REF!/L$1</f>
        <v>#REF!</v>
      </c>
      <c r="M1095" s="50" t="e">
        <f>'Raw Data'!#REF!/M$1</f>
        <v>#REF!</v>
      </c>
      <c r="N1095" s="50" t="e">
        <f>'Raw Data'!#REF!/N$1</f>
        <v>#REF!</v>
      </c>
      <c r="O1095" s="50" t="e">
        <f>'Raw Data'!#REF!/O$1</f>
        <v>#REF!</v>
      </c>
      <c r="P1095" s="50" t="str">
        <f t="shared" si="188"/>
        <v/>
      </c>
      <c r="Q1095" s="50" t="e">
        <f t="shared" si="189"/>
        <v>#REF!</v>
      </c>
    </row>
    <row r="1096" spans="1:17">
      <c r="A1096" s="101" t="s">
        <v>212</v>
      </c>
      <c r="B1096" s="101">
        <v>3</v>
      </c>
      <c r="C1096" s="101">
        <v>2025</v>
      </c>
      <c r="D1096" s="101" t="s">
        <v>211</v>
      </c>
      <c r="E1096" s="101" t="s">
        <v>211</v>
      </c>
      <c r="F1096" s="194">
        <v>45717</v>
      </c>
      <c r="G1096" s="101">
        <f t="shared" si="187"/>
        <v>31</v>
      </c>
      <c r="H1096" s="103">
        <f t="shared" si="182"/>
        <v>45745</v>
      </c>
      <c r="I1096" s="141">
        <f>_xlfn.XLOOKUP(Table12[[#This Row],[Month Year]],'Modelling New'!D:D,'Modelling New'!N:N)</f>
        <v>10.507</v>
      </c>
      <c r="J1096" s="50">
        <f>'Raw Data'!K4/J$1</f>
        <v>5.2836834821990193</v>
      </c>
      <c r="K1096" s="50">
        <f>'Raw Data'!L4/K$1</f>
        <v>5.2430044182621502</v>
      </c>
      <c r="L1096" s="50">
        <f>'Raw Data'!M4/L$1</f>
        <v>5.1404381131568337</v>
      </c>
      <c r="M1096" s="50">
        <f>'Raw Data'!N4/M$1</f>
        <v>5.1080418052895116</v>
      </c>
      <c r="N1096" s="50">
        <f>'Raw Data'!O4/N$1</f>
        <v>5.1453072891853262</v>
      </c>
      <c r="O1096" s="50">
        <f>'Raw Data'!P4/O$1</f>
        <v>3.1642195184779158</v>
      </c>
      <c r="P1096" s="50">
        <f t="shared" si="188"/>
        <v>4.8474491044284589</v>
      </c>
      <c r="Q1096" s="50">
        <f t="shared" si="189"/>
        <v>5.2836834821990193</v>
      </c>
    </row>
    <row r="1097" spans="1:17">
      <c r="A1097" s="101" t="s">
        <v>212</v>
      </c>
      <c r="B1097" s="101">
        <v>3</v>
      </c>
      <c r="C1097" s="101">
        <v>2025</v>
      </c>
      <c r="D1097" s="101" t="s">
        <v>211</v>
      </c>
      <c r="E1097" s="101" t="s">
        <v>211</v>
      </c>
      <c r="F1097" s="194">
        <v>45717</v>
      </c>
      <c r="G1097" s="101">
        <f t="shared" si="187"/>
        <v>31</v>
      </c>
      <c r="H1097" s="103">
        <f t="shared" si="182"/>
        <v>45746</v>
      </c>
      <c r="I1097" s="141">
        <f>_xlfn.XLOOKUP(Table12[[#This Row],[Month Year]],'Modelling New'!D:D,'Modelling New'!N:N)</f>
        <v>10.507</v>
      </c>
      <c r="J1097" s="50">
        <f>'Raw Data'!K5/J$1</f>
        <v>5.1279286403201363</v>
      </c>
      <c r="K1097" s="50">
        <f>'Raw Data'!L5/K$1</f>
        <v>5.2637320678557797</v>
      </c>
      <c r="L1097" s="50">
        <f>'Raw Data'!M5/L$1</f>
        <v>5.1236392957935761</v>
      </c>
      <c r="M1097" s="50">
        <f>'Raw Data'!N5/M$1</f>
        <v>5.0761165440064522</v>
      </c>
      <c r="N1097" s="50">
        <f>'Raw Data'!O5/N$1</f>
        <v>5.1328296921436509</v>
      </c>
      <c r="O1097" s="50">
        <f>'Raw Data'!P5/O$1</f>
        <v>3.1642195184779158</v>
      </c>
      <c r="P1097" s="50">
        <f t="shared" si="188"/>
        <v>4.8147442930995856</v>
      </c>
      <c r="Q1097" s="50">
        <f t="shared" si="189"/>
        <v>5.2637320678557797</v>
      </c>
    </row>
    <row r="1098" spans="1:17">
      <c r="A1098" s="101" t="s">
        <v>212</v>
      </c>
      <c r="B1098" s="101">
        <v>3</v>
      </c>
      <c r="C1098" s="101">
        <v>2025</v>
      </c>
      <c r="D1098" s="101" t="s">
        <v>211</v>
      </c>
      <c r="E1098" s="101" t="s">
        <v>211</v>
      </c>
      <c r="F1098" s="194">
        <v>45717</v>
      </c>
      <c r="G1098" s="101">
        <f t="shared" si="187"/>
        <v>31</v>
      </c>
      <c r="H1098" s="103">
        <f t="shared" si="182"/>
        <v>45747</v>
      </c>
      <c r="I1098" s="141">
        <f>_xlfn.XLOOKUP(Table12[[#This Row],[Month Year]],'Modelling New'!D:D,'Modelling New'!N:N)</f>
        <v>10.507</v>
      </c>
      <c r="J1098" s="50">
        <f>'Raw Data'!K6/J$1</f>
        <v>4.7583104193998649</v>
      </c>
      <c r="K1098" s="50">
        <f>'Raw Data'!L6/K$1</f>
        <v>4.7509954726449575</v>
      </c>
      <c r="L1098" s="50">
        <f>'Raw Data'!M6/L$1</f>
        <v>4.5754378891726022</v>
      </c>
      <c r="M1098" s="50">
        <f>'Raw Data'!N6/M$1</f>
        <v>4.6319633475596778</v>
      </c>
      <c r="N1098" s="50">
        <f>'Raw Data'!O6/N$1</f>
        <v>4.6677556205903032</v>
      </c>
      <c r="O1098" s="50">
        <f>'Raw Data'!P6/O$1</f>
        <v>3.1642195184779158</v>
      </c>
      <c r="P1098" s="50">
        <f t="shared" si="188"/>
        <v>4.4247803779742201</v>
      </c>
      <c r="Q1098" s="50">
        <f t="shared" si="189"/>
        <v>4.7583104193998649</v>
      </c>
    </row>
    <row r="1099" spans="1:17">
      <c r="A1099" s="101" t="s">
        <v>4</v>
      </c>
      <c r="B1099" s="101">
        <v>4</v>
      </c>
      <c r="C1099" s="101">
        <v>2025</v>
      </c>
      <c r="D1099" s="101" t="s">
        <v>213</v>
      </c>
      <c r="E1099" s="101" t="s">
        <v>213</v>
      </c>
      <c r="F1099" s="194">
        <v>45748</v>
      </c>
      <c r="G1099" s="101">
        <f>DAY(EOMONTH(F1099,0))</f>
        <v>30</v>
      </c>
      <c r="H1099" s="103">
        <f>H1098+1</f>
        <v>45748</v>
      </c>
      <c r="I1099" s="141">
        <f>_xlfn.XLOOKUP(Table12[[#This Row],[Month Year]],'Modelling New'!D:D,'Modelling New'!N:N)</f>
        <v>10.507</v>
      </c>
      <c r="J1099" s="166">
        <f>'Raw Data'!K7/J$1</f>
        <v>3.9178333303380479</v>
      </c>
      <c r="K1099" s="50">
        <f>'Raw Data'!L7/K$1</f>
        <v>3.8586156111929308</v>
      </c>
      <c r="L1099" s="50">
        <f>'Raw Data'!M7/L$1</f>
        <v>3.8021323298839764</v>
      </c>
      <c r="M1099" s="50">
        <f>'Raw Data'!N7/M$1</f>
        <v>3.8836800304690211</v>
      </c>
      <c r="N1099" s="50">
        <f>'Raw Data'!O7/N$1</f>
        <v>3.8470700333492136</v>
      </c>
      <c r="O1099" s="50">
        <f>'Raw Data'!P7/O$1</f>
        <v>3.1642195184779158</v>
      </c>
      <c r="P1099" s="50">
        <f>IFERROR(AVERAGEIF(J1099:O1099,"&gt;"&amp;0,J1099:O1099),"")</f>
        <v>3.7455918089518505</v>
      </c>
      <c r="Q1099" s="50">
        <f>MAXA(J1099:O1099)</f>
        <v>3.9178333303380479</v>
      </c>
    </row>
    <row r="1100" spans="1:17">
      <c r="A1100" s="101" t="s">
        <v>4</v>
      </c>
      <c r="B1100" s="101">
        <v>4</v>
      </c>
      <c r="C1100" s="101">
        <v>2025</v>
      </c>
      <c r="D1100" s="101" t="s">
        <v>213</v>
      </c>
      <c r="E1100" s="101" t="s">
        <v>213</v>
      </c>
      <c r="F1100" s="194">
        <v>45748</v>
      </c>
      <c r="G1100" s="101">
        <f t="shared" ref="G1100:G1120" si="190">DAY(EOMONTH(F1100,0))</f>
        <v>30</v>
      </c>
      <c r="H1100" s="103">
        <f t="shared" ref="H1100:H1127" si="191">H1099+1</f>
        <v>45749</v>
      </c>
      <c r="I1100" s="141">
        <f>_xlfn.XLOOKUP(Table12[[#This Row],[Month Year]],'Modelling New'!D:D,'Modelling New'!N:N)</f>
        <v>10.507</v>
      </c>
      <c r="J1100" s="166">
        <f>'Raw Data'!K8/J$1</f>
        <v>4.5049092728046061</v>
      </c>
      <c r="K1100" s="50">
        <f>'Raw Data'!L8/K$1</f>
        <v>4.4962635684285166</v>
      </c>
      <c r="L1100" s="50">
        <f>'Raw Data'!M8/L$1</f>
        <v>4.4012901491734988</v>
      </c>
      <c r="M1100" s="50">
        <f>'Raw Data'!N8/M$1</f>
        <v>4.4863393487246697</v>
      </c>
      <c r="N1100" s="50">
        <f>'Raw Data'!O8/N$1</f>
        <v>4.4352185848136303</v>
      </c>
      <c r="O1100" s="50">
        <f>'Raw Data'!P8/O$1</f>
        <v>3.1642195184779158</v>
      </c>
      <c r="P1100" s="50">
        <f t="shared" ref="P1100" si="192">IFERROR(AVERAGEIF(J1100:O1100,"&gt;"&amp;0,J1100:O1100),"")</f>
        <v>4.2480400737371395</v>
      </c>
      <c r="Q1100" s="50">
        <f t="shared" ref="Q1100" si="193">MAXA(J1100:O1100)</f>
        <v>4.5049092728046061</v>
      </c>
    </row>
    <row r="1101" spans="1:17">
      <c r="A1101" s="101" t="s">
        <v>4</v>
      </c>
      <c r="B1101" s="101">
        <v>4</v>
      </c>
      <c r="C1101" s="101">
        <v>2025</v>
      </c>
      <c r="D1101" s="101" t="s">
        <v>213</v>
      </c>
      <c r="E1101" s="101" t="s">
        <v>213</v>
      </c>
      <c r="F1101" s="194">
        <v>45748</v>
      </c>
      <c r="G1101" s="101">
        <f t="shared" si="190"/>
        <v>30</v>
      </c>
      <c r="H1101" s="103">
        <f t="shared" si="191"/>
        <v>45750</v>
      </c>
      <c r="I1101" s="141">
        <f>_xlfn.XLOOKUP(Table12[[#This Row],[Month Year]],'Modelling New'!D:D,'Modelling New'!N:N)</f>
        <v>10.507</v>
      </c>
      <c r="J1101" s="166">
        <f>'Raw Data'!K9/J$1</f>
        <v>2.8994362872838155</v>
      </c>
      <c r="K1101" s="50">
        <f>'Raw Data'!L9/K$1</f>
        <v>2.9673266786668848</v>
      </c>
      <c r="L1101" s="50">
        <f>'Raw Data'!M9/L$1</f>
        <v>2.9285938269945797</v>
      </c>
      <c r="M1101" s="50">
        <f>'Raw Data'!N9/M$1</f>
        <v>3.0026548375172228</v>
      </c>
      <c r="N1101" s="50">
        <f>'Raw Data'!O9/N$1</f>
        <v>2.7847727943011411</v>
      </c>
      <c r="O1101" s="50">
        <f>'Raw Data'!P9/O$1</f>
        <v>3.1642195184779158</v>
      </c>
      <c r="P1101" s="50">
        <f t="shared" ref="P1101:P1102" si="194">IFERROR(AVERAGEIF(J1101:O1101,"&gt;"&amp;0,J1101:O1101),"")</f>
        <v>2.95783399054026</v>
      </c>
      <c r="Q1101" s="50">
        <f t="shared" ref="Q1101:Q1102" si="195">MAXA(J1101:O1101)</f>
        <v>3.1642195184779158</v>
      </c>
    </row>
    <row r="1102" spans="1:17">
      <c r="A1102" s="101" t="s">
        <v>4</v>
      </c>
      <c r="B1102" s="101">
        <v>4</v>
      </c>
      <c r="C1102" s="101">
        <v>2025</v>
      </c>
      <c r="D1102" s="101" t="s">
        <v>213</v>
      </c>
      <c r="E1102" s="101" t="s">
        <v>213</v>
      </c>
      <c r="F1102" s="194">
        <v>45748</v>
      </c>
      <c r="G1102" s="101">
        <f t="shared" si="190"/>
        <v>30</v>
      </c>
      <c r="H1102" s="103">
        <f t="shared" si="191"/>
        <v>45751</v>
      </c>
      <c r="I1102" s="141">
        <f>_xlfn.XLOOKUP(Table12[[#This Row],[Month Year]],'Modelling New'!D:D,'Modelling New'!N:N)</f>
        <v>10.507</v>
      </c>
      <c r="J1102" s="166">
        <f>'Raw Data'!K10/J$1</f>
        <v>5.3220231355845904</v>
      </c>
      <c r="K1102" s="50">
        <f>'Raw Data'!L10/K$1</f>
        <v>5.2691867124856815</v>
      </c>
      <c r="L1102" s="50">
        <f>'Raw Data'!M10/L$1</f>
        <v>5.2356314115486269</v>
      </c>
      <c r="M1102" s="50">
        <f>'Raw Data'!N10/M$1</f>
        <v>3.4115222188616681</v>
      </c>
      <c r="N1102" s="50">
        <f>'Raw Data'!O10/N$1</f>
        <v>4.9740239116132399</v>
      </c>
      <c r="O1102" s="50">
        <f>'Raw Data'!P10/O$1</f>
        <v>3.1642195184779158</v>
      </c>
      <c r="P1102" s="50">
        <f t="shared" si="194"/>
        <v>4.5627678180952875</v>
      </c>
      <c r="Q1102" s="50">
        <f t="shared" si="195"/>
        <v>5.3220231355845904</v>
      </c>
    </row>
    <row r="1103" spans="1:17">
      <c r="A1103" s="101" t="s">
        <v>4</v>
      </c>
      <c r="B1103" s="101">
        <v>4</v>
      </c>
      <c r="C1103" s="101">
        <v>2025</v>
      </c>
      <c r="D1103" s="101" t="s">
        <v>213</v>
      </c>
      <c r="E1103" s="101" t="s">
        <v>213</v>
      </c>
      <c r="F1103" s="194">
        <v>45748</v>
      </c>
      <c r="G1103" s="101">
        <f t="shared" si="190"/>
        <v>30</v>
      </c>
      <c r="H1103" s="103">
        <f t="shared" si="191"/>
        <v>45752</v>
      </c>
      <c r="I1103" s="141">
        <f>_xlfn.XLOOKUP(Table12[[#This Row],[Month Year]],'Modelling New'!D:D,'Modelling New'!N:N)</f>
        <v>10.507</v>
      </c>
      <c r="J1103" s="166">
        <f>'Raw Data'!K11/J$1</f>
        <v>4.5887772645855422</v>
      </c>
      <c r="K1103" s="50">
        <f>'Raw Data'!L11/K$1</f>
        <v>4.5720831287841595</v>
      </c>
      <c r="L1103" s="50">
        <f>'Raw Data'!M11/L$1</f>
        <v>4.4757649061506068</v>
      </c>
      <c r="M1103" s="50">
        <f>'Raw Data'!N11/M$1</f>
        <v>1.9155156769835668</v>
      </c>
      <c r="N1103" s="50">
        <f>'Raw Data'!O11/N$1</f>
        <v>4.4295469497946867</v>
      </c>
      <c r="O1103" s="50">
        <f>'Raw Data'!P11/O$1</f>
        <v>3.1642195184779158</v>
      </c>
      <c r="P1103" s="50">
        <f t="shared" ref="P1103:P1104" si="196">IFERROR(AVERAGEIF(J1103:O1103,"&gt;"&amp;0,J1103:O1103),"")</f>
        <v>3.8576512407960792</v>
      </c>
      <c r="Q1103" s="50">
        <f t="shared" ref="Q1103:Q1104" si="197">MAXA(J1103:O1103)</f>
        <v>4.5887772645855422</v>
      </c>
    </row>
    <row r="1104" spans="1:17">
      <c r="A1104" s="101" t="s">
        <v>4</v>
      </c>
      <c r="B1104" s="101">
        <v>4</v>
      </c>
      <c r="C1104" s="101">
        <v>2025</v>
      </c>
      <c r="D1104" s="101" t="s">
        <v>213</v>
      </c>
      <c r="E1104" s="101" t="s">
        <v>213</v>
      </c>
      <c r="F1104" s="194">
        <v>45748</v>
      </c>
      <c r="G1104" s="101">
        <f t="shared" si="190"/>
        <v>30</v>
      </c>
      <c r="H1104" s="103">
        <f t="shared" si="191"/>
        <v>45753</v>
      </c>
      <c r="I1104" s="141">
        <f>_xlfn.XLOOKUP(Table12[[#This Row],[Month Year]],'Modelling New'!D:D,'Modelling New'!N:N)</f>
        <v>10.507</v>
      </c>
      <c r="J1104" s="166">
        <f>'Raw Data'!K12/J$1</f>
        <v>5.1339192111616319</v>
      </c>
      <c r="K1104" s="50">
        <f>'Raw Data'!L12/K$1</f>
        <v>5.200458190148912</v>
      </c>
      <c r="L1104" s="50">
        <f>'Raw Data'!M12/L$1</f>
        <v>5.1197195717421495</v>
      </c>
      <c r="M1104" s="50">
        <f>'Raw Data'!N12/M$1</f>
        <v>2.8626317617143302</v>
      </c>
      <c r="N1104" s="50">
        <f>'Raw Data'!O12/N$1</f>
        <v>5.2014564758728641</v>
      </c>
      <c r="O1104" s="50">
        <f>'Raw Data'!P12/O$1</f>
        <v>3.1642195184779158</v>
      </c>
      <c r="P1104" s="50">
        <f t="shared" si="196"/>
        <v>4.4470674548529665</v>
      </c>
      <c r="Q1104" s="50">
        <f t="shared" si="197"/>
        <v>5.2014564758728641</v>
      </c>
    </row>
    <row r="1105" spans="1:17">
      <c r="A1105" s="101" t="s">
        <v>4</v>
      </c>
      <c r="B1105" s="101">
        <v>4</v>
      </c>
      <c r="C1105" s="101">
        <v>2025</v>
      </c>
      <c r="D1105" s="101" t="s">
        <v>213</v>
      </c>
      <c r="E1105" s="101" t="s">
        <v>213</v>
      </c>
      <c r="F1105" s="194">
        <v>45748</v>
      </c>
      <c r="G1105" s="101">
        <f t="shared" si="190"/>
        <v>30</v>
      </c>
      <c r="H1105" s="103">
        <f t="shared" si="191"/>
        <v>45754</v>
      </c>
      <c r="I1105" s="141">
        <f>_xlfn.XLOOKUP(Table12[[#This Row],[Month Year]],'Modelling New'!D:D,'Modelling New'!N:N)</f>
        <v>10.507</v>
      </c>
      <c r="J1105" s="166">
        <f>'Raw Data'!K13/J$1</f>
        <v>5.4693911782853792</v>
      </c>
      <c r="K1105" s="50">
        <f>'Raw Data'!L13/K$1</f>
        <v>5.330278732340588</v>
      </c>
      <c r="L1105" s="50">
        <f>'Raw Data'!M13/L$1</f>
        <v>5.2300318057608743</v>
      </c>
      <c r="M1105" s="50">
        <f>'Raw Data'!N13/M$1</f>
        <v>3.8299111693607104</v>
      </c>
      <c r="N1105" s="50">
        <f>'Raw Data'!O13/N$1</f>
        <v>5.3160235032555185</v>
      </c>
      <c r="O1105" s="50">
        <f>'Raw Data'!P13/O$1</f>
        <v>3.1642195184779158</v>
      </c>
      <c r="P1105" s="50">
        <f t="shared" ref="P1105" si="198">IFERROR(AVERAGEIF(J1105:O1105,"&gt;"&amp;0,J1105:O1105),"")</f>
        <v>4.7233093179134977</v>
      </c>
      <c r="Q1105" s="50">
        <f t="shared" ref="Q1105" si="199">MAXA(J1105:O1105)</f>
        <v>5.4693911782853792</v>
      </c>
    </row>
    <row r="1106" spans="1:17">
      <c r="A1106" s="101" t="s">
        <v>4</v>
      </c>
      <c r="B1106" s="101">
        <v>4</v>
      </c>
      <c r="C1106" s="101">
        <v>2025</v>
      </c>
      <c r="D1106" s="101" t="s">
        <v>213</v>
      </c>
      <c r="E1106" s="101" t="s">
        <v>213</v>
      </c>
      <c r="F1106" s="194">
        <v>45748</v>
      </c>
      <c r="G1106" s="101">
        <f t="shared" si="190"/>
        <v>30</v>
      </c>
      <c r="H1106" s="103">
        <f t="shared" si="191"/>
        <v>45755</v>
      </c>
      <c r="I1106" s="141">
        <f>_xlfn.XLOOKUP(Table12[[#This Row],[Month Year]],'Modelling New'!D:D,'Modelling New'!N:N)</f>
        <v>10.507</v>
      </c>
      <c r="J1106" s="166">
        <f>'Raw Data'!K14/J$1</f>
        <v>4.7565132481474164</v>
      </c>
      <c r="K1106" s="50">
        <f>'Raw Data'!L14/K$1</f>
        <v>4.7744504445535378</v>
      </c>
      <c r="L1106" s="50">
        <f>'Raw Data'!M14/L$1</f>
        <v>4.7507055503292568</v>
      </c>
      <c r="M1106" s="50">
        <f>'Raw Data'!N14/M$1</f>
        <v>4.7327799621377604</v>
      </c>
      <c r="N1106" s="50">
        <f>'Raw Data'!O14/N$1</f>
        <v>4.7017854307039633</v>
      </c>
      <c r="O1106" s="50">
        <f>'Raw Data'!P14/O$1</f>
        <v>3.1642195184779158</v>
      </c>
      <c r="P1106" s="50">
        <f t="shared" ref="P1106:P1113" si="200">IFERROR(AVERAGEIF(J1106:O1106,"&gt;"&amp;0,J1106:O1106),"")</f>
        <v>4.4800756923916412</v>
      </c>
      <c r="Q1106" s="50">
        <f t="shared" ref="Q1106:Q1113" si="201">MAXA(J1106:O1106)</f>
        <v>4.7744504445535378</v>
      </c>
    </row>
    <row r="1107" spans="1:17">
      <c r="A1107" s="101" t="s">
        <v>4</v>
      </c>
      <c r="B1107" s="101">
        <v>4</v>
      </c>
      <c r="C1107" s="101">
        <v>2025</v>
      </c>
      <c r="D1107" s="101" t="s">
        <v>213</v>
      </c>
      <c r="E1107" s="101" t="s">
        <v>213</v>
      </c>
      <c r="F1107" s="194">
        <v>45748</v>
      </c>
      <c r="G1107" s="101">
        <f t="shared" si="190"/>
        <v>30</v>
      </c>
      <c r="H1107" s="103">
        <f t="shared" si="191"/>
        <v>45756</v>
      </c>
      <c r="I1107" s="141">
        <f>_xlfn.XLOOKUP(Table12[[#This Row],[Month Year]],'Modelling New'!D:D,'Modelling New'!N:N)</f>
        <v>10.507</v>
      </c>
      <c r="J1107" s="166">
        <f>'Raw Data'!K15/J$1</f>
        <v>4.99014551096574</v>
      </c>
      <c r="K1107" s="50">
        <f>'Raw Data'!L15/K$1</f>
        <v>5.0837287950690015</v>
      </c>
      <c r="L1107" s="50">
        <f>'Raw Data'!M15/L$1</f>
        <v>5.0452448147650406</v>
      </c>
      <c r="M1107" s="50">
        <f>'Raw Data'!N15/M$1</f>
        <v>5.1203638359601662</v>
      </c>
      <c r="N1107" s="50">
        <f>'Raw Data'!O15/N$1</f>
        <v>4.9700537670999791</v>
      </c>
      <c r="O1107" s="50">
        <f>'Raw Data'!P15/O$1</f>
        <v>3.1642195184779158</v>
      </c>
      <c r="P1107" s="50">
        <f t="shared" si="200"/>
        <v>4.7289593737229749</v>
      </c>
      <c r="Q1107" s="50">
        <f t="shared" si="201"/>
        <v>5.1203638359601662</v>
      </c>
    </row>
    <row r="1108" spans="1:17">
      <c r="A1108" s="101" t="s">
        <v>4</v>
      </c>
      <c r="B1108" s="101">
        <v>4</v>
      </c>
      <c r="C1108" s="101">
        <v>2025</v>
      </c>
      <c r="D1108" s="101" t="s">
        <v>213</v>
      </c>
      <c r="E1108" s="101" t="s">
        <v>213</v>
      </c>
      <c r="F1108" s="194">
        <v>45748</v>
      </c>
      <c r="G1108" s="101">
        <f t="shared" si="190"/>
        <v>30</v>
      </c>
      <c r="H1108" s="103">
        <f t="shared" si="191"/>
        <v>45757</v>
      </c>
      <c r="I1108" s="141">
        <f>_xlfn.XLOOKUP(Table12[[#This Row],[Month Year]],'Modelling New'!D:D,'Modelling New'!N:N)</f>
        <v>10.507</v>
      </c>
      <c r="J1108" s="166">
        <f>'Raw Data'!K16/J$1</f>
        <v>4.7403387068753782</v>
      </c>
      <c r="K1108" s="50">
        <f>'Raw Data'!L16/K$1</f>
        <v>4.6309932907871056</v>
      </c>
      <c r="L1108" s="50">
        <f>'Raw Data'!M16/L$1</f>
        <v>4.6980692559243833</v>
      </c>
      <c r="M1108" s="50">
        <f>'Raw Data'!N16/M$1</f>
        <v>4.662208331933102</v>
      </c>
      <c r="N1108" s="50">
        <f>'Raw Data'!O16/N$1</f>
        <v>4.6110392704008714</v>
      </c>
      <c r="O1108" s="50">
        <f>'Raw Data'!P16/O$1</f>
        <v>3.1642195184779158</v>
      </c>
      <c r="P1108" s="50">
        <f t="shared" si="200"/>
        <v>4.4178113957331258</v>
      </c>
      <c r="Q1108" s="50">
        <f t="shared" si="201"/>
        <v>4.7403387068753782</v>
      </c>
    </row>
    <row r="1109" spans="1:17">
      <c r="A1109" s="101" t="s">
        <v>4</v>
      </c>
      <c r="B1109" s="101">
        <v>4</v>
      </c>
      <c r="C1109" s="101">
        <v>2025</v>
      </c>
      <c r="D1109" s="101" t="s">
        <v>213</v>
      </c>
      <c r="E1109" s="101" t="s">
        <v>213</v>
      </c>
      <c r="F1109" s="194">
        <v>45748</v>
      </c>
      <c r="G1109" s="101">
        <f t="shared" si="190"/>
        <v>30</v>
      </c>
      <c r="H1109" s="103">
        <f t="shared" si="191"/>
        <v>45758</v>
      </c>
      <c r="I1109" s="141">
        <f>_xlfn.XLOOKUP(Table12[[#This Row],[Month Year]],'Modelling New'!D:D,'Modelling New'!N:N)</f>
        <v>10.507</v>
      </c>
      <c r="J1109" s="166">
        <f>'Raw Data'!K17/J$1</f>
        <v>5.06982010315763</v>
      </c>
      <c r="K1109" s="50">
        <f>'Raw Data'!L17/K$1</f>
        <v>5.1780941471663127</v>
      </c>
      <c r="L1109" s="50">
        <f>'Raw Data'!M17/L$1</f>
        <v>5.2916274694261523</v>
      </c>
      <c r="M1109" s="50">
        <f>'Raw Data'!N17/M$1</f>
        <v>5.2424639580602879</v>
      </c>
      <c r="N1109" s="50">
        <f>'Raw Data'!O17/N$1</f>
        <v>5.0369790603235094</v>
      </c>
      <c r="O1109" s="50">
        <f>'Raw Data'!P17/O$1</f>
        <v>3.1642195184779158</v>
      </c>
      <c r="P1109" s="50">
        <f t="shared" si="200"/>
        <v>4.8305340427686341</v>
      </c>
      <c r="Q1109" s="50">
        <f t="shared" si="201"/>
        <v>5.2916274694261523</v>
      </c>
    </row>
    <row r="1110" spans="1:17">
      <c r="A1110" s="101" t="s">
        <v>4</v>
      </c>
      <c r="B1110" s="101">
        <v>4</v>
      </c>
      <c r="C1110" s="101">
        <v>2025</v>
      </c>
      <c r="D1110" s="101" t="s">
        <v>213</v>
      </c>
      <c r="E1110" s="101" t="s">
        <v>213</v>
      </c>
      <c r="F1110" s="194">
        <v>45748</v>
      </c>
      <c r="G1110" s="101">
        <f t="shared" si="190"/>
        <v>30</v>
      </c>
      <c r="H1110" s="103">
        <f t="shared" si="191"/>
        <v>45759</v>
      </c>
      <c r="I1110" s="141">
        <f>_xlfn.XLOOKUP(Table12[[#This Row],[Month Year]],'Modelling New'!D:D,'Modelling New'!N:N)</f>
        <v>10.507</v>
      </c>
      <c r="J1110" s="166">
        <f>'Raw Data'!K18/J$1</f>
        <v>4.9745700267778519</v>
      </c>
      <c r="K1110" s="50">
        <f>'Raw Data'!L18/K$1</f>
        <v>4.9746359024709541</v>
      </c>
      <c r="L1110" s="50">
        <f>'Raw Data'!M18/L$1</f>
        <v>5.0519643417103435</v>
      </c>
      <c r="M1110" s="50">
        <f>'Raw Data'!N18/M$1</f>
        <v>5.0408307289041234</v>
      </c>
      <c r="N1110" s="50">
        <f>'Raw Data'!O18/N$1</f>
        <v>4.8889493863290907</v>
      </c>
      <c r="O1110" s="50">
        <f>'Raw Data'!P18/O$1</f>
        <v>3.1642195184779158</v>
      </c>
      <c r="P1110" s="50">
        <f t="shared" si="200"/>
        <v>4.6825283174450467</v>
      </c>
      <c r="Q1110" s="50">
        <f t="shared" si="201"/>
        <v>5.0519643417103435</v>
      </c>
    </row>
    <row r="1111" spans="1:17">
      <c r="A1111" s="101" t="s">
        <v>4</v>
      </c>
      <c r="B1111" s="101">
        <v>4</v>
      </c>
      <c r="C1111" s="101">
        <v>2025</v>
      </c>
      <c r="D1111" s="101" t="s">
        <v>213</v>
      </c>
      <c r="E1111" s="101" t="s">
        <v>213</v>
      </c>
      <c r="F1111" s="194">
        <v>45748</v>
      </c>
      <c r="G1111" s="101">
        <f t="shared" si="190"/>
        <v>30</v>
      </c>
      <c r="H1111" s="103">
        <f t="shared" si="191"/>
        <v>45760</v>
      </c>
      <c r="I1111" s="141">
        <f>_xlfn.XLOOKUP(Table12[[#This Row],[Month Year]],'Modelling New'!D:D,'Modelling New'!N:N)</f>
        <v>10.507</v>
      </c>
      <c r="J1111" s="166">
        <f>'Raw Data'!K19/J$1</f>
        <v>5.2117966321010734</v>
      </c>
      <c r="K1111" s="50">
        <f>'Raw Data'!L19/K$1</f>
        <v>5.1502754595538098</v>
      </c>
      <c r="L1111" s="50">
        <f>'Raw Data'!M19/L$1</f>
        <v>5.23059176633965</v>
      </c>
      <c r="M1111" s="50">
        <f>'Raw Data'!N19/M$1</f>
        <v>5.1662914048235145</v>
      </c>
      <c r="N1111" s="50">
        <f>'Raw Data'!O19/N$1</f>
        <v>5.1061730075546174</v>
      </c>
      <c r="O1111" s="50">
        <f>'Raw Data'!P19/O$1</f>
        <v>3.1642195184779158</v>
      </c>
      <c r="P1111" s="50">
        <f t="shared" si="200"/>
        <v>4.8382246314750965</v>
      </c>
      <c r="Q1111" s="50">
        <f t="shared" si="201"/>
        <v>5.23059176633965</v>
      </c>
    </row>
    <row r="1112" spans="1:17">
      <c r="A1112" s="101" t="s">
        <v>4</v>
      </c>
      <c r="B1112" s="101">
        <v>4</v>
      </c>
      <c r="C1112" s="101">
        <v>2025</v>
      </c>
      <c r="D1112" s="101" t="s">
        <v>213</v>
      </c>
      <c r="E1112" s="101" t="s">
        <v>213</v>
      </c>
      <c r="F1112" s="194">
        <v>45748</v>
      </c>
      <c r="G1112" s="101">
        <f t="shared" si="190"/>
        <v>30</v>
      </c>
      <c r="H1112" s="103">
        <f t="shared" si="191"/>
        <v>45761</v>
      </c>
      <c r="I1112" s="141">
        <f>_xlfn.XLOOKUP(Table12[[#This Row],[Month Year]],'Modelling New'!D:D,'Modelling New'!N:N)</f>
        <v>10.507</v>
      </c>
      <c r="J1112" s="166">
        <f>'Raw Data'!K20/J$1</f>
        <v>4.4168478814346219</v>
      </c>
      <c r="K1112" s="50">
        <f>'Raw Data'!L20/K$1</f>
        <v>4.4629902361861129</v>
      </c>
      <c r="L1112" s="50">
        <f>'Raw Data'!M20/L$1</f>
        <v>4.5636787170183224</v>
      </c>
      <c r="M1112" s="50">
        <f>'Raw Data'!N20/M$1</f>
        <v>4.4936205486664198</v>
      </c>
      <c r="N1112" s="50">
        <f>'Raw Data'!O20/N$1</f>
        <v>4.423875314775743</v>
      </c>
      <c r="O1112" s="50">
        <f>'Raw Data'!P20/O$1</f>
        <v>3.1642195184779158</v>
      </c>
      <c r="P1112" s="50">
        <f t="shared" si="200"/>
        <v>4.2542053694265229</v>
      </c>
      <c r="Q1112" s="50">
        <f t="shared" si="201"/>
        <v>4.5636787170183224</v>
      </c>
    </row>
    <row r="1113" spans="1:17">
      <c r="A1113" s="101" t="s">
        <v>4</v>
      </c>
      <c r="B1113" s="101">
        <v>4</v>
      </c>
      <c r="C1113" s="101">
        <v>2025</v>
      </c>
      <c r="D1113" s="101" t="s">
        <v>213</v>
      </c>
      <c r="E1113" s="101" t="s">
        <v>213</v>
      </c>
      <c r="F1113" s="194">
        <v>45748</v>
      </c>
      <c r="G1113" s="101">
        <f t="shared" si="190"/>
        <v>30</v>
      </c>
      <c r="H1113" s="103">
        <f t="shared" si="191"/>
        <v>45762</v>
      </c>
      <c r="I1113" s="141">
        <f>_xlfn.XLOOKUP(Table12[[#This Row],[Month Year]],'Modelling New'!D:D,'Modelling New'!N:N)</f>
        <v>10.507</v>
      </c>
      <c r="J1113" s="166">
        <f>'Raw Data'!K21/J$1</f>
        <v>5.6491083035302436</v>
      </c>
      <c r="K1113" s="50">
        <f>'Raw Data'!L21/K$1</f>
        <v>5.3799159984726996</v>
      </c>
      <c r="L1113" s="50">
        <f>'Raw Data'!M21/L$1</f>
        <v>5.5884065761770376</v>
      </c>
      <c r="M1113" s="50">
        <f>'Raw Data'!N21/M$1</f>
        <v>1.8774294003651801</v>
      </c>
      <c r="N1113" s="50">
        <f>'Raw Data'!O21/N$1</f>
        <v>5.467456158261303</v>
      </c>
      <c r="O1113" s="50">
        <f>'Raw Data'!P21/O$1</f>
        <v>3.1642195184779158</v>
      </c>
      <c r="P1113" s="50">
        <f t="shared" si="200"/>
        <v>4.5210893258807303</v>
      </c>
      <c r="Q1113" s="50">
        <f t="shared" si="201"/>
        <v>5.6491083035302436</v>
      </c>
    </row>
    <row r="1114" spans="1:17">
      <c r="A1114" s="101" t="s">
        <v>4</v>
      </c>
      <c r="B1114" s="101">
        <v>4</v>
      </c>
      <c r="C1114" s="101">
        <v>2025</v>
      </c>
      <c r="D1114" s="101" t="s">
        <v>213</v>
      </c>
      <c r="E1114" s="101" t="s">
        <v>213</v>
      </c>
      <c r="F1114" s="194">
        <v>45748</v>
      </c>
      <c r="G1114" s="101">
        <f t="shared" si="190"/>
        <v>30</v>
      </c>
      <c r="H1114" s="103">
        <f t="shared" si="191"/>
        <v>45763</v>
      </c>
      <c r="I1114" s="141">
        <f>_xlfn.XLOOKUP(Table12[[#This Row],[Month Year]],'Modelling New'!D:D,'Modelling New'!N:N)</f>
        <v>10.507</v>
      </c>
      <c r="J1114" s="166">
        <f>'Raw Data'!K22/J$1</f>
        <v>4.8823152358188215</v>
      </c>
      <c r="K1114" s="50">
        <f>'Raw Data'!L22/K$1</f>
        <v>4.7040855288277967</v>
      </c>
      <c r="L1114" s="50">
        <f>'Raw Data'!M22/L$1</f>
        <v>4.8458988487210499</v>
      </c>
      <c r="M1114" s="50">
        <f>'Raw Data'!N22/M$1</f>
        <v>4.7271790391056445</v>
      </c>
      <c r="N1114" s="50">
        <f>'Raw Data'!O22/N$1</f>
        <v>4.8016062070373646</v>
      </c>
      <c r="O1114" s="50">
        <f>'Raw Data'!P22/O$1</f>
        <v>3.1642195184779158</v>
      </c>
      <c r="P1114" s="50">
        <f t="shared" ref="P1114:P1117" si="202">IFERROR(AVERAGEIF(J1114:O1114,"&gt;"&amp;0,J1114:O1114),"")</f>
        <v>4.5208840629980989</v>
      </c>
      <c r="Q1114" s="50">
        <f t="shared" ref="Q1114:Q1117" si="203">MAXA(J1114:O1114)</f>
        <v>4.8823152358188215</v>
      </c>
    </row>
    <row r="1115" spans="1:17">
      <c r="A1115" s="101" t="s">
        <v>4</v>
      </c>
      <c r="B1115" s="101">
        <v>4</v>
      </c>
      <c r="C1115" s="101">
        <v>2025</v>
      </c>
      <c r="D1115" s="101" t="s">
        <v>213</v>
      </c>
      <c r="E1115" s="101" t="s">
        <v>213</v>
      </c>
      <c r="F1115" s="194">
        <v>45748</v>
      </c>
      <c r="G1115" s="101">
        <f t="shared" si="190"/>
        <v>30</v>
      </c>
      <c r="H1115" s="103">
        <f t="shared" si="191"/>
        <v>45764</v>
      </c>
      <c r="I1115" s="141">
        <f>_xlfn.XLOOKUP(Table12[[#This Row],[Month Year]],'Modelling New'!D:D,'Modelling New'!N:N)</f>
        <v>10.507</v>
      </c>
      <c r="J1115" s="166">
        <f>'Raw Data'!K23/J$1</f>
        <v>5.1279286403201363</v>
      </c>
      <c r="K1115" s="50">
        <f>'Raw Data'!L23/K$1</f>
        <v>5.4513718431244209</v>
      </c>
      <c r="L1115" s="50">
        <f>'Raw Data'!M23/L$1</f>
        <v>5.4932132777852445</v>
      </c>
      <c r="M1115" s="50">
        <f>'Raw Data'!N23/M$1</f>
        <v>5.4564192178871078</v>
      </c>
      <c r="N1115" s="50">
        <f>'Raw Data'!O23/N$1</f>
        <v>5.4107398080718703</v>
      </c>
      <c r="O1115" s="50">
        <f>'Raw Data'!P23/O$1</f>
        <v>3.1642195184779158</v>
      </c>
      <c r="P1115" s="50">
        <f t="shared" si="202"/>
        <v>5.0173153842777829</v>
      </c>
      <c r="Q1115" s="50">
        <f t="shared" si="203"/>
        <v>5.4932132777852445</v>
      </c>
    </row>
    <row r="1116" spans="1:17">
      <c r="A1116" s="101" t="s">
        <v>4</v>
      </c>
      <c r="B1116" s="101">
        <v>4</v>
      </c>
      <c r="C1116" s="101">
        <v>2025</v>
      </c>
      <c r="D1116" s="101" t="s">
        <v>213</v>
      </c>
      <c r="E1116" s="101" t="s">
        <v>213</v>
      </c>
      <c r="F1116" s="194">
        <v>45748</v>
      </c>
      <c r="G1116" s="101">
        <f t="shared" si="190"/>
        <v>30</v>
      </c>
      <c r="H1116" s="103">
        <f t="shared" si="191"/>
        <v>45765</v>
      </c>
      <c r="I1116" s="141">
        <f>_xlfn.XLOOKUP(Table12[[#This Row],[Month Year]],'Modelling New'!D:D,'Modelling New'!N:N)</f>
        <v>10.507</v>
      </c>
      <c r="J1116" s="166">
        <f>'Raw Data'!K24/J$1</f>
        <v>4.7385415356229297</v>
      </c>
      <c r="K1116" s="50">
        <f>'Raw Data'!L24/K$1</f>
        <v>4.812087492499864</v>
      </c>
      <c r="L1116" s="50">
        <f>'Raw Data'!M24/L$1</f>
        <v>4.8156609774671866</v>
      </c>
      <c r="M1116" s="50">
        <f>'Raw Data'!N24/M$1</f>
        <v>4.9344131912939249</v>
      </c>
      <c r="N1116" s="50">
        <f>'Raw Data'!O24/N$1</f>
        <v>4.6019646543705619</v>
      </c>
      <c r="O1116" s="50">
        <f>'Raw Data'!P24/O$1</f>
        <v>3.1642195184779158</v>
      </c>
      <c r="P1116" s="50">
        <f t="shared" si="202"/>
        <v>4.5111478949553971</v>
      </c>
      <c r="Q1116" s="50">
        <f t="shared" si="203"/>
        <v>4.9344131912939249</v>
      </c>
    </row>
    <row r="1117" spans="1:17">
      <c r="A1117" s="101" t="s">
        <v>4</v>
      </c>
      <c r="B1117" s="101">
        <v>4</v>
      </c>
      <c r="C1117" s="101">
        <v>2025</v>
      </c>
      <c r="D1117" s="101" t="s">
        <v>213</v>
      </c>
      <c r="E1117" s="101" t="s">
        <v>213</v>
      </c>
      <c r="F1117" s="194">
        <v>45748</v>
      </c>
      <c r="G1117" s="101">
        <f t="shared" si="190"/>
        <v>30</v>
      </c>
      <c r="H1117" s="103">
        <f t="shared" si="191"/>
        <v>45766</v>
      </c>
      <c r="I1117" s="141">
        <f>_xlfn.XLOOKUP(Table12[[#This Row],[Month Year]],'Modelling New'!D:D,'Modelling New'!N:N)</f>
        <v>10.507</v>
      </c>
      <c r="J1117" s="166">
        <f>'Raw Data'!K25/J$1</f>
        <v>4.9781643692827489</v>
      </c>
      <c r="K1117" s="50">
        <f>'Raw Data'!L25/K$1</f>
        <v>4.8600883652430049</v>
      </c>
      <c r="L1117" s="50">
        <f>'Raw Data'!M25/L$1</f>
        <v>4.9338126595887655</v>
      </c>
      <c r="M1117" s="50">
        <f>'Raw Data'!N25/M$1</f>
        <v>4.9534563296031182</v>
      </c>
      <c r="N1117" s="50">
        <f>'Raw Data'!O25/N$1</f>
        <v>4.9059642913859207</v>
      </c>
      <c r="O1117" s="50">
        <f>'Raw Data'!P25/O$1</f>
        <v>3.1642195184779158</v>
      </c>
      <c r="P1117" s="50">
        <f t="shared" si="202"/>
        <v>4.6326175889302457</v>
      </c>
      <c r="Q1117" s="50">
        <f t="shared" si="203"/>
        <v>4.9781643692827489</v>
      </c>
    </row>
    <row r="1118" spans="1:17">
      <c r="A1118" s="101" t="s">
        <v>4</v>
      </c>
      <c r="B1118" s="101">
        <v>4</v>
      </c>
      <c r="C1118" s="101">
        <v>2025</v>
      </c>
      <c r="D1118" s="101" t="s">
        <v>213</v>
      </c>
      <c r="E1118" s="101" t="s">
        <v>213</v>
      </c>
      <c r="F1118" s="194">
        <v>45748</v>
      </c>
      <c r="G1118" s="101">
        <f t="shared" si="190"/>
        <v>30</v>
      </c>
      <c r="H1118" s="103">
        <f t="shared" si="191"/>
        <v>45767</v>
      </c>
      <c r="I1118" s="141">
        <f>_xlfn.XLOOKUP(Table12[[#This Row],[Month Year]],'Modelling New'!D:D,'Modelling New'!N:N)</f>
        <v>10.507</v>
      </c>
      <c r="J1118" s="166">
        <f>'Raw Data'!K26/J$1</f>
        <v>3.5296443398091406</v>
      </c>
      <c r="K1118" s="50">
        <f>'Raw Data'!L26/K$1</f>
        <v>3.422244040800742</v>
      </c>
      <c r="L1118" s="50">
        <f>'Raw Data'!M26/L$1</f>
        <v>3.5333512520718542</v>
      </c>
      <c r="M1118" s="50">
        <f>'Raw Data'!N26/M$1</f>
        <v>3.5745090790962348</v>
      </c>
      <c r="N1118" s="50">
        <f>'Raw Data'!O26/N$1</f>
        <v>3.3888019238185985</v>
      </c>
      <c r="O1118" s="50">
        <f>'Raw Data'!P26/O$1</f>
        <v>3.1642195184779158</v>
      </c>
      <c r="P1118" s="50">
        <f t="shared" ref="P1118:P1119" si="204">IFERROR(AVERAGEIF(J1118:O1118,"&gt;"&amp;0,J1118:O1118),"")</f>
        <v>3.4354616923457471</v>
      </c>
      <c r="Q1118" s="50">
        <f t="shared" ref="Q1118:Q1119" si="205">MAXA(J1118:O1118)</f>
        <v>3.5745090790962348</v>
      </c>
    </row>
    <row r="1119" spans="1:17">
      <c r="A1119" s="101" t="s">
        <v>4</v>
      </c>
      <c r="B1119" s="101">
        <v>4</v>
      </c>
      <c r="C1119" s="101">
        <v>2025</v>
      </c>
      <c r="D1119" s="101" t="s">
        <v>213</v>
      </c>
      <c r="E1119" s="101" t="s">
        <v>213</v>
      </c>
      <c r="F1119" s="194">
        <v>45748</v>
      </c>
      <c r="G1119" s="101">
        <f t="shared" si="190"/>
        <v>30</v>
      </c>
      <c r="H1119" s="103">
        <f t="shared" si="191"/>
        <v>45768</v>
      </c>
      <c r="I1119" s="141">
        <f>_xlfn.XLOOKUP(Table12[[#This Row],[Month Year]],'Modelling New'!D:D,'Modelling New'!N:N)</f>
        <v>10.507</v>
      </c>
      <c r="J1119" s="166">
        <f>'Raw Data'!K27/J$1</f>
        <v>4.80443781487938</v>
      </c>
      <c r="K1119" s="50">
        <f>'Raw Data'!L27/K$1</f>
        <v>4.6528118693067144</v>
      </c>
      <c r="L1119" s="50">
        <f>'Raw Data'!M27/L$1</f>
        <v>4.7876629485284239</v>
      </c>
      <c r="M1119" s="50">
        <f>'Raw Data'!N27/M$1</f>
        <v>2.8923166537845435</v>
      </c>
      <c r="N1119" s="50">
        <f>'Raw Data'!O27/N$1</f>
        <v>4.6223825404387577</v>
      </c>
      <c r="O1119" s="50">
        <f>'Raw Data'!P27/O$1</f>
        <v>3.1642195184779158</v>
      </c>
      <c r="P1119" s="50">
        <f t="shared" si="204"/>
        <v>4.1539718909026222</v>
      </c>
      <c r="Q1119" s="50">
        <f t="shared" si="205"/>
        <v>4.80443781487938</v>
      </c>
    </row>
    <row r="1120" spans="1:17">
      <c r="A1120" s="101" t="s">
        <v>4</v>
      </c>
      <c r="B1120" s="101">
        <v>4</v>
      </c>
      <c r="C1120" s="101">
        <v>2025</v>
      </c>
      <c r="D1120" s="101" t="s">
        <v>213</v>
      </c>
      <c r="E1120" s="101" t="s">
        <v>213</v>
      </c>
      <c r="F1120" s="194">
        <v>45748</v>
      </c>
      <c r="G1120" s="101">
        <f t="shared" si="190"/>
        <v>30</v>
      </c>
      <c r="H1120" s="103">
        <f t="shared" si="191"/>
        <v>45769</v>
      </c>
      <c r="I1120" s="141">
        <f>_xlfn.XLOOKUP(Table12[[#This Row],[Month Year]],'Modelling New'!D:D,'Modelling New'!N:N)</f>
        <v>10.507</v>
      </c>
      <c r="J1120" s="166">
        <f>'Raw Data'!K28/J$1</f>
        <v>5.236957029635354</v>
      </c>
      <c r="K1120" s="50">
        <f>'Raw Data'!L28/K$1</f>
        <v>5.176457753777342</v>
      </c>
      <c r="L1120" s="50">
        <f>'Raw Data'!M28/L$1</f>
        <v>5.1124400842180711</v>
      </c>
      <c r="M1120" s="50">
        <f>'Raw Data'!N28/M$1</f>
        <v>5.0352298058720075</v>
      </c>
      <c r="N1120" s="50">
        <f>'Raw Data'!O28/N$1</f>
        <v>5.042650695342453</v>
      </c>
      <c r="O1120" s="50">
        <f>'Raw Data'!P28/O$1</f>
        <v>3.1642195184779158</v>
      </c>
      <c r="P1120" s="50">
        <f t="shared" ref="P1120:P1121" si="206">IFERROR(AVERAGEIF(J1120:O1120,"&gt;"&amp;0,J1120:O1120),"")</f>
        <v>4.7946591478871907</v>
      </c>
      <c r="Q1120" s="50">
        <f t="shared" ref="Q1120:Q1121" si="207">MAXA(J1120:O1120)</f>
        <v>5.236957029635354</v>
      </c>
    </row>
    <row r="1121" spans="1:17">
      <c r="A1121" s="101" t="s">
        <v>4</v>
      </c>
      <c r="B1121" s="101">
        <v>4</v>
      </c>
      <c r="C1121" s="101">
        <v>2025</v>
      </c>
      <c r="D1121" s="101" t="s">
        <v>213</v>
      </c>
      <c r="E1121" s="101" t="s">
        <v>213</v>
      </c>
      <c r="F1121" s="194">
        <v>45748</v>
      </c>
      <c r="G1121" s="101">
        <f t="shared" ref="G1121:G1127" si="208">DAY(EOMONTH(F1121,0))</f>
        <v>30</v>
      </c>
      <c r="H1121" s="103">
        <f>H1120+1</f>
        <v>45770</v>
      </c>
      <c r="I1121" s="141">
        <f>_xlfn.XLOOKUP(Table12[[#This Row],[Month Year]],'Modelling New'!D:D,'Modelling New'!N:N)</f>
        <v>10.507</v>
      </c>
      <c r="J1121" s="166">
        <f>'Raw Data'!K29/J$1</f>
        <v>4.6450886304956001</v>
      </c>
      <c r="K1121" s="50">
        <f>'Raw Data'!L29/K$1</f>
        <v>4.5982654230076916</v>
      </c>
      <c r="L1121" s="50">
        <f>'Raw Data'!M29/L$1</f>
        <v>4.5972763517448376</v>
      </c>
      <c r="M1121" s="50">
        <f>'Raw Data'!N29/M$1</f>
        <v>4.4975411947889015</v>
      </c>
      <c r="N1121" s="50">
        <f>'Raw Data'!O29/N$1</f>
        <v>4.5713378252682677</v>
      </c>
      <c r="O1121" s="50">
        <f>'Raw Data'!P29/O$1</f>
        <v>3.1642195184779158</v>
      </c>
      <c r="P1121" s="50">
        <f t="shared" si="206"/>
        <v>4.3456214906305357</v>
      </c>
      <c r="Q1121" s="50">
        <f t="shared" si="207"/>
        <v>4.6450886304956001</v>
      </c>
    </row>
    <row r="1122" spans="1:17">
      <c r="A1122" s="101" t="s">
        <v>4</v>
      </c>
      <c r="B1122" s="101">
        <v>4</v>
      </c>
      <c r="C1122" s="101">
        <v>2025</v>
      </c>
      <c r="D1122" s="101" t="s">
        <v>213</v>
      </c>
      <c r="E1122" s="101" t="s">
        <v>213</v>
      </c>
      <c r="F1122" s="194">
        <v>45748</v>
      </c>
      <c r="G1122" s="101">
        <f t="shared" si="208"/>
        <v>30</v>
      </c>
      <c r="H1122" s="103">
        <f t="shared" si="191"/>
        <v>45771</v>
      </c>
      <c r="I1122" s="141">
        <f>_xlfn.XLOOKUP(Table12[[#This Row],[Month Year]],'Modelling New'!D:D,'Modelling New'!N:N)</f>
        <v>10.507</v>
      </c>
      <c r="J1122" s="166">
        <f>'Raw Data'!K30/J$1</f>
        <v>5.1758532070520999</v>
      </c>
      <c r="K1122" s="50">
        <f>'Raw Data'!L30/K$1</f>
        <v>5.1710031091474393</v>
      </c>
      <c r="L1122" s="50">
        <f>'Raw Data'!M30/L$1</f>
        <v>5.1516373247323388</v>
      </c>
      <c r="M1122" s="50">
        <f>'Raw Data'!N30/M$1</f>
        <v>4.9736196525187353</v>
      </c>
      <c r="N1122" s="50">
        <f>'Raw Data'!O30/N$1</f>
        <v>4.9819642006397604</v>
      </c>
      <c r="O1122" s="50">
        <f>'Raw Data'!P30/O$1</f>
        <v>3.1642195184779158</v>
      </c>
      <c r="P1122" s="50">
        <f t="shared" ref="P1122" si="209">IFERROR(AVERAGEIF(J1122:O1122,"&gt;"&amp;0,J1122:O1122),"")</f>
        <v>4.7697161687613807</v>
      </c>
      <c r="Q1122" s="50">
        <f t="shared" ref="Q1122" si="210">MAXA(J1122:O1122)</f>
        <v>5.1758532070520999</v>
      </c>
    </row>
    <row r="1123" spans="1:17">
      <c r="A1123" s="101" t="s">
        <v>4</v>
      </c>
      <c r="B1123" s="101">
        <v>4</v>
      </c>
      <c r="C1123" s="101">
        <v>2025</v>
      </c>
      <c r="D1123" s="101" t="s">
        <v>213</v>
      </c>
      <c r="E1123" s="101" t="s">
        <v>213</v>
      </c>
      <c r="F1123" s="194">
        <v>45748</v>
      </c>
      <c r="G1123" s="101">
        <f t="shared" si="208"/>
        <v>30</v>
      </c>
      <c r="H1123" s="103">
        <f t="shared" si="191"/>
        <v>45772</v>
      </c>
      <c r="I1123" s="141">
        <f>_xlfn.XLOOKUP(Table12[[#This Row],[Month Year]],'Modelling New'!D:D,'Modelling New'!N:N)</f>
        <v>10.507</v>
      </c>
      <c r="J1123" s="166">
        <f>'Raw Data'!K31/J$1</f>
        <v>4.7696925039987059</v>
      </c>
      <c r="K1123" s="50">
        <f>'Raw Data'!L31/K$1</f>
        <v>4.6380843288059781</v>
      </c>
      <c r="L1123" s="50">
        <f>'Raw Data'!M31/L$1</f>
        <v>4.6706311875643953</v>
      </c>
      <c r="M1123" s="50">
        <f>'Raw Data'!N31/M$1</f>
        <v>4.4919402717567856</v>
      </c>
      <c r="N1123" s="50">
        <f>'Raw Data'!O31/N$1</f>
        <v>4.6110392704008714</v>
      </c>
      <c r="O1123" s="50">
        <f>'Raw Data'!P31/O$1</f>
        <v>3.1642195184779158</v>
      </c>
      <c r="P1123" s="50">
        <f t="shared" ref="P1123" si="211">IFERROR(AVERAGEIF(J1123:O1123,"&gt;"&amp;0,J1123:O1123),"")</f>
        <v>4.3909345135007749</v>
      </c>
      <c r="Q1123" s="50">
        <f t="shared" ref="Q1123" si="212">MAXA(J1123:O1123)</f>
        <v>4.7696925039987059</v>
      </c>
    </row>
    <row r="1124" spans="1:17">
      <c r="A1124" s="101" t="s">
        <v>4</v>
      </c>
      <c r="B1124" s="101">
        <v>4</v>
      </c>
      <c r="C1124" s="101">
        <v>2025</v>
      </c>
      <c r="D1124" s="101" t="s">
        <v>213</v>
      </c>
      <c r="E1124" s="101" t="s">
        <v>213</v>
      </c>
      <c r="F1124" s="194">
        <v>45748</v>
      </c>
      <c r="G1124" s="101">
        <f t="shared" si="208"/>
        <v>30</v>
      </c>
      <c r="H1124" s="103">
        <f t="shared" si="191"/>
        <v>45773</v>
      </c>
      <c r="I1124" s="141">
        <f>_xlfn.XLOOKUP(Table12[[#This Row],[Month Year]],'Modelling New'!D:D,'Modelling New'!N:N)</f>
        <v>10.507</v>
      </c>
      <c r="J1124" s="166">
        <f>'Raw Data'!K32/J$1</f>
        <v>5.2297683446255592</v>
      </c>
      <c r="K1124" s="50">
        <f>'Raw Data'!L32/K$1</f>
        <v>5.176457753777342</v>
      </c>
      <c r="L1124" s="50">
        <f>'Raw Data'!M32/L$1</f>
        <v>5.2748286520628946</v>
      </c>
      <c r="M1124" s="50">
        <f>'Raw Data'!N32/M$1</f>
        <v>5.1864547277391315</v>
      </c>
      <c r="N1124" s="50">
        <f>'Raw Data'!O32/N$1</f>
        <v>5.1736654642800426</v>
      </c>
      <c r="O1124" s="50">
        <f>'Raw Data'!P32/O$1</f>
        <v>3.1642195184779158</v>
      </c>
      <c r="P1124" s="50">
        <f t="shared" ref="P1124" si="213">IFERROR(AVERAGEIF(J1124:O1124,"&gt;"&amp;0,J1124:O1124),"")</f>
        <v>4.867565743493814</v>
      </c>
      <c r="Q1124" s="50">
        <f t="shared" ref="Q1124" si="214">MAXA(J1124:O1124)</f>
        <v>5.2748286520628946</v>
      </c>
    </row>
    <row r="1125" spans="1:17">
      <c r="A1125" s="101" t="s">
        <v>4</v>
      </c>
      <c r="B1125" s="101">
        <v>4</v>
      </c>
      <c r="C1125" s="101">
        <v>2025</v>
      </c>
      <c r="D1125" s="101" t="s">
        <v>213</v>
      </c>
      <c r="E1125" s="101" t="s">
        <v>213</v>
      </c>
      <c r="F1125" s="194">
        <v>45748</v>
      </c>
      <c r="G1125" s="101">
        <f t="shared" si="208"/>
        <v>30</v>
      </c>
      <c r="H1125" s="103">
        <f t="shared" si="191"/>
        <v>45774</v>
      </c>
      <c r="I1125" s="141">
        <f>_xlfn.XLOOKUP(Table12[[#This Row],[Month Year]],'Modelling New'!D:D,'Modelling New'!N:N)</f>
        <v>10.507</v>
      </c>
      <c r="J1125" s="166">
        <f>'Raw Data'!K33/J$1</f>
        <v>4.5887772645855422</v>
      </c>
      <c r="K1125" s="50">
        <f>'Raw Data'!L33/K$1</f>
        <v>4.528445971744941</v>
      </c>
      <c r="L1125" s="50">
        <f>'Raw Data'!M33/L$1</f>
        <v>4.507682659140797</v>
      </c>
      <c r="M1125" s="50">
        <f>'Raw Data'!N33/M$1</f>
        <v>4.4471328874998601</v>
      </c>
      <c r="N1125" s="50">
        <f>'Raw Data'!O33/N$1</f>
        <v>4.6643526395789374</v>
      </c>
      <c r="O1125" s="50">
        <f>'Raw Data'!P33/O$1</f>
        <v>3.1642195184779158</v>
      </c>
      <c r="P1125" s="50">
        <f t="shared" ref="P1125" si="215">IFERROR(AVERAGEIF(J1125:O1125,"&gt;"&amp;0,J1125:O1125),"")</f>
        <v>4.3167684901713317</v>
      </c>
      <c r="Q1125" s="50">
        <f t="shared" ref="Q1125" si="216">MAXA(J1125:O1125)</f>
        <v>4.6643526395789374</v>
      </c>
    </row>
    <row r="1126" spans="1:17">
      <c r="A1126" s="101" t="s">
        <v>4</v>
      </c>
      <c r="B1126" s="101">
        <v>4</v>
      </c>
      <c r="C1126" s="101">
        <v>2025</v>
      </c>
      <c r="D1126" s="101" t="s">
        <v>213</v>
      </c>
      <c r="E1126" s="101" t="s">
        <v>213</v>
      </c>
      <c r="F1126" s="194">
        <v>45748</v>
      </c>
      <c r="G1126" s="101">
        <f t="shared" si="208"/>
        <v>30</v>
      </c>
      <c r="H1126" s="103">
        <f t="shared" si="191"/>
        <v>45775</v>
      </c>
      <c r="I1126" s="141">
        <f>_xlfn.XLOOKUP(Table12[[#This Row],[Month Year]],'Modelling New'!D:D,'Modelling New'!N:N)</f>
        <v>10.507</v>
      </c>
      <c r="J1126" s="166">
        <f>'Raw Data'!K34/J$1</f>
        <v>5.1818437778935955</v>
      </c>
      <c r="K1126" s="50">
        <f>'Raw Data'!L34/K$1</f>
        <v>5.143729885997927</v>
      </c>
      <c r="L1126" s="50">
        <f>'Raw Data'!M34/L$1</f>
        <v>5.1180396900058236</v>
      </c>
      <c r="M1126" s="50">
        <f>'Raw Data'!N34/M$1</f>
        <v>5.1752528816748997</v>
      </c>
      <c r="N1126" s="50">
        <f>'Raw Data'!O34/N$1</f>
        <v>5.1509789242042689</v>
      </c>
      <c r="O1126" s="50">
        <f>'Raw Data'!P34/O$1</f>
        <v>3.1642195184779158</v>
      </c>
      <c r="P1126" s="50">
        <f t="shared" ref="P1126" si="217">IFERROR(AVERAGEIF(J1126:O1126,"&gt;"&amp;0,J1126:O1126),"")</f>
        <v>4.822344113042405</v>
      </c>
      <c r="Q1126" s="50">
        <f t="shared" ref="Q1126" si="218">MAXA(J1126:O1126)</f>
        <v>5.1818437778935955</v>
      </c>
    </row>
    <row r="1127" spans="1:17">
      <c r="A1127" s="101" t="s">
        <v>4</v>
      </c>
      <c r="B1127" s="101">
        <v>4</v>
      </c>
      <c r="C1127" s="101">
        <v>2025</v>
      </c>
      <c r="D1127" s="101" t="s">
        <v>213</v>
      </c>
      <c r="E1127" s="101" t="s">
        <v>213</v>
      </c>
      <c r="F1127" s="194">
        <v>45748</v>
      </c>
      <c r="G1127" s="101">
        <f t="shared" si="208"/>
        <v>30</v>
      </c>
      <c r="H1127" s="103">
        <f t="shared" si="191"/>
        <v>45776</v>
      </c>
      <c r="I1127" s="141">
        <f>_xlfn.XLOOKUP(Table12[[#This Row],[Month Year]],'Modelling New'!D:D,'Modelling New'!N:N)</f>
        <v>10.507</v>
      </c>
      <c r="J1127" s="166">
        <f>'Raw Data'!K35/J$1</f>
        <v>4.7804755315133978</v>
      </c>
      <c r="K1127" s="50">
        <f>'Raw Data'!L35/K$1</f>
        <v>4.6964490263459338</v>
      </c>
      <c r="L1127" s="50">
        <f>'Raw Data'!M35/L$1</f>
        <v>4.782623303319447</v>
      </c>
      <c r="M1127" s="50">
        <f>'Raw Data'!N35/M$1</f>
        <v>4.844798422780074</v>
      </c>
      <c r="N1127" s="50">
        <f>'Raw Data'!O35/N$1</f>
        <v>4.7772181764559081</v>
      </c>
      <c r="O1127" s="50">
        <f>'Raw Data'!P35/O$1</f>
        <v>3.1642195184779158</v>
      </c>
      <c r="P1127" s="50">
        <f t="shared" ref="P1127" si="219">IFERROR(AVERAGEIF(J1127:O1127,"&gt;"&amp;0,J1127:O1127),"")</f>
        <v>4.5076306631487784</v>
      </c>
      <c r="Q1127" s="50">
        <f t="shared" ref="Q1127" si="220">MAXA(J1127:O1127)</f>
        <v>4.844798422780074</v>
      </c>
    </row>
    <row r="1128" spans="1:17">
      <c r="A1128" s="101" t="s">
        <v>4</v>
      </c>
      <c r="B1128" s="101">
        <v>4</v>
      </c>
      <c r="C1128" s="101">
        <v>2025</v>
      </c>
      <c r="D1128" s="101" t="s">
        <v>213</v>
      </c>
      <c r="E1128" s="101" t="s">
        <v>213</v>
      </c>
      <c r="F1128" s="194">
        <v>45748</v>
      </c>
      <c r="G1128" s="101">
        <f>DAY(EOMONTH(F1128,0))</f>
        <v>30</v>
      </c>
      <c r="H1128" s="103">
        <f>H1127+1</f>
        <v>45777</v>
      </c>
      <c r="I1128" s="141">
        <f>_xlfn.XLOOKUP(Table12[[#This Row],[Month Year]],'Modelling New'!D:D,'Modelling New'!N:N)</f>
        <v>10.507</v>
      </c>
      <c r="J1128" s="166">
        <f>'Raw Data'!K36/J$1</f>
        <v>4.9266454600458882</v>
      </c>
      <c r="K1128" s="50">
        <f>'Raw Data'!L36/K$1</f>
        <v>4.9200894561719304</v>
      </c>
      <c r="L1128" s="50">
        <f>'Raw Data'!M36/L$1</f>
        <v>4.8890158132867452</v>
      </c>
      <c r="M1128" s="50">
        <f>'Raw Data'!N36/M$1</f>
        <v>5.0464316519362393</v>
      </c>
      <c r="N1128" s="50">
        <f>'Raw Data'!O36/N$1</f>
        <v>4.8401733251661785</v>
      </c>
      <c r="O1128" s="50">
        <f>'Raw Data'!P36/O$1</f>
        <v>3.1642195184779158</v>
      </c>
      <c r="P1128" s="50">
        <f t="shared" ref="P1128" si="221">IFERROR(AVERAGEIF(J1128:O1128,"&gt;"&amp;0,J1128:O1128),"")</f>
        <v>4.6310958708474823</v>
      </c>
      <c r="Q1128" s="50">
        <f t="shared" ref="Q1128" si="222">MAXA(J1128:O1128)</f>
        <v>5.0464316519362393</v>
      </c>
    </row>
    <row r="1129" spans="1:17">
      <c r="A1129" s="101" t="s">
        <v>4</v>
      </c>
      <c r="B1129" s="101">
        <v>5</v>
      </c>
      <c r="C1129" s="101">
        <v>2025</v>
      </c>
      <c r="D1129" s="101" t="s">
        <v>213</v>
      </c>
      <c r="E1129" s="101" t="s">
        <v>213</v>
      </c>
      <c r="F1129" s="194">
        <v>45778</v>
      </c>
      <c r="G1129" s="188">
        <f>DAY(EOMONTH(F1129,0))</f>
        <v>31</v>
      </c>
      <c r="H1129" s="103">
        <f t="shared" ref="H1129:H1133" si="223">H1128+1</f>
        <v>45778</v>
      </c>
      <c r="I1129" s="189">
        <f>_xlfn.XLOOKUP(Table12[[#This Row],[Month Year]],'Modelling New'!D:D,'Modelling New'!N:N)</f>
        <v>10.507</v>
      </c>
      <c r="J1129" s="166">
        <f>'Raw Data'!K37/J$1</f>
        <v>2.9833042790647522</v>
      </c>
      <c r="K1129" s="50">
        <f>'Raw Data'!L37/K$1</f>
        <v>2.9144166257568318</v>
      </c>
      <c r="L1129" s="50">
        <f>'Raw Data'!M37/L$1</f>
        <v>2.8334005286027866</v>
      </c>
      <c r="M1129" s="50">
        <f>'Raw Data'!N37/M$1</f>
        <v>2.9365639457382575</v>
      </c>
      <c r="N1129" s="50">
        <f>'Raw Data'!O37/N$1</f>
        <v>2.9776083849452117</v>
      </c>
      <c r="O1129" s="50">
        <f>'Raw Data'!P37/O$1</f>
        <v>3.1642195184779158</v>
      </c>
      <c r="P1129" s="50">
        <f t="shared" ref="P1129" si="224">IFERROR(AVERAGEIF(J1129:O1129,"&gt;"&amp;0,J1129:O1129),"")</f>
        <v>2.9682522137642926</v>
      </c>
      <c r="Q1129" s="50">
        <f t="shared" ref="Q1129" si="225">MAXA(J1129:O1129)</f>
        <v>3.1642195184779158</v>
      </c>
    </row>
    <row r="1130" spans="1:17">
      <c r="A1130" s="101" t="s">
        <v>4</v>
      </c>
      <c r="B1130" s="101">
        <v>5</v>
      </c>
      <c r="C1130" s="101">
        <v>2025</v>
      </c>
      <c r="D1130" s="101" t="s">
        <v>213</v>
      </c>
      <c r="E1130" s="101" t="s">
        <v>213</v>
      </c>
      <c r="F1130" s="194">
        <v>45778</v>
      </c>
      <c r="G1130" s="188">
        <f>DAY(EOMONTH(F1130,0))</f>
        <v>31</v>
      </c>
      <c r="H1130" s="103">
        <f t="shared" si="223"/>
        <v>45779</v>
      </c>
      <c r="I1130" s="189">
        <f>_xlfn.XLOOKUP(Table12[[#This Row],[Month Year]],'Modelling New'!D:D,'Modelling New'!N:N)</f>
        <v>10.507</v>
      </c>
      <c r="J1130" s="166">
        <f>'Raw Data'!K38/J$1</f>
        <v>4.762503818988912</v>
      </c>
      <c r="K1130" s="50">
        <f>'Raw Data'!L38/K$1</f>
        <v>4.64190258004691</v>
      </c>
      <c r="L1130" s="50">
        <f>'Raw Data'!M38/L$1</f>
        <v>4.6420731980468579</v>
      </c>
      <c r="M1130" s="50">
        <f>'Raw Data'!N38/M$1</f>
        <v>4.7439818082019913</v>
      </c>
      <c r="N1130" s="50">
        <f>'Raw Data'!O38/N$1</f>
        <v>4.8152181310828279</v>
      </c>
      <c r="O1130" s="50">
        <f>'Raw Data'!P38/O$1</f>
        <v>3.1642195184779158</v>
      </c>
      <c r="P1130" s="50">
        <f t="shared" ref="P1130" si="226">IFERROR(AVERAGEIF(J1130:O1130,"&gt;"&amp;0,J1130:O1130),"")</f>
        <v>4.4616498424742348</v>
      </c>
      <c r="Q1130" s="50">
        <f t="shared" ref="Q1130" si="227">MAXA(J1130:O1130)</f>
        <v>4.8152181310828279</v>
      </c>
    </row>
    <row r="1131" spans="1:17">
      <c r="A1131" s="101" t="s">
        <v>4</v>
      </c>
      <c r="B1131" s="101">
        <v>5</v>
      </c>
      <c r="C1131" s="101">
        <v>2025</v>
      </c>
      <c r="D1131" s="101" t="s">
        <v>213</v>
      </c>
      <c r="E1131" s="101" t="s">
        <v>213</v>
      </c>
      <c r="F1131" s="194">
        <v>45778</v>
      </c>
      <c r="G1131" s="188">
        <f t="shared" ref="G1131:G1133" si="228">DAY(EOMONTH(F1131,0))</f>
        <v>31</v>
      </c>
      <c r="H1131" s="103">
        <f t="shared" si="223"/>
        <v>45780</v>
      </c>
      <c r="I1131" s="189">
        <f>_xlfn.XLOOKUP(Table12[[#This Row],[Month Year]],'Modelling New'!D:D,'Modelling New'!N:N)</f>
        <v>10.507</v>
      </c>
      <c r="J1131" s="166">
        <f>'Raw Data'!K39/J$1</f>
        <v>5.1518909236861186</v>
      </c>
      <c r="K1131" s="50">
        <f>'Raw Data'!L39/K$1</f>
        <v>5.0291823487699778</v>
      </c>
      <c r="L1131" s="50">
        <f>'Raw Data'!M39/L$1</f>
        <v>5.0228463916140305</v>
      </c>
      <c r="M1131" s="50">
        <f>'Raw Data'!N39/M$1</f>
        <v>5.0475518365426622</v>
      </c>
      <c r="N1131" s="50">
        <f>'Raw Data'!O39/N$1</f>
        <v>5.0931282470110482</v>
      </c>
      <c r="O1131" s="50">
        <f>'Raw Data'!P39/O$1</f>
        <v>3.1642195184779158</v>
      </c>
      <c r="P1131" s="50">
        <f t="shared" ref="P1131" si="229">IFERROR(AVERAGEIF(J1131:O1131,"&gt;"&amp;0,J1131:O1131),"")</f>
        <v>4.7514698776836255</v>
      </c>
      <c r="Q1131" s="50">
        <f t="shared" ref="Q1131" si="230">MAXA(J1131:O1131)</f>
        <v>5.1518909236861186</v>
      </c>
    </row>
    <row r="1132" spans="1:17">
      <c r="A1132" s="101" t="s">
        <v>4</v>
      </c>
      <c r="B1132" s="101">
        <v>5</v>
      </c>
      <c r="C1132" s="101">
        <v>2025</v>
      </c>
      <c r="D1132" s="101" t="s">
        <v>213</v>
      </c>
      <c r="E1132" s="101" t="s">
        <v>213</v>
      </c>
      <c r="F1132" s="194">
        <v>45778</v>
      </c>
      <c r="G1132" s="188">
        <f t="shared" si="228"/>
        <v>31</v>
      </c>
      <c r="H1132" s="103">
        <f t="shared" si="223"/>
        <v>45781</v>
      </c>
      <c r="I1132" s="189">
        <f>_xlfn.XLOOKUP(Table12[[#This Row],[Month Year]],'Modelling New'!D:D,'Modelling New'!N:N)</f>
        <v>10.507</v>
      </c>
      <c r="J1132" s="166">
        <f>'Raw Data'!K40/J$1</f>
        <v>5.3262165351736366</v>
      </c>
      <c r="K1132" s="50">
        <f>'Raw Data'!L40/K$1</f>
        <v>5.2146402661866578</v>
      </c>
      <c r="L1132" s="50">
        <f>'Raw Data'!M40/L$1</f>
        <v>5.241790977915155</v>
      </c>
      <c r="M1132" s="50">
        <f>'Raw Data'!N40/M$1</f>
        <v>5.3046342037167724</v>
      </c>
      <c r="N1132" s="50">
        <f>'Raw Data'!O40/N$1</f>
        <v>5.2519340275414592</v>
      </c>
      <c r="O1132" s="50">
        <f>'Raw Data'!P40/O$1</f>
        <v>3.1642195184779158</v>
      </c>
      <c r="P1132" s="50">
        <f t="shared" ref="P1132" si="231">IFERROR(AVERAGEIF(J1132:O1132,"&gt;"&amp;0,J1132:O1132),"")</f>
        <v>4.9172392548352661</v>
      </c>
      <c r="Q1132" s="50">
        <f t="shared" ref="Q1132" si="232">MAXA(J1132:O1132)</f>
        <v>5.3262165351736366</v>
      </c>
    </row>
    <row r="1133" spans="1:17">
      <c r="A1133" s="101" t="s">
        <v>4</v>
      </c>
      <c r="B1133" s="101">
        <v>5</v>
      </c>
      <c r="C1133" s="101">
        <v>2025</v>
      </c>
      <c r="D1133" s="101" t="s">
        <v>213</v>
      </c>
      <c r="E1133" s="101" t="s">
        <v>213</v>
      </c>
      <c r="F1133" s="194">
        <v>45778</v>
      </c>
      <c r="G1133" s="188">
        <f t="shared" si="228"/>
        <v>31</v>
      </c>
      <c r="H1133" s="103">
        <f t="shared" si="223"/>
        <v>45782</v>
      </c>
      <c r="I1133" s="189">
        <f>_xlfn.XLOOKUP(Table12[[#This Row],[Month Year]],'Modelling New'!D:D,'Modelling New'!N:N)</f>
        <v>10.507</v>
      </c>
      <c r="J1133" s="166">
        <f>'Raw Data'!K41/J$1</f>
        <v>5.4514194657608925</v>
      </c>
      <c r="K1133" s="50">
        <f>'Raw Data'!L41/K$1</f>
        <v>5.3471881306932856</v>
      </c>
      <c r="L1133" s="50">
        <f>'Raw Data'!M41/L$1</f>
        <v>5.3364243157281726</v>
      </c>
      <c r="M1133" s="50">
        <f>'Raw Data'!N41/M$1</f>
        <v>5.4665008793449159</v>
      </c>
      <c r="N1133" s="50">
        <f>'Raw Data'!O41/N$1</f>
        <v>5.4277547131287003</v>
      </c>
      <c r="O1133" s="50">
        <f>'Raw Data'!P41/O$1</f>
        <v>3.1642195184779158</v>
      </c>
      <c r="P1133" s="50">
        <f t="shared" ref="P1133" si="233">IFERROR(AVERAGEIF(J1133:O1133,"&gt;"&amp;0,J1133:O1133),"")</f>
        <v>5.0322511705223141</v>
      </c>
      <c r="Q1133" s="50">
        <f t="shared" ref="Q1133" si="234">MAXA(J1133:O1133)</f>
        <v>5.4665008793449159</v>
      </c>
    </row>
    <row r="1134" spans="1:17">
      <c r="A1134" s="101" t="s">
        <v>4</v>
      </c>
      <c r="B1134" s="101">
        <v>5</v>
      </c>
      <c r="C1134" s="101">
        <v>2025</v>
      </c>
      <c r="D1134" s="101" t="s">
        <v>213</v>
      </c>
      <c r="E1134" s="101" t="s">
        <v>213</v>
      </c>
      <c r="F1134" s="194">
        <v>45778</v>
      </c>
      <c r="G1134" s="188">
        <f t="shared" ref="G1134:G1145" si="235">DAY(EOMONTH(F1134,0))</f>
        <v>31</v>
      </c>
      <c r="H1134" s="190">
        <f t="shared" ref="H1134:H1197" si="236">H1133+1</f>
        <v>45783</v>
      </c>
      <c r="I1134" s="189">
        <f>_xlfn.XLOOKUP(Table12[[#This Row],[Month Year]],'Modelling New'!D:D,'Modelling New'!N:N)</f>
        <v>10.507</v>
      </c>
      <c r="J1134" s="166">
        <f>'Raw Data'!K42/J$1</f>
        <v>5.8707594246655761</v>
      </c>
      <c r="K1134" s="50">
        <f>'Raw Data'!L42/K$1</f>
        <v>5.8037418862161134</v>
      </c>
      <c r="L1134" s="50">
        <f>'Raw Data'!M42/L$1</f>
        <v>5.6052053935402952</v>
      </c>
      <c r="M1134" s="50">
        <f>'Raw Data'!N42/M$1</f>
        <v>5.768950723079163</v>
      </c>
      <c r="N1134" s="50">
        <f>'Raw Data'!O42/N$1</f>
        <v>5.7249483881213274</v>
      </c>
      <c r="O1134" s="50">
        <f>'Raw Data'!P42/O$1</f>
        <v>3.1642195184779158</v>
      </c>
      <c r="P1134" s="50">
        <f t="shared" ref="P1134" si="237">IFERROR(AVERAGEIF(J1134:O1134,"&gt;"&amp;0,J1134:O1134),"")</f>
        <v>5.3229708890167311</v>
      </c>
      <c r="Q1134" s="50">
        <f t="shared" ref="Q1134" si="238">MAXA(J1134:O1134)</f>
        <v>5.8707594246655761</v>
      </c>
    </row>
    <row r="1135" spans="1:17">
      <c r="A1135" s="101" t="s">
        <v>4</v>
      </c>
      <c r="B1135" s="101">
        <v>5</v>
      </c>
      <c r="C1135" s="101">
        <v>2025</v>
      </c>
      <c r="D1135" s="101" t="s">
        <v>213</v>
      </c>
      <c r="E1135" s="101" t="s">
        <v>213</v>
      </c>
      <c r="F1135" s="194">
        <v>45778</v>
      </c>
      <c r="G1135" s="188">
        <f t="shared" si="235"/>
        <v>31</v>
      </c>
      <c r="H1135" s="190">
        <f t="shared" si="236"/>
        <v>45784</v>
      </c>
      <c r="I1135" s="189">
        <f>_xlfn.XLOOKUP(Table12[[#This Row],[Month Year]],'Modelling New'!D:D,'Modelling New'!N:N)</f>
        <v>10.507</v>
      </c>
      <c r="J1135" s="166">
        <f>'Raw Data'!K43/J$1</f>
        <v>5.5718299396749513</v>
      </c>
      <c r="K1135" s="50">
        <f>'Raw Data'!L43/K$1</f>
        <v>5.4988272514045713</v>
      </c>
      <c r="L1135" s="50">
        <f>'Raw Data'!M43/L$1</f>
        <v>5.414818796756709</v>
      </c>
      <c r="M1135" s="50">
        <f>'Raw Data'!N43/M$1</f>
        <v>5.5191495558468029</v>
      </c>
      <c r="N1135" s="50">
        <f>'Raw Data'!O43/N$1</f>
        <v>5.4617845232423603</v>
      </c>
      <c r="O1135" s="50">
        <f>'Raw Data'!P43/O$1</f>
        <v>3.1642195184779158</v>
      </c>
      <c r="P1135" s="50">
        <f t="shared" ref="P1135:P1137" si="239">IFERROR(AVERAGEIF(J1135:O1135,"&gt;"&amp;0,J1135:O1135),"")</f>
        <v>5.1051049309005521</v>
      </c>
      <c r="Q1135" s="50">
        <f t="shared" ref="Q1135:Q1137" si="240">MAXA(J1135:O1135)</f>
        <v>5.5718299396749513</v>
      </c>
    </row>
    <row r="1136" spans="1:17">
      <c r="A1136" s="101" t="s">
        <v>4</v>
      </c>
      <c r="B1136" s="101">
        <v>5</v>
      </c>
      <c r="C1136" s="101">
        <v>2025</v>
      </c>
      <c r="D1136" s="101" t="s">
        <v>213</v>
      </c>
      <c r="E1136" s="101" t="s">
        <v>213</v>
      </c>
      <c r="F1136" s="194">
        <v>45778</v>
      </c>
      <c r="G1136" s="188">
        <f t="shared" si="235"/>
        <v>31</v>
      </c>
      <c r="H1136" s="190">
        <f t="shared" si="236"/>
        <v>45785</v>
      </c>
      <c r="I1136" s="189">
        <f>_xlfn.XLOOKUP(Table12[[#This Row],[Month Year]],'Modelling New'!D:D,'Modelling New'!N:N)</f>
        <v>10.507</v>
      </c>
      <c r="J1136" s="166">
        <f>'Raw Data'!K44/J$1</f>
        <v>5.4873628908098651</v>
      </c>
      <c r="K1136" s="50">
        <f>'Raw Data'!L44/K$1</f>
        <v>5.4720994927180495</v>
      </c>
      <c r="L1136" s="50">
        <f>'Raw Data'!M44/L$1</f>
        <v>5.3649823052457108</v>
      </c>
      <c r="M1136" s="50">
        <f>'Raw Data'!N44/M$1</f>
        <v>5.4676210639513387</v>
      </c>
      <c r="N1136" s="50">
        <f>'Raw Data'!O44/N$1</f>
        <v>5.3199936477687784</v>
      </c>
      <c r="O1136" s="50">
        <f>'Raw Data'!P44/O$1</f>
        <v>3.1642195184779158</v>
      </c>
      <c r="P1136" s="50">
        <f t="shared" si="239"/>
        <v>5.0460464864952757</v>
      </c>
      <c r="Q1136" s="50">
        <f t="shared" si="240"/>
        <v>5.4873628908098651</v>
      </c>
    </row>
    <row r="1137" spans="1:17">
      <c r="A1137" s="101" t="s">
        <v>4</v>
      </c>
      <c r="B1137" s="101">
        <v>5</v>
      </c>
      <c r="C1137" s="101">
        <v>2025</v>
      </c>
      <c r="D1137" s="101" t="s">
        <v>213</v>
      </c>
      <c r="E1137" s="101" t="s">
        <v>213</v>
      </c>
      <c r="F1137" s="194">
        <v>45778</v>
      </c>
      <c r="G1137" s="188">
        <f t="shared" si="235"/>
        <v>31</v>
      </c>
      <c r="H1137" s="190">
        <f t="shared" si="236"/>
        <v>45786</v>
      </c>
      <c r="I1137" s="189">
        <f>_xlfn.XLOOKUP(Table12[[#This Row],[Month Year]],'Modelling New'!D:D,'Modelling New'!N:N)</f>
        <v>10.507</v>
      </c>
      <c r="J1137" s="166">
        <f>'Raw Data'!K45/J$1</f>
        <v>5.1159474986371452</v>
      </c>
      <c r="K1137" s="50">
        <f>'Raw Data'!L45/K$1</f>
        <v>5.0673648611792945</v>
      </c>
      <c r="L1137" s="50">
        <f>'Raw Data'!M45/L$1</f>
        <v>4.9455718317430453</v>
      </c>
      <c r="M1137" s="50">
        <f>'Raw Data'!N45/M$1</f>
        <v>4.9579370680288113</v>
      </c>
      <c r="N1137" s="50">
        <f>'Raw Data'!O45/N$1</f>
        <v>4.8832777513101471</v>
      </c>
      <c r="O1137" s="50">
        <f>'Raw Data'!P45/O$1</f>
        <v>3.1642195184779158</v>
      </c>
      <c r="P1137" s="50">
        <f t="shared" si="239"/>
        <v>4.689053088229393</v>
      </c>
      <c r="Q1137" s="50">
        <f t="shared" si="240"/>
        <v>5.1159474986371452</v>
      </c>
    </row>
    <row r="1138" spans="1:17">
      <c r="A1138" s="101" t="s">
        <v>4</v>
      </c>
      <c r="B1138" s="101">
        <v>5</v>
      </c>
      <c r="C1138" s="101">
        <v>2025</v>
      </c>
      <c r="D1138" s="101" t="s">
        <v>213</v>
      </c>
      <c r="E1138" s="101" t="s">
        <v>213</v>
      </c>
      <c r="F1138" s="194">
        <v>45778</v>
      </c>
      <c r="G1138" s="188">
        <f t="shared" si="235"/>
        <v>31</v>
      </c>
      <c r="H1138" s="190">
        <f t="shared" si="236"/>
        <v>45787</v>
      </c>
      <c r="I1138" s="189">
        <f>_xlfn.XLOOKUP(Table12[[#This Row],[Month Year]],'Modelling New'!D:D,'Modelling New'!N:N)</f>
        <v>10.507</v>
      </c>
      <c r="J1138" s="166">
        <f>'Raw Data'!K46/J$1</f>
        <v>5.8587782829825858</v>
      </c>
      <c r="K1138" s="50">
        <f>'Raw Data'!L46/K$1</f>
        <v>5.7622865870288553</v>
      </c>
      <c r="L1138" s="50">
        <f>'Raw Data'!M46/L$1</f>
        <v>5.6404829100031364</v>
      </c>
      <c r="M1138" s="50">
        <f>'Raw Data'!N46/M$1</f>
        <v>5.6569322624368494</v>
      </c>
      <c r="N1138" s="50">
        <f>'Raw Data'!O46/N$1</f>
        <v>5.6319335738106577</v>
      </c>
      <c r="O1138" s="50">
        <f>'Raw Data'!P46/O$1</f>
        <v>3.1642195184779158</v>
      </c>
      <c r="P1138" s="50">
        <f t="shared" ref="P1138" si="241">IFERROR(AVERAGEIF(J1138:O1138,"&gt;"&amp;0,J1138:O1138),"")</f>
        <v>5.2857721891233327</v>
      </c>
      <c r="Q1138" s="50">
        <f t="shared" ref="Q1138" si="242">MAXA(J1138:O1138)</f>
        <v>5.8587782829825858</v>
      </c>
    </row>
    <row r="1139" spans="1:17">
      <c r="A1139" s="101" t="s">
        <v>4</v>
      </c>
      <c r="B1139" s="101">
        <v>5</v>
      </c>
      <c r="C1139" s="101">
        <v>2025</v>
      </c>
      <c r="D1139" s="101" t="s">
        <v>213</v>
      </c>
      <c r="E1139" s="101" t="s">
        <v>213</v>
      </c>
      <c r="F1139" s="194">
        <v>45778</v>
      </c>
      <c r="G1139" s="188">
        <f t="shared" si="235"/>
        <v>31</v>
      </c>
      <c r="H1139" s="190">
        <f t="shared" si="236"/>
        <v>45788</v>
      </c>
      <c r="I1139" s="189">
        <f>_xlfn.XLOOKUP(Table12[[#This Row],[Month Year]],'Modelling New'!D:D,'Modelling New'!N:N)</f>
        <v>10.507</v>
      </c>
      <c r="J1139" s="166">
        <f>'Raw Data'!K47/J$1</f>
        <v>5.3861222435885914</v>
      </c>
      <c r="K1139" s="50">
        <f>'Raw Data'!L47/K$1</f>
        <v>5.4928271423116781</v>
      </c>
      <c r="L1139" s="50">
        <f>'Raw Data'!M47/L$1</f>
        <v>5.5105720557272768</v>
      </c>
      <c r="M1139" s="50">
        <f>'Raw Data'!N47/M$1</f>
        <v>5.5337119557303041</v>
      </c>
      <c r="N1139" s="50">
        <f>'Raw Data'!O47/N$1</f>
        <v>5.5468590485265086</v>
      </c>
      <c r="O1139" s="50">
        <f>'Raw Data'!P47/O$1</f>
        <v>3.1642195184779158</v>
      </c>
      <c r="P1139" s="50">
        <f t="shared" ref="P1139:P1141" si="243">IFERROR(AVERAGEIF(J1139:O1139,"&gt;"&amp;0,J1139:O1139),"")</f>
        <v>5.1057186607270459</v>
      </c>
      <c r="Q1139" s="50">
        <f t="shared" ref="Q1139:Q1141" si="244">MAXA(J1139:O1139)</f>
        <v>5.5468590485265086</v>
      </c>
    </row>
    <row r="1140" spans="1:17">
      <c r="A1140" s="101" t="s">
        <v>4</v>
      </c>
      <c r="B1140" s="101">
        <v>5</v>
      </c>
      <c r="C1140" s="101">
        <v>2025</v>
      </c>
      <c r="D1140" s="101" t="s">
        <v>213</v>
      </c>
      <c r="E1140" s="101" t="s">
        <v>213</v>
      </c>
      <c r="F1140" s="194">
        <v>45778</v>
      </c>
      <c r="G1140" s="188">
        <f t="shared" si="235"/>
        <v>31</v>
      </c>
      <c r="H1140" s="190">
        <f t="shared" si="236"/>
        <v>45789</v>
      </c>
      <c r="I1140" s="189">
        <f>_xlfn.XLOOKUP(Table12[[#This Row],[Month Year]],'Modelling New'!D:D,'Modelling New'!N:N)</f>
        <v>10.507</v>
      </c>
      <c r="J1140" s="166">
        <f>'Raw Data'!K48/J$1</f>
        <v>5.17645226413625</v>
      </c>
      <c r="K1140" s="50">
        <f>'Raw Data'!L48/K$1</f>
        <v>5.111002018218513</v>
      </c>
      <c r="L1140" s="50">
        <f>'Raw Data'!M48/L$1</f>
        <v>5.1247592169511265</v>
      </c>
      <c r="M1140" s="50">
        <f>'Raw Data'!N48/M$1</f>
        <v>5.1192436513537425</v>
      </c>
      <c r="N1140" s="50">
        <f>'Raw Data'!O48/N$1</f>
        <v>5.0210984822704683</v>
      </c>
      <c r="O1140" s="50">
        <f>'Raw Data'!P48/O$1</f>
        <v>3.1642195184779158</v>
      </c>
      <c r="P1140" s="50">
        <f t="shared" si="243"/>
        <v>4.7861291919013356</v>
      </c>
      <c r="Q1140" s="50">
        <f t="shared" si="244"/>
        <v>5.17645226413625</v>
      </c>
    </row>
    <row r="1141" spans="1:17">
      <c r="A1141" s="101" t="s">
        <v>4</v>
      </c>
      <c r="B1141" s="101">
        <v>5</v>
      </c>
      <c r="C1141" s="101">
        <v>2025</v>
      </c>
      <c r="D1141" s="101" t="s">
        <v>213</v>
      </c>
      <c r="E1141" s="101" t="s">
        <v>213</v>
      </c>
      <c r="F1141" s="194">
        <v>45778</v>
      </c>
      <c r="G1141" s="188">
        <f t="shared" si="235"/>
        <v>31</v>
      </c>
      <c r="H1141" s="190">
        <f t="shared" si="236"/>
        <v>45790</v>
      </c>
      <c r="I1141" s="189">
        <f>_xlfn.XLOOKUP(Table12[[#This Row],[Month Year]],'Modelling New'!D:D,'Modelling New'!N:N)</f>
        <v>10.507</v>
      </c>
      <c r="J1141" s="166">
        <f>'Raw Data'!K49/J$1</f>
        <v>5.4106835840387228</v>
      </c>
      <c r="K1141" s="50">
        <f>'Raw Data'!L49/K$1</f>
        <v>5.3193694430807836</v>
      </c>
      <c r="L1141" s="50">
        <f>'Raw Data'!M49/L$1</f>
        <v>5.2378712538637284</v>
      </c>
      <c r="M1141" s="50">
        <f>'Raw Data'!N49/M$1</f>
        <v>5.2424639580602879</v>
      </c>
      <c r="N1141" s="50">
        <f>'Raw Data'!O49/N$1</f>
        <v>5.2598743165679798</v>
      </c>
      <c r="O1141" s="50">
        <f>'Raw Data'!P49/O$1</f>
        <v>3.1642195184779158</v>
      </c>
      <c r="P1141" s="50">
        <f t="shared" si="243"/>
        <v>4.9390803456815702</v>
      </c>
      <c r="Q1141" s="50">
        <f t="shared" si="244"/>
        <v>5.4106835840387228</v>
      </c>
    </row>
    <row r="1142" spans="1:17">
      <c r="A1142" s="101" t="s">
        <v>4</v>
      </c>
      <c r="B1142" s="101">
        <v>5</v>
      </c>
      <c r="C1142" s="101">
        <v>2025</v>
      </c>
      <c r="D1142" s="101" t="s">
        <v>213</v>
      </c>
      <c r="E1142" s="101" t="s">
        <v>213</v>
      </c>
      <c r="F1142" s="194">
        <v>45778</v>
      </c>
      <c r="G1142" s="188">
        <f t="shared" si="235"/>
        <v>31</v>
      </c>
      <c r="H1142" s="190">
        <f t="shared" si="236"/>
        <v>45791</v>
      </c>
      <c r="I1142" s="189">
        <f>_xlfn.XLOOKUP(Table12[[#This Row],[Month Year]],'Modelling New'!D:D,'Modelling New'!N:N)</f>
        <v>10.507</v>
      </c>
      <c r="J1142" s="166">
        <f>'Raw Data'!K50/J$1</f>
        <v>4.8469708678539982</v>
      </c>
      <c r="K1142" s="50">
        <f>'Raw Data'!L50/K$1</f>
        <v>4.8055419189439812</v>
      </c>
      <c r="L1142" s="50">
        <f>'Raw Data'!M50/L$1</f>
        <v>4.7932625543161764</v>
      </c>
      <c r="M1142" s="50">
        <f>'Raw Data'!N50/M$1</f>
        <v>4.8503993458121899</v>
      </c>
      <c r="N1142" s="50">
        <f>'Raw Data'!O50/N$1</f>
        <v>4.7658749064180217</v>
      </c>
      <c r="O1142" s="50">
        <f>'Raw Data'!P50/O$1</f>
        <v>3.1642195184779158</v>
      </c>
      <c r="P1142" s="50">
        <f t="shared" ref="P1142" si="245">IFERROR(AVERAGEIF(J1142:O1142,"&gt;"&amp;0,J1142:O1142),"")</f>
        <v>4.5377115186370469</v>
      </c>
      <c r="Q1142" s="50">
        <f t="shared" ref="Q1142" si="246">MAXA(J1142:O1142)</f>
        <v>4.8503993458121899</v>
      </c>
    </row>
    <row r="1143" spans="1:17">
      <c r="A1143" s="101" t="s">
        <v>4</v>
      </c>
      <c r="B1143" s="101">
        <v>5</v>
      </c>
      <c r="C1143" s="101">
        <v>2025</v>
      </c>
      <c r="D1143" s="101" t="s">
        <v>213</v>
      </c>
      <c r="E1143" s="101" t="s">
        <v>213</v>
      </c>
      <c r="F1143" s="194">
        <v>45778</v>
      </c>
      <c r="G1143" s="188">
        <f t="shared" si="235"/>
        <v>31</v>
      </c>
      <c r="H1143" s="190">
        <f t="shared" si="236"/>
        <v>45792</v>
      </c>
      <c r="I1143" s="189">
        <f>_xlfn.XLOOKUP(Table12[[#This Row],[Month Year]],'Modelling New'!D:D,'Modelling New'!N:N)</f>
        <v>10.507</v>
      </c>
      <c r="J1143" s="166">
        <f>'Raw Data'!K51/J$1</f>
        <v>4.6444895734114509</v>
      </c>
      <c r="K1143" s="50">
        <f>'Raw Data'!L51/K$1</f>
        <v>4.6037200676375933</v>
      </c>
      <c r="L1143" s="50">
        <f>'Raw Data'!M51/L$1</f>
        <v>4.6538323702011377</v>
      </c>
      <c r="M1143" s="50">
        <f>'Raw Data'!N51/M$1</f>
        <v>4.6890927624872578</v>
      </c>
      <c r="N1143" s="50">
        <f>'Raw Data'!O51/N$1</f>
        <v>4.6393974454955869</v>
      </c>
      <c r="O1143" s="50">
        <f>'Raw Data'!P51/O$1</f>
        <v>3.1642195184779158</v>
      </c>
      <c r="P1143" s="50">
        <f t="shared" ref="P1143:P1144" si="247">IFERROR(AVERAGEIF(J1143:O1143,"&gt;"&amp;0,J1143:O1143),"")</f>
        <v>4.3991252896184898</v>
      </c>
      <c r="Q1143" s="50">
        <f t="shared" ref="Q1143:Q1144" si="248">MAXA(J1143:O1143)</f>
        <v>4.6890927624872578</v>
      </c>
    </row>
    <row r="1144" spans="1:17">
      <c r="A1144" s="101" t="s">
        <v>4</v>
      </c>
      <c r="B1144" s="101">
        <v>5</v>
      </c>
      <c r="C1144" s="101">
        <v>2025</v>
      </c>
      <c r="D1144" s="101" t="s">
        <v>213</v>
      </c>
      <c r="E1144" s="101" t="s">
        <v>213</v>
      </c>
      <c r="F1144" s="194">
        <v>45778</v>
      </c>
      <c r="G1144" s="188">
        <f t="shared" si="235"/>
        <v>31</v>
      </c>
      <c r="H1144" s="190">
        <f t="shared" si="236"/>
        <v>45793</v>
      </c>
      <c r="I1144" s="189">
        <f>_xlfn.XLOOKUP(Table12[[#This Row],[Month Year]],'Modelling New'!D:D,'Modelling New'!N:N)</f>
        <v>10.507</v>
      </c>
      <c r="J1144" s="166">
        <f>'Raw Data'!K52/J$1</f>
        <v>4.8062349861318285</v>
      </c>
      <c r="K1144" s="50">
        <f>'Raw Data'!L52/K$1</f>
        <v>4.7902689139802543</v>
      </c>
      <c r="L1144" s="50">
        <f>'Raw Data'!M52/L$1</f>
        <v>4.8397392823545227</v>
      </c>
      <c r="M1144" s="50">
        <f>'Raw Data'!N52/M$1</f>
        <v>4.8464786996897082</v>
      </c>
      <c r="N1144" s="50">
        <f>'Raw Data'!O52/N$1</f>
        <v>4.7647405794142337</v>
      </c>
      <c r="O1144" s="50">
        <f>'Raw Data'!P52/O$1</f>
        <v>3.1642195184779158</v>
      </c>
      <c r="P1144" s="50">
        <f t="shared" si="247"/>
        <v>4.5352803300080771</v>
      </c>
      <c r="Q1144" s="50">
        <f t="shared" si="248"/>
        <v>4.8464786996897082</v>
      </c>
    </row>
    <row r="1145" spans="1:17">
      <c r="A1145" s="101" t="s">
        <v>4</v>
      </c>
      <c r="B1145" s="101">
        <v>5</v>
      </c>
      <c r="C1145" s="101">
        <v>2025</v>
      </c>
      <c r="D1145" s="101" t="s">
        <v>213</v>
      </c>
      <c r="E1145" s="101" t="s">
        <v>213</v>
      </c>
      <c r="F1145" s="194">
        <v>45778</v>
      </c>
      <c r="G1145" s="188">
        <f t="shared" si="235"/>
        <v>31</v>
      </c>
      <c r="H1145" s="190">
        <f t="shared" si="236"/>
        <v>45794</v>
      </c>
      <c r="I1145" s="189">
        <f>_xlfn.XLOOKUP(Table12[[#This Row],[Month Year]],'Modelling New'!D:D,'Modelling New'!N:N)</f>
        <v>10.507</v>
      </c>
      <c r="J1145" s="166">
        <f>'Raw Data'!K53/J$1</f>
        <v>2.9192051710607503</v>
      </c>
      <c r="K1145" s="50">
        <f>'Raw Data'!L53/K$1</f>
        <v>2.8582337860688378</v>
      </c>
      <c r="L1145" s="50">
        <f>'Raw Data'!M53/L$1</f>
        <v>2.9403529991488599</v>
      </c>
      <c r="M1145" s="50">
        <f>'Raw Data'!N53/M$1</f>
        <v>2.9348836688286228</v>
      </c>
      <c r="N1145" s="50">
        <f>'Raw Data'!O53/N$1</f>
        <v>2.8942353501667459</v>
      </c>
      <c r="O1145" s="50">
        <f>'Raw Data'!P53/O$1</f>
        <v>3.1642195184779158</v>
      </c>
      <c r="P1145" s="50">
        <f t="shared" ref="P1145" si="249">IFERROR(AVERAGEIF(J1145:O1145,"&gt;"&amp;0,J1145:O1145),"")</f>
        <v>2.9518550822919551</v>
      </c>
      <c r="Q1145" s="50">
        <f t="shared" ref="Q1145" si="250">MAXA(J1145:O1145)</f>
        <v>3.1642195184779158</v>
      </c>
    </row>
    <row r="1146" spans="1:17">
      <c r="A1146" s="101" t="s">
        <v>4</v>
      </c>
      <c r="B1146" s="101">
        <v>5</v>
      </c>
      <c r="C1146" s="101">
        <v>2025</v>
      </c>
      <c r="D1146" s="101" t="s">
        <v>213</v>
      </c>
      <c r="E1146" s="101" t="s">
        <v>213</v>
      </c>
      <c r="F1146" s="194">
        <v>45778</v>
      </c>
      <c r="G1146" s="210">
        <f t="shared" ref="G1146:G1152" si="251">DAY(EOMONTH(F1146,0))</f>
        <v>31</v>
      </c>
      <c r="H1146" s="190">
        <f t="shared" si="236"/>
        <v>45795</v>
      </c>
      <c r="I1146" s="211">
        <f>_xlfn.XLOOKUP(Table12[[#This Row],[Month Year]],'Modelling New'!D:D,'Modelling New'!N:N)</f>
        <v>10.507</v>
      </c>
      <c r="J1146" s="166">
        <f>'Raw Data'!K54/J$1</f>
        <v>4.2479137837044494</v>
      </c>
      <c r="K1146" s="50">
        <f>'Raw Data'!L54/K$1</f>
        <v>4.5949926362297502</v>
      </c>
      <c r="L1146" s="50">
        <f>'Raw Data'!M54/L$1</f>
        <v>4.7148680732876409</v>
      </c>
      <c r="M1146" s="50">
        <f>'Raw Data'!N54/M$1</f>
        <v>4.7120565469189319</v>
      </c>
      <c r="N1146" s="50">
        <f>'Raw Data'!O54/N$1</f>
        <v>4.6859048526509222</v>
      </c>
      <c r="O1146" s="50">
        <f>'Raw Data'!P54/O$1</f>
        <v>3.1642195184779158</v>
      </c>
      <c r="P1146" s="50">
        <f t="shared" ref="P1146" si="252">IFERROR(AVERAGEIF(J1146:O1146,"&gt;"&amp;0,J1146:O1146),"")</f>
        <v>4.353325901878268</v>
      </c>
      <c r="Q1146" s="50">
        <f t="shared" ref="Q1146" si="253">MAXA(J1146:O1146)</f>
        <v>4.7148680732876409</v>
      </c>
    </row>
    <row r="1147" spans="1:17">
      <c r="A1147" s="101" t="s">
        <v>4</v>
      </c>
      <c r="B1147" s="101">
        <v>5</v>
      </c>
      <c r="C1147" s="101">
        <v>2025</v>
      </c>
      <c r="D1147" s="101" t="s">
        <v>213</v>
      </c>
      <c r="E1147" s="101" t="s">
        <v>213</v>
      </c>
      <c r="F1147" s="194">
        <v>45778</v>
      </c>
      <c r="G1147" s="210">
        <f t="shared" si="251"/>
        <v>31</v>
      </c>
      <c r="H1147" s="190">
        <f t="shared" si="236"/>
        <v>45796</v>
      </c>
      <c r="I1147" s="211">
        <f>_xlfn.XLOOKUP(Table12[[#This Row],[Month Year]],'Modelling New'!D:D,'Modelling New'!N:N)</f>
        <v>10.507</v>
      </c>
      <c r="J1147" s="166">
        <f>'Raw Data'!K55/J$1</f>
        <v>2.2045300696703389</v>
      </c>
      <c r="K1147" s="50">
        <f>'Raw Data'!L55/K$1</f>
        <v>2.154584628811433</v>
      </c>
      <c r="L1147" s="50">
        <f>'Raw Data'!M55/L$1</f>
        <v>2.2572010930430499</v>
      </c>
      <c r="M1147" s="50">
        <f>'Raw Data'!N55/M$1</f>
        <v>2.2308476436916802</v>
      </c>
      <c r="N1147" s="50">
        <f>'Raw Data'!O55/N$1</f>
        <v>2.2459674675015311</v>
      </c>
      <c r="O1147" s="50">
        <f>'Raw Data'!P55/O$1</f>
        <v>3.1642195184779158</v>
      </c>
      <c r="P1147" s="50">
        <f t="shared" ref="P1147" si="254">IFERROR(AVERAGEIF(J1147:O1147,"&gt;"&amp;0,J1147:O1147),"")</f>
        <v>2.3762250701993248</v>
      </c>
      <c r="Q1147" s="50">
        <f t="shared" ref="Q1147" si="255">MAXA(J1147:O1147)</f>
        <v>3.1642195184779158</v>
      </c>
    </row>
    <row r="1148" spans="1:17">
      <c r="A1148" s="101" t="s">
        <v>4</v>
      </c>
      <c r="B1148" s="101">
        <v>5</v>
      </c>
      <c r="C1148" s="101">
        <v>2025</v>
      </c>
      <c r="D1148" s="101" t="s">
        <v>213</v>
      </c>
      <c r="E1148" s="101" t="s">
        <v>213</v>
      </c>
      <c r="F1148" s="194">
        <v>45778</v>
      </c>
      <c r="G1148" s="210">
        <f t="shared" si="251"/>
        <v>31</v>
      </c>
      <c r="H1148" s="190">
        <f t="shared" si="236"/>
        <v>45797</v>
      </c>
      <c r="I1148" s="211">
        <f>_xlfn.XLOOKUP(Table12[[#This Row],[Month Year]],'Modelling New'!D:D,'Modelling New'!N:N)</f>
        <v>10.507</v>
      </c>
      <c r="J1148" s="166">
        <f>'Raw Data'!K56/J$1</f>
        <v>2.6130870010603311</v>
      </c>
      <c r="K1148" s="50">
        <f>'Raw Data'!L56/K$1</f>
        <v>2.531500572737686</v>
      </c>
      <c r="L1148" s="50">
        <f>'Raw Data'!M56/L$1</f>
        <v>2.691170541593872</v>
      </c>
      <c r="M1148" s="50">
        <f>'Raw Data'!N56/M$1</f>
        <v>2.6660393632870698</v>
      </c>
      <c r="N1148" s="50">
        <f>'Raw Data'!O56/N$1</f>
        <v>2.5374895074752146</v>
      </c>
      <c r="O1148" s="50">
        <f>'Raw Data'!P56/O$1</f>
        <v>3.1642195184779158</v>
      </c>
      <c r="P1148" s="50">
        <f t="shared" ref="P1148" si="256">IFERROR(AVERAGEIF(J1148:O1148,"&gt;"&amp;0,J1148:O1148),"")</f>
        <v>2.7005844174386815</v>
      </c>
      <c r="Q1148" s="50">
        <f t="shared" ref="Q1148" si="257">MAXA(J1148:O1148)</f>
        <v>3.1642195184779158</v>
      </c>
    </row>
    <row r="1149" spans="1:17">
      <c r="A1149" s="101" t="s">
        <v>4</v>
      </c>
      <c r="B1149" s="101">
        <v>5</v>
      </c>
      <c r="C1149" s="101">
        <v>2025</v>
      </c>
      <c r="D1149" s="101" t="s">
        <v>213</v>
      </c>
      <c r="E1149" s="101" t="s">
        <v>213</v>
      </c>
      <c r="F1149" s="194">
        <v>45778</v>
      </c>
      <c r="G1149" s="210">
        <f t="shared" si="251"/>
        <v>31</v>
      </c>
      <c r="H1149" s="190">
        <f t="shared" si="236"/>
        <v>45798</v>
      </c>
      <c r="I1149" s="211">
        <f>_xlfn.XLOOKUP(Table12[[#This Row],[Month Year]],'Modelling New'!D:D,'Modelling New'!N:N)</f>
        <v>10.507</v>
      </c>
      <c r="J1149" s="166">
        <f>'Raw Data'!K57/J$1</f>
        <v>3.0012759915892384</v>
      </c>
      <c r="K1149" s="50">
        <f>'Raw Data'!L57/K$1</f>
        <v>2.9236895216276659</v>
      </c>
      <c r="L1149" s="50">
        <f>'Raw Data'!M57/L$1</f>
        <v>3.0361062581194287</v>
      </c>
      <c r="M1149" s="50">
        <f>'Raw Data'!N57/M$1</f>
        <v>3.030659452677801</v>
      </c>
      <c r="N1149" s="50">
        <f>'Raw Data'!O57/N$1</f>
        <v>2.937906939812609</v>
      </c>
      <c r="O1149" s="50">
        <f>'Raw Data'!P57/O$1</f>
        <v>3.1642195184779158</v>
      </c>
      <c r="P1149" s="50">
        <f t="shared" ref="P1149" si="258">IFERROR(AVERAGEIF(J1149:O1149,"&gt;"&amp;0,J1149:O1149),"")</f>
        <v>3.0156429470507766</v>
      </c>
      <c r="Q1149" s="50">
        <f t="shared" ref="Q1149" si="259">MAXA(J1149:O1149)</f>
        <v>3.1642195184779158</v>
      </c>
    </row>
    <row r="1150" spans="1:17">
      <c r="A1150" s="101" t="s">
        <v>4</v>
      </c>
      <c r="B1150" s="101">
        <v>5</v>
      </c>
      <c r="C1150" s="101">
        <v>2025</v>
      </c>
      <c r="D1150" s="101" t="s">
        <v>213</v>
      </c>
      <c r="E1150" s="101" t="s">
        <v>213</v>
      </c>
      <c r="F1150" s="194">
        <v>45778</v>
      </c>
      <c r="G1150" s="210">
        <f t="shared" si="251"/>
        <v>31</v>
      </c>
      <c r="H1150" s="190">
        <f t="shared" si="236"/>
        <v>45799</v>
      </c>
      <c r="I1150" s="211">
        <f>_xlfn.XLOOKUP(Table12[[#This Row],[Month Year]],'Modelling New'!D:D,'Modelling New'!N:N)</f>
        <v>10.507</v>
      </c>
      <c r="J1150" s="166">
        <f>'Raw Data'!K58/J$1</f>
        <v>4.1586542781661668</v>
      </c>
      <c r="K1150" s="50">
        <f>'Raw Data'!L58/K$1</f>
        <v>3.9677085037909783</v>
      </c>
      <c r="L1150" s="50">
        <f>'Raw Data'!M58/L$1</f>
        <v>4.0597141961205931</v>
      </c>
      <c r="M1150" s="50">
        <f>'Raw Data'!N58/M$1</f>
        <v>4.0449866137939532</v>
      </c>
      <c r="N1150" s="50">
        <f>'Raw Data'!O58/N$1</f>
        <v>3.9701445132602826</v>
      </c>
      <c r="O1150" s="50">
        <f>'Raw Data'!P58/O$1</f>
        <v>3.1642195184779158</v>
      </c>
      <c r="P1150" s="50">
        <f t="shared" ref="P1150" si="260">IFERROR(AVERAGEIF(J1150:O1150,"&gt;"&amp;0,J1150:O1150),"")</f>
        <v>3.8942379372683149</v>
      </c>
      <c r="Q1150" s="50">
        <f t="shared" ref="Q1150" si="261">MAXA(J1150:O1150)</f>
        <v>4.1586542781661668</v>
      </c>
    </row>
    <row r="1151" spans="1:17">
      <c r="A1151" s="101" t="s">
        <v>4</v>
      </c>
      <c r="B1151" s="101">
        <v>5</v>
      </c>
      <c r="C1151" s="101">
        <v>2025</v>
      </c>
      <c r="D1151" s="101" t="s">
        <v>213</v>
      </c>
      <c r="E1151" s="101" t="s">
        <v>213</v>
      </c>
      <c r="F1151" s="194">
        <v>45778</v>
      </c>
      <c r="G1151" s="210">
        <f t="shared" si="251"/>
        <v>31</v>
      </c>
      <c r="H1151" s="190">
        <f t="shared" si="236"/>
        <v>45800</v>
      </c>
      <c r="I1151" s="211">
        <f>_xlfn.XLOOKUP(Table12[[#This Row],[Month Year]],'Modelling New'!D:D,'Modelling New'!N:N)</f>
        <v>10.507</v>
      </c>
      <c r="J1151" s="166">
        <f>'Raw Data'!K59/J$1</f>
        <v>3.965757897070012</v>
      </c>
      <c r="K1151" s="50">
        <f>'Raw Data'!L59/K$1</f>
        <v>3.7146129929635086</v>
      </c>
      <c r="L1151" s="50">
        <f>'Raw Data'!M59/L$1</f>
        <v>3.8469291761859967</v>
      </c>
      <c r="M1151" s="50">
        <f>'Raw Data'!N59/M$1</f>
        <v>3.808627661838671</v>
      </c>
      <c r="N1151" s="50">
        <f>'Raw Data'!O59/N$1</f>
        <v>3.654234442705143</v>
      </c>
      <c r="O1151" s="50">
        <f>'Raw Data'!P59/O$1</f>
        <v>3.1642195184779158</v>
      </c>
      <c r="P1151" s="50">
        <f t="shared" ref="P1151:P1152" si="262">IFERROR(AVERAGEIF(J1151:O1151,"&gt;"&amp;0,J1151:O1151),"")</f>
        <v>3.6923969482068748</v>
      </c>
      <c r="Q1151" s="50">
        <f t="shared" ref="Q1151:Q1152" si="263">MAXA(J1151:O1151)</f>
        <v>3.965757897070012</v>
      </c>
    </row>
    <row r="1152" spans="1:17">
      <c r="A1152" s="101" t="s">
        <v>4</v>
      </c>
      <c r="B1152" s="101">
        <v>5</v>
      </c>
      <c r="C1152" s="101">
        <v>2025</v>
      </c>
      <c r="D1152" s="101" t="s">
        <v>213</v>
      </c>
      <c r="E1152" s="101" t="s">
        <v>213</v>
      </c>
      <c r="F1152" s="194">
        <v>45778</v>
      </c>
      <c r="G1152" s="210">
        <f t="shared" si="251"/>
        <v>31</v>
      </c>
      <c r="H1152" s="190">
        <f t="shared" si="236"/>
        <v>45801</v>
      </c>
      <c r="I1152" s="211">
        <f>_xlfn.XLOOKUP(Table12[[#This Row],[Month Year]],'Modelling New'!D:D,'Modelling New'!N:N)</f>
        <v>10.507</v>
      </c>
      <c r="J1152" s="166">
        <f>'Raw Data'!K60/J$1</f>
        <v>2.4142000491226812</v>
      </c>
      <c r="K1152" s="50">
        <f>'Raw Data'!L60/K$1</f>
        <v>2.3564064801178204</v>
      </c>
      <c r="L1152" s="50">
        <f>'Raw Data'!M60/L$1</f>
        <v>2.4022308829458408</v>
      </c>
      <c r="M1152" s="50">
        <f>'Raw Data'!N60/M$1</f>
        <v>1.0949804527786178</v>
      </c>
      <c r="N1152" s="50">
        <f>'Raw Data'!O60/N$1</f>
        <v>2.3764150729372262</v>
      </c>
      <c r="O1152" s="50">
        <f>'Raw Data'!P60/O$1</f>
        <v>3.1642195184779158</v>
      </c>
      <c r="P1152" s="50">
        <f t="shared" si="262"/>
        <v>2.3014087427300169</v>
      </c>
      <c r="Q1152" s="50">
        <f t="shared" si="263"/>
        <v>3.1642195184779158</v>
      </c>
    </row>
    <row r="1153" spans="1:17">
      <c r="A1153" s="101" t="s">
        <v>4</v>
      </c>
      <c r="B1153" s="101">
        <v>5</v>
      </c>
      <c r="C1153" s="101">
        <v>2025</v>
      </c>
      <c r="D1153" s="101" t="s">
        <v>213</v>
      </c>
      <c r="E1153" s="101" t="s">
        <v>213</v>
      </c>
      <c r="F1153" s="194">
        <v>45778</v>
      </c>
      <c r="G1153" s="210">
        <f t="shared" ref="G1153:G1162" si="264">DAY(EOMONTH(F1153,0))</f>
        <v>31</v>
      </c>
      <c r="H1153" s="190">
        <f t="shared" si="236"/>
        <v>45802</v>
      </c>
      <c r="I1153" s="211">
        <f>_xlfn.XLOOKUP(Table12[[#This Row],[Month Year]],'Modelling New'!D:D,'Modelling New'!N:N)</f>
        <v>10.507</v>
      </c>
      <c r="J1153" s="166">
        <f>'Raw Data'!K61/J$1</f>
        <v>2.7496720162464281</v>
      </c>
      <c r="K1153" s="50">
        <f>'Raw Data'!L61/K$1</f>
        <v>2.3891343478972344</v>
      </c>
      <c r="L1153" s="50">
        <f>'Raw Data'!M61/L$1</f>
        <v>2.7342875061595664</v>
      </c>
      <c r="M1153" s="50">
        <f>'Raw Data'!N61/M$1</f>
        <v>2.4330409651510569</v>
      </c>
      <c r="N1153" s="50">
        <f>'Raw Data'!O61/N$1</f>
        <v>2.734295242632546</v>
      </c>
      <c r="O1153" s="50">
        <f>'Raw Data'!P61/O$1</f>
        <v>3.1642195184779158</v>
      </c>
      <c r="P1153" s="50">
        <f t="shared" ref="P1153:P1155" si="265">IFERROR(AVERAGEIF(J1153:O1153,"&gt;"&amp;0,J1153:O1153),"")</f>
        <v>2.7007749327607917</v>
      </c>
      <c r="Q1153" s="50">
        <f t="shared" ref="Q1153:Q1155" si="266">MAXA(J1153:O1153)</f>
        <v>3.1642195184779158</v>
      </c>
    </row>
    <row r="1154" spans="1:17">
      <c r="A1154" s="101" t="s">
        <v>4</v>
      </c>
      <c r="B1154" s="101">
        <v>5</v>
      </c>
      <c r="C1154" s="101">
        <v>2025</v>
      </c>
      <c r="D1154" s="101" t="s">
        <v>213</v>
      </c>
      <c r="E1154" s="101" t="s">
        <v>213</v>
      </c>
      <c r="F1154" s="194">
        <v>45778</v>
      </c>
      <c r="G1154" s="210">
        <f t="shared" si="264"/>
        <v>31</v>
      </c>
      <c r="H1154" s="190">
        <f t="shared" si="236"/>
        <v>45803</v>
      </c>
      <c r="I1154" s="211">
        <f>_xlfn.XLOOKUP(Table12[[#This Row],[Month Year]],'Modelling New'!D:D,'Modelling New'!N:N)</f>
        <v>10.507</v>
      </c>
      <c r="J1154" s="166">
        <f>'Raw Data'!K62/J$1</f>
        <v>2.7676437287709148</v>
      </c>
      <c r="K1154" s="50">
        <f>'Raw Data'!L62/K$1</f>
        <v>2.7725958653793707</v>
      </c>
      <c r="L1154" s="50">
        <f>'Raw Data'!M62/L$1</f>
        <v>2.8725977691170543</v>
      </c>
      <c r="M1154" s="50">
        <f>'Raw Data'!N62/M$1</f>
        <v>2.8519900079533107</v>
      </c>
      <c r="N1154" s="50">
        <f>'Raw Data'!O62/N$1</f>
        <v>2.8301458744526871</v>
      </c>
      <c r="O1154" s="50">
        <f>'Raw Data'!P62/O$1</f>
        <v>3.1642195184779158</v>
      </c>
      <c r="P1154" s="50">
        <f t="shared" si="265"/>
        <v>2.876532127358542</v>
      </c>
      <c r="Q1154" s="50">
        <f t="shared" si="266"/>
        <v>3.1642195184779158</v>
      </c>
    </row>
    <row r="1155" spans="1:17">
      <c r="A1155" s="101" t="s">
        <v>4</v>
      </c>
      <c r="B1155" s="101">
        <v>5</v>
      </c>
      <c r="C1155" s="101">
        <v>2025</v>
      </c>
      <c r="D1155" s="101" t="s">
        <v>213</v>
      </c>
      <c r="E1155" s="101" t="s">
        <v>213</v>
      </c>
      <c r="F1155" s="194">
        <v>45778</v>
      </c>
      <c r="G1155" s="210">
        <f t="shared" si="264"/>
        <v>31</v>
      </c>
      <c r="H1155" s="190">
        <f t="shared" si="236"/>
        <v>45804</v>
      </c>
      <c r="I1155" s="211">
        <f>_xlfn.XLOOKUP(Table12[[#This Row],[Month Year]],'Modelling New'!D:D,'Modelling New'!N:N)</f>
        <v>10.507</v>
      </c>
      <c r="J1155" s="166">
        <f>'Raw Data'!K63/J$1</f>
        <v>3.0851439833701755</v>
      </c>
      <c r="K1155" s="50">
        <f>'Raw Data'!L63/K$1</f>
        <v>2.9531446026291386</v>
      </c>
      <c r="L1155" s="50">
        <f>'Raw Data'!M63/L$1</f>
        <v>3.0573847601128881</v>
      </c>
      <c r="M1155" s="50">
        <f>'Raw Data'!N63/M$1</f>
        <v>3.030659452677801</v>
      </c>
      <c r="N1155" s="50">
        <f>'Raw Data'!O63/N$1</f>
        <v>3.0411306971573766</v>
      </c>
      <c r="O1155" s="50">
        <f>'Raw Data'!P63/O$1</f>
        <v>3.1642195184779158</v>
      </c>
      <c r="P1155" s="50">
        <f t="shared" si="265"/>
        <v>3.0552805024042158</v>
      </c>
      <c r="Q1155" s="50">
        <f t="shared" si="266"/>
        <v>3.1642195184779158</v>
      </c>
    </row>
    <row r="1156" spans="1:17">
      <c r="A1156" s="101" t="s">
        <v>4</v>
      </c>
      <c r="B1156" s="101">
        <v>5</v>
      </c>
      <c r="C1156" s="101">
        <v>2025</v>
      </c>
      <c r="D1156" s="101" t="s">
        <v>213</v>
      </c>
      <c r="E1156" s="101" t="s">
        <v>213</v>
      </c>
      <c r="F1156" s="194">
        <v>45778</v>
      </c>
      <c r="G1156" s="210">
        <f t="shared" si="264"/>
        <v>31</v>
      </c>
      <c r="H1156" s="190">
        <f t="shared" si="236"/>
        <v>45805</v>
      </c>
      <c r="I1156" s="211">
        <f>_xlfn.XLOOKUP(Table12[[#This Row],[Month Year]],'Modelling New'!D:D,'Modelling New'!N:N)</f>
        <v>10.507</v>
      </c>
      <c r="J1156" s="166">
        <f>'Raw Data'!K64/J$1</f>
        <v>2.7197191620389507</v>
      </c>
      <c r="K1156" s="50">
        <f>'Raw Data'!L64/K$1</f>
        <v>2.6018654884634267</v>
      </c>
      <c r="L1156" s="50">
        <f>'Raw Data'!M64/L$1</f>
        <v>2.7225283340052862</v>
      </c>
      <c r="M1156" s="50">
        <f>'Raw Data'!N64/M$1</f>
        <v>2.7052458245118793</v>
      </c>
      <c r="N1156" s="50">
        <f>'Raw Data'!O64/N$1</f>
        <v>2.6259670137707296</v>
      </c>
      <c r="O1156" s="50">
        <f>'Raw Data'!P64/O$1</f>
        <v>3.1642195184779158</v>
      </c>
      <c r="P1156" s="50">
        <f t="shared" ref="P1156:P1157" si="267">IFERROR(AVERAGEIF(J1156:O1156,"&gt;"&amp;0,J1156:O1156),"")</f>
        <v>2.7565908902113647</v>
      </c>
      <c r="Q1156" s="50">
        <f t="shared" ref="Q1156:Q1157" si="268">MAXA(J1156:O1156)</f>
        <v>3.1642195184779158</v>
      </c>
    </row>
    <row r="1157" spans="1:17">
      <c r="A1157" s="101" t="s">
        <v>4</v>
      </c>
      <c r="B1157" s="101">
        <v>5</v>
      </c>
      <c r="C1157" s="101">
        <v>2025</v>
      </c>
      <c r="D1157" s="101" t="s">
        <v>213</v>
      </c>
      <c r="E1157" s="101" t="s">
        <v>213</v>
      </c>
      <c r="F1157" s="194">
        <v>45778</v>
      </c>
      <c r="G1157" s="210">
        <f t="shared" si="264"/>
        <v>31</v>
      </c>
      <c r="H1157" s="190">
        <f t="shared" si="236"/>
        <v>45806</v>
      </c>
      <c r="I1157" s="211">
        <f>_xlfn.XLOOKUP(Table12[[#This Row],[Month Year]],'Modelling New'!D:D,'Modelling New'!N:N)</f>
        <v>10.507</v>
      </c>
      <c r="J1157" s="166">
        <f>'Raw Data'!K65/J$1</f>
        <v>3.0515967866578007</v>
      </c>
      <c r="K1157" s="50">
        <f>'Raw Data'!L65/K$1</f>
        <v>2.9291441662575686</v>
      </c>
      <c r="L1157" s="50">
        <f>'Raw Data'!M65/L$1</f>
        <v>3.0579447206916632</v>
      </c>
      <c r="M1157" s="50">
        <f>'Raw Data'!N65/M$1</f>
        <v>3.0637048985672837</v>
      </c>
      <c r="N1157" s="50">
        <f>'Raw Data'!O65/N$1</f>
        <v>2.9832800199641549</v>
      </c>
      <c r="O1157" s="50">
        <f>'Raw Data'!P65/O$1</f>
        <v>3.1642195184779158</v>
      </c>
      <c r="P1157" s="50">
        <f t="shared" si="267"/>
        <v>3.041648351769398</v>
      </c>
      <c r="Q1157" s="50">
        <f t="shared" si="268"/>
        <v>3.1642195184779158</v>
      </c>
    </row>
    <row r="1158" spans="1:17">
      <c r="A1158" s="101" t="s">
        <v>4</v>
      </c>
      <c r="B1158" s="101">
        <v>5</v>
      </c>
      <c r="C1158" s="101">
        <v>2025</v>
      </c>
      <c r="D1158" s="101" t="s">
        <v>213</v>
      </c>
      <c r="E1158" s="101" t="s">
        <v>213</v>
      </c>
      <c r="F1158" s="194">
        <v>45778</v>
      </c>
      <c r="G1158" s="210">
        <f t="shared" si="264"/>
        <v>31</v>
      </c>
      <c r="H1158" s="190">
        <f t="shared" si="236"/>
        <v>45807</v>
      </c>
      <c r="I1158" s="211">
        <f>_xlfn.XLOOKUP(Table12[[#This Row],[Month Year]],'Modelling New'!D:D,'Modelling New'!N:N)</f>
        <v>10.507</v>
      </c>
      <c r="J1158" s="166">
        <f>'Raw Data'!K66/J$1</f>
        <v>2.3542943407077259</v>
      </c>
      <c r="K1158" s="50">
        <f>'Raw Data'!L66/K$1</f>
        <v>2.260404734631539</v>
      </c>
      <c r="L1158" s="50">
        <f>'Raw Data'!M66/L$1</f>
        <v>2.3647135241678985</v>
      </c>
      <c r="M1158" s="50">
        <f>'Raw Data'!N66/M$1</f>
        <v>2.3255032429344356</v>
      </c>
      <c r="N1158" s="50">
        <f>'Raw Data'!O66/N$1</f>
        <v>2.3145942512307447</v>
      </c>
      <c r="O1158" s="50">
        <f>'Raw Data'!P66/O$1</f>
        <v>3.1642195184779158</v>
      </c>
      <c r="P1158" s="50">
        <f t="shared" ref="P1158" si="269">IFERROR(AVERAGEIF(J1158:O1158,"&gt;"&amp;0,J1158:O1158),"")</f>
        <v>2.4639549353583763</v>
      </c>
      <c r="Q1158" s="50">
        <f t="shared" ref="Q1158" si="270">MAXA(J1158:O1158)</f>
        <v>3.1642195184779158</v>
      </c>
    </row>
    <row r="1159" spans="1:17">
      <c r="A1159" s="101" t="s">
        <v>4</v>
      </c>
      <c r="B1159" s="101">
        <v>5</v>
      </c>
      <c r="C1159" s="101">
        <v>2025</v>
      </c>
      <c r="D1159" s="101" t="s">
        <v>213</v>
      </c>
      <c r="E1159" s="101" t="s">
        <v>213</v>
      </c>
      <c r="F1159" s="194">
        <v>45778</v>
      </c>
      <c r="G1159" s="210">
        <f t="shared" si="264"/>
        <v>31</v>
      </c>
      <c r="H1159" s="190">
        <f t="shared" si="236"/>
        <v>45808</v>
      </c>
      <c r="I1159" s="211">
        <f>_xlfn.XLOOKUP(Table12[[#This Row],[Month Year]],'Modelling New'!D:D,'Modelling New'!N:N)</f>
        <v>10.507</v>
      </c>
      <c r="J1159" s="166">
        <f>'Raw Data'!K67/J$1</f>
        <v>3.9717484679115072</v>
      </c>
      <c r="K1159" s="50">
        <f>'Raw Data'!L67/K$1</f>
        <v>3.8902525500463647</v>
      </c>
      <c r="L1159" s="50">
        <f>'Raw Data'!M67/L$1</f>
        <v>3.9600412130985982</v>
      </c>
      <c r="M1159" s="50">
        <f>'Raw Data'!N67/M$1</f>
        <v>3.9038433533846377</v>
      </c>
      <c r="N1159" s="50">
        <f>'Raw Data'!O67/N$1</f>
        <v>3.8623834479003607</v>
      </c>
      <c r="O1159" s="50">
        <f>'Raw Data'!P67/O$1</f>
        <v>3.1642195184779158</v>
      </c>
      <c r="P1159" s="50">
        <f t="shared" ref="P1159" si="271">IFERROR(AVERAGEIF(J1159:O1159,"&gt;"&amp;0,J1159:O1159),"")</f>
        <v>3.7920814251365642</v>
      </c>
      <c r="Q1159" s="50">
        <f t="shared" ref="Q1159" si="272">MAXA(J1159:O1159)</f>
        <v>3.9717484679115072</v>
      </c>
    </row>
    <row r="1160" spans="1:17">
      <c r="A1160" s="101" t="s">
        <v>4</v>
      </c>
      <c r="B1160" s="210">
        <v>6</v>
      </c>
      <c r="C1160" s="101">
        <v>2025</v>
      </c>
      <c r="D1160" s="101" t="s">
        <v>213</v>
      </c>
      <c r="E1160" s="101" t="s">
        <v>213</v>
      </c>
      <c r="F1160" s="194">
        <v>45809</v>
      </c>
      <c r="G1160" s="210">
        <f t="shared" si="264"/>
        <v>30</v>
      </c>
      <c r="H1160" s="190">
        <f t="shared" si="236"/>
        <v>45809</v>
      </c>
      <c r="I1160" s="211">
        <f>_xlfn.XLOOKUP(Table12[[#This Row],[Month Year]],'Modelling New'!D:D,'Modelling New'!N:N)</f>
        <v>10.507</v>
      </c>
      <c r="J1160" s="166">
        <f>'Raw Data'!K68/J$1</f>
        <v>5.2501362854866445</v>
      </c>
      <c r="K1160" s="50">
        <f>'Raw Data'!L68/K$1</f>
        <v>5.0728195058091963</v>
      </c>
      <c r="L1160" s="50">
        <f>'Raw Data'!M68/L$1</f>
        <v>5.0133270617748513</v>
      </c>
      <c r="M1160" s="50">
        <f>'Raw Data'!N68/M$1</f>
        <v>4.985941683189389</v>
      </c>
      <c r="N1160" s="50">
        <f>'Raw Data'!O68/N$1</f>
        <v>4.9133374169105464</v>
      </c>
      <c r="O1160" s="50">
        <f>'Raw Data'!P68/O$1</f>
        <v>3.1642195184779158</v>
      </c>
      <c r="P1160" s="50">
        <f t="shared" ref="P1160:P1161" si="273">IFERROR(AVERAGEIF(J1160:O1160,"&gt;"&amp;0,J1160:O1160),"")</f>
        <v>4.7332969119414239</v>
      </c>
      <c r="Q1160" s="50">
        <f t="shared" ref="Q1160:Q1161" si="274">MAXA(J1160:O1160)</f>
        <v>5.2501362854866445</v>
      </c>
    </row>
    <row r="1161" spans="1:17">
      <c r="A1161" s="101" t="s">
        <v>4</v>
      </c>
      <c r="B1161" s="210">
        <v>6</v>
      </c>
      <c r="C1161" s="101">
        <v>2025</v>
      </c>
      <c r="D1161" s="101" t="s">
        <v>213</v>
      </c>
      <c r="E1161" s="101" t="s">
        <v>213</v>
      </c>
      <c r="F1161" s="194">
        <v>45809</v>
      </c>
      <c r="G1161" s="210">
        <f t="shared" si="264"/>
        <v>30</v>
      </c>
      <c r="H1161" s="190">
        <f t="shared" si="236"/>
        <v>45810</v>
      </c>
      <c r="I1161" s="211">
        <f>_xlfn.XLOOKUP(Table12[[#This Row],[Month Year]],'Modelling New'!D:D,'Modelling New'!N:N)</f>
        <v>10.507</v>
      </c>
      <c r="J1161" s="166">
        <f>'Raw Data'!K69/J$1</f>
        <v>4.5708055520610564</v>
      </c>
      <c r="K1161" s="50">
        <f>'Raw Data'!L69/K$1</f>
        <v>4.4237167948508151</v>
      </c>
      <c r="L1161" s="50">
        <f>'Raw Data'!M69/L$1</f>
        <v>4.4628858128387767</v>
      </c>
      <c r="M1161" s="50">
        <f>'Raw Data'!N69/M$1</f>
        <v>4.3709603342630867</v>
      </c>
      <c r="N1161" s="50">
        <f>'Raw Data'!O69/N$1</f>
        <v>4.3507112230313751</v>
      </c>
      <c r="O1161" s="50">
        <f>'Raw Data'!P69/O$1</f>
        <v>3.1642195184779158</v>
      </c>
      <c r="P1161" s="50">
        <f t="shared" si="273"/>
        <v>4.2238832059205045</v>
      </c>
      <c r="Q1161" s="50">
        <f t="shared" si="274"/>
        <v>4.5708055520610564</v>
      </c>
    </row>
    <row r="1162" spans="1:17">
      <c r="A1162" s="101" t="s">
        <v>4</v>
      </c>
      <c r="B1162" s="210">
        <v>6</v>
      </c>
      <c r="C1162" s="101">
        <v>2025</v>
      </c>
      <c r="D1162" s="101" t="s">
        <v>213</v>
      </c>
      <c r="E1162" s="101" t="s">
        <v>213</v>
      </c>
      <c r="F1162" s="194">
        <v>45809</v>
      </c>
      <c r="G1162" s="210">
        <f t="shared" si="264"/>
        <v>30</v>
      </c>
      <c r="H1162" s="190">
        <f t="shared" si="236"/>
        <v>45811</v>
      </c>
      <c r="I1162" s="211">
        <f>_xlfn.XLOOKUP(Table12[[#This Row],[Month Year]],'Modelling New'!D:D,'Modelling New'!N:N)</f>
        <v>10.507</v>
      </c>
      <c r="J1162" s="166">
        <f>'Raw Data'!K70/J$1</f>
        <v>3.9238239011795435</v>
      </c>
      <c r="K1162" s="50">
        <f>'Raw Data'!L70/K$1</f>
        <v>3.7091583483336064</v>
      </c>
      <c r="L1162" s="50">
        <f>'Raw Data'!M70/L$1</f>
        <v>3.9040451552210724</v>
      </c>
      <c r="M1162" s="50">
        <f>'Raw Data'!N70/M$1</f>
        <v>3.7974258157744396</v>
      </c>
      <c r="N1162" s="50">
        <f>'Raw Data'!O70/N$1</f>
        <v>3.7829805576351547</v>
      </c>
      <c r="O1162" s="50">
        <f>'Raw Data'!P70/O$1</f>
        <v>3.1642195184779158</v>
      </c>
      <c r="P1162" s="50">
        <f t="shared" ref="P1162:P1163" si="275">IFERROR(AVERAGEIF(J1162:O1162,"&gt;"&amp;0,J1162:O1162),"")</f>
        <v>3.7136088827702891</v>
      </c>
      <c r="Q1162" s="50">
        <f t="shared" ref="Q1162:Q1163" si="276">MAXA(J1162:O1162)</f>
        <v>3.9238239011795435</v>
      </c>
    </row>
    <row r="1163" spans="1:17">
      <c r="A1163" s="101" t="s">
        <v>4</v>
      </c>
      <c r="B1163" s="210">
        <v>6</v>
      </c>
      <c r="C1163" s="101">
        <v>2025</v>
      </c>
      <c r="D1163" s="101" t="s">
        <v>213</v>
      </c>
      <c r="E1163" s="101" t="s">
        <v>213</v>
      </c>
      <c r="F1163" s="194">
        <v>45809</v>
      </c>
      <c r="G1163" s="210">
        <f t="shared" ref="G1163:G1194" si="277">DAY(EOMONTH(F1163,0))</f>
        <v>30</v>
      </c>
      <c r="H1163" s="190">
        <f t="shared" si="236"/>
        <v>45812</v>
      </c>
      <c r="I1163" s="211">
        <f>_xlfn.XLOOKUP(Table12[[#This Row],[Month Year]],'Modelling New'!D:D,'Modelling New'!N:N)</f>
        <v>10.507</v>
      </c>
      <c r="J1163" s="166">
        <f>'Raw Data'!K71/J$1</f>
        <v>5.2177872029425689</v>
      </c>
      <c r="K1163" s="50">
        <f>'Raw Data'!L71/K$1</f>
        <v>5.176457753777342</v>
      </c>
      <c r="L1163" s="50">
        <f>'Raw Data'!M71/L$1</f>
        <v>5.1348385073690812</v>
      </c>
      <c r="M1163" s="50">
        <f>'Raw Data'!N71/M$1</f>
        <v>5.0598738672133168</v>
      </c>
      <c r="N1163" s="50">
        <f>'Raw Data'!O71/N$1</f>
        <v>5.0307402618026726</v>
      </c>
      <c r="O1163" s="50">
        <f>'Raw Data'!P71/O$1</f>
        <v>3.1642195184779158</v>
      </c>
      <c r="P1163" s="50">
        <f t="shared" si="275"/>
        <v>4.7973195185971491</v>
      </c>
      <c r="Q1163" s="50">
        <f t="shared" si="276"/>
        <v>5.2177872029425689</v>
      </c>
    </row>
    <row r="1164" spans="1:17">
      <c r="A1164" s="101" t="s">
        <v>4</v>
      </c>
      <c r="B1164" s="210">
        <v>6</v>
      </c>
      <c r="C1164" s="101">
        <v>2025</v>
      </c>
      <c r="D1164" s="101" t="s">
        <v>213</v>
      </c>
      <c r="E1164" s="101" t="s">
        <v>213</v>
      </c>
      <c r="F1164" s="194">
        <v>45809</v>
      </c>
      <c r="G1164" s="210">
        <f t="shared" si="277"/>
        <v>30</v>
      </c>
      <c r="H1164" s="190">
        <f t="shared" si="236"/>
        <v>45813</v>
      </c>
      <c r="I1164" s="211">
        <f>_xlfn.XLOOKUP(Table12[[#This Row],[Month Year]],'Modelling New'!D:D,'Modelling New'!N:N)</f>
        <v>10.507</v>
      </c>
      <c r="J1164" s="166">
        <f>'Raw Data'!K72/J$1</f>
        <v>5.2477400571500459</v>
      </c>
      <c r="K1164" s="50">
        <f>'Raw Data'!L72/K$1</f>
        <v>5.269732176948672</v>
      </c>
      <c r="L1164" s="50">
        <f>'Raw Data'!M72/L$1</f>
        <v>5.3196254983649149</v>
      </c>
      <c r="M1164" s="50">
        <f>'Raw Data'!N72/M$1</f>
        <v>5.1696519586427838</v>
      </c>
      <c r="N1164" s="50">
        <f>'Raw Data'!O72/N$1</f>
        <v>5.0590984368973881</v>
      </c>
      <c r="O1164" s="50">
        <f>'Raw Data'!P72/O$1</f>
        <v>3.1642195184779158</v>
      </c>
      <c r="P1164" s="50">
        <f t="shared" ref="P1164:P1166" si="278">IFERROR(AVERAGEIF(J1164:O1164,"&gt;"&amp;0,J1164:O1164),"")</f>
        <v>4.8716779410802866</v>
      </c>
      <c r="Q1164" s="50">
        <f t="shared" ref="Q1164:Q1166" si="279">MAXA(J1164:O1164)</f>
        <v>5.3196254983649149</v>
      </c>
    </row>
    <row r="1165" spans="1:17">
      <c r="A1165" s="101" t="s">
        <v>4</v>
      </c>
      <c r="B1165" s="210">
        <v>6</v>
      </c>
      <c r="C1165" s="101">
        <v>2025</v>
      </c>
      <c r="D1165" s="101" t="s">
        <v>213</v>
      </c>
      <c r="E1165" s="101" t="s">
        <v>213</v>
      </c>
      <c r="F1165" s="194">
        <v>45809</v>
      </c>
      <c r="G1165" s="210">
        <f t="shared" si="277"/>
        <v>30</v>
      </c>
      <c r="H1165" s="190">
        <f t="shared" si="236"/>
        <v>45814</v>
      </c>
      <c r="I1165" s="211">
        <f>_xlfn.XLOOKUP(Table12[[#This Row],[Month Year]],'Modelling New'!D:D,'Modelling New'!N:N)</f>
        <v>10.507</v>
      </c>
      <c r="J1165" s="166">
        <f>'Raw Data'!K73/J$1</f>
        <v>5.4214666115534147</v>
      </c>
      <c r="K1165" s="50">
        <f>'Raw Data'!L73/K$1</f>
        <v>5.5222822233131517</v>
      </c>
      <c r="L1165" s="50">
        <f>'Raw Data'!M73/L$1</f>
        <v>5.4708148546342343</v>
      </c>
      <c r="M1165" s="50">
        <f>'Raw Data'!N73/M$1</f>
        <v>5.4945054945054945</v>
      </c>
      <c r="N1165" s="50">
        <f>'Raw Data'!O73/N$1</f>
        <v>5.2485310465300934</v>
      </c>
      <c r="O1165" s="50">
        <f>'Raw Data'!P73/O$1</f>
        <v>3.1642195184779158</v>
      </c>
      <c r="P1165" s="50">
        <f t="shared" si="278"/>
        <v>5.0536366248357183</v>
      </c>
      <c r="Q1165" s="50">
        <f t="shared" si="279"/>
        <v>5.5222822233131517</v>
      </c>
    </row>
    <row r="1166" spans="1:17">
      <c r="A1166" s="101" t="s">
        <v>4</v>
      </c>
      <c r="B1166" s="210">
        <v>6</v>
      </c>
      <c r="C1166" s="101">
        <v>2025</v>
      </c>
      <c r="D1166" s="101" t="s">
        <v>213</v>
      </c>
      <c r="E1166" s="101" t="s">
        <v>213</v>
      </c>
      <c r="F1166" s="194">
        <v>45809</v>
      </c>
      <c r="G1166" s="210">
        <f t="shared" si="277"/>
        <v>30</v>
      </c>
      <c r="H1166" s="190">
        <f t="shared" si="236"/>
        <v>45815</v>
      </c>
      <c r="I1166" s="211">
        <f>_xlfn.XLOOKUP(Table12[[#This Row],[Month Year]],'Modelling New'!D:D,'Modelling New'!N:N)</f>
        <v>10.507</v>
      </c>
      <c r="J1166" s="166">
        <f>'Raw Data'!K74/J$1</f>
        <v>5.3747401589897503</v>
      </c>
      <c r="K1166" s="50">
        <f>'Raw Data'!L74/K$1</f>
        <v>5.7650139093438062</v>
      </c>
      <c r="L1166" s="50">
        <f>'Raw Data'!M74/L$1</f>
        <v>5.644402634054563</v>
      </c>
      <c r="M1166" s="50">
        <f>'Raw Data'!N74/M$1</f>
        <v>5.6793359545653122</v>
      </c>
      <c r="N1166" s="50">
        <f>'Raw Data'!O74/N$1</f>
        <v>5.5423217405113547</v>
      </c>
      <c r="O1166" s="50">
        <f>'Raw Data'!P74/O$1</f>
        <v>3.1642195184779158</v>
      </c>
      <c r="P1166" s="50">
        <f t="shared" si="278"/>
        <v>5.195005652657116</v>
      </c>
      <c r="Q1166" s="50">
        <f t="shared" si="279"/>
        <v>5.7650139093438062</v>
      </c>
    </row>
    <row r="1167" spans="1:17">
      <c r="A1167" s="101" t="s">
        <v>4</v>
      </c>
      <c r="B1167" s="210">
        <v>6</v>
      </c>
      <c r="C1167" s="101">
        <v>2025</v>
      </c>
      <c r="D1167" s="101" t="s">
        <v>213</v>
      </c>
      <c r="E1167" s="101" t="s">
        <v>213</v>
      </c>
      <c r="F1167" s="194">
        <v>45809</v>
      </c>
      <c r="G1167" s="210">
        <f t="shared" si="277"/>
        <v>30</v>
      </c>
      <c r="H1167" s="190">
        <f t="shared" si="236"/>
        <v>45816</v>
      </c>
      <c r="I1167" s="211">
        <f>_xlfn.XLOOKUP(Table12[[#This Row],[Month Year]],'Modelling New'!D:D,'Modelling New'!N:N)</f>
        <v>10.507</v>
      </c>
      <c r="J1167" s="166">
        <f>'Raw Data'!K75/J$1</f>
        <v>5.4214666115534147</v>
      </c>
      <c r="K1167" s="50">
        <f>'Raw Data'!L75/K$1</f>
        <v>5.4219167621229483</v>
      </c>
      <c r="L1167" s="50">
        <f>'Raw Data'!M75/L$1</f>
        <v>5.3196254983649149</v>
      </c>
      <c r="M1167" s="50">
        <f>'Raw Data'!N75/M$1</f>
        <v>5.2144593428997092</v>
      </c>
      <c r="N1167" s="50">
        <f>'Raw Data'!O75/N$1</f>
        <v>5.220172871435377</v>
      </c>
      <c r="O1167" s="50">
        <f>'Raw Data'!P75/O$1</f>
        <v>3.1642195184779158</v>
      </c>
      <c r="P1167" s="50">
        <f t="shared" ref="P1167" si="280">IFERROR(AVERAGEIF(J1167:O1167,"&gt;"&amp;0,J1167:O1167),"")</f>
        <v>4.9603101008090462</v>
      </c>
      <c r="Q1167" s="50">
        <f t="shared" ref="Q1167" si="281">MAXA(J1167:O1167)</f>
        <v>5.4219167621229483</v>
      </c>
    </row>
    <row r="1168" spans="1:17">
      <c r="A1168" s="101" t="s">
        <v>4</v>
      </c>
      <c r="B1168" s="210">
        <v>6</v>
      </c>
      <c r="C1168" s="101">
        <v>2025</v>
      </c>
      <c r="D1168" s="101" t="s">
        <v>213</v>
      </c>
      <c r="E1168" s="101" t="s">
        <v>213</v>
      </c>
      <c r="F1168" s="194">
        <v>45809</v>
      </c>
      <c r="G1168" s="210">
        <f t="shared" si="277"/>
        <v>30</v>
      </c>
      <c r="H1168" s="190">
        <f t="shared" si="236"/>
        <v>45817</v>
      </c>
      <c r="I1168" s="211">
        <f>_xlfn.XLOOKUP(Table12[[#This Row],[Month Year]],'Modelling New'!D:D,'Modelling New'!N:N)</f>
        <v>10.507</v>
      </c>
      <c r="J1168" s="166">
        <f>'Raw Data'!K76/J$1</f>
        <v>3.3367479587129858</v>
      </c>
      <c r="K1168" s="50">
        <f>'Raw Data'!L76/K$1</f>
        <v>3.4282441498936347</v>
      </c>
      <c r="L1168" s="50">
        <f>'Raw Data'!M76/L$1</f>
        <v>3.4068001612686469</v>
      </c>
      <c r="M1168" s="50">
        <f>'Raw Data'!N76/M$1</f>
        <v>3.3437510501730685</v>
      </c>
      <c r="N1168" s="50">
        <f>'Raw Data'!O76/N$1</f>
        <v>3.2787722044510992</v>
      </c>
      <c r="O1168" s="50">
        <f>'Raw Data'!P76/O$1</f>
        <v>3.1642195184779158</v>
      </c>
      <c r="P1168" s="50">
        <f t="shared" ref="P1168:P1173" si="282">IFERROR(AVERAGEIF(J1168:O1168,"&gt;"&amp;0,J1168:O1168),"")</f>
        <v>3.3264225071628921</v>
      </c>
      <c r="Q1168" s="50">
        <f t="shared" ref="Q1168:Q1173" si="283">MAXA(J1168:O1168)</f>
        <v>3.4282441498936347</v>
      </c>
    </row>
    <row r="1169" spans="1:17">
      <c r="A1169" s="101" t="s">
        <v>4</v>
      </c>
      <c r="B1169" s="210">
        <v>6</v>
      </c>
      <c r="C1169" s="101">
        <v>2025</v>
      </c>
      <c r="D1169" s="101" t="s">
        <v>213</v>
      </c>
      <c r="E1169" s="101" t="s">
        <v>213</v>
      </c>
      <c r="F1169" s="194">
        <v>45809</v>
      </c>
      <c r="G1169" s="210">
        <f t="shared" si="277"/>
        <v>30</v>
      </c>
      <c r="H1169" s="190">
        <f t="shared" si="236"/>
        <v>45818</v>
      </c>
      <c r="I1169" s="211">
        <f>_xlfn.XLOOKUP(Table12[[#This Row],[Month Year]],'Modelling New'!D:D,'Modelling New'!N:N)</f>
        <v>10.507</v>
      </c>
      <c r="J1169" s="166">
        <f>'Raw Data'!K77/J$1</f>
        <v>4.1574561639978675</v>
      </c>
      <c r="K1169" s="50">
        <f>'Raw Data'!L77/K$1</f>
        <v>4.140075274095893</v>
      </c>
      <c r="L1169" s="50">
        <f>'Raw Data'!M77/L$1</f>
        <v>4.1437082829368812</v>
      </c>
      <c r="M1169" s="50">
        <f>'Raw Data'!N77/M$1</f>
        <v>3.9721746143764491</v>
      </c>
      <c r="N1169" s="50">
        <f>'Raw Data'!O77/N$1</f>
        <v>3.998502688354999</v>
      </c>
      <c r="O1169" s="50">
        <f>'Raw Data'!P77/O$1</f>
        <v>3.1642195184779158</v>
      </c>
      <c r="P1169" s="50">
        <f t="shared" si="282"/>
        <v>3.9293560903733344</v>
      </c>
      <c r="Q1169" s="50">
        <f t="shared" si="283"/>
        <v>4.1574561639978675</v>
      </c>
    </row>
    <row r="1170" spans="1:17">
      <c r="A1170" s="101" t="s">
        <v>4</v>
      </c>
      <c r="B1170" s="210">
        <v>6</v>
      </c>
      <c r="C1170" s="101">
        <v>2025</v>
      </c>
      <c r="D1170" s="101" t="s">
        <v>213</v>
      </c>
      <c r="E1170" s="101" t="s">
        <v>213</v>
      </c>
      <c r="F1170" s="194">
        <v>45809</v>
      </c>
      <c r="G1170" s="210">
        <f t="shared" si="277"/>
        <v>30</v>
      </c>
      <c r="H1170" s="190">
        <f t="shared" si="236"/>
        <v>45819</v>
      </c>
      <c r="I1170" s="211">
        <f>_xlfn.XLOOKUP(Table12[[#This Row],[Month Year]],'Modelling New'!D:D,'Modelling New'!N:N)</f>
        <v>10.507</v>
      </c>
      <c r="J1170" s="166">
        <f>'Raw Data'!K78/J$1</f>
        <v>3.390663096286445</v>
      </c>
      <c r="K1170" s="50">
        <f>'Raw Data'!L78/K$1</f>
        <v>3.3895161730213279</v>
      </c>
      <c r="L1170" s="50">
        <f>'Raw Data'!M78/L$1</f>
        <v>3.3995206737445685</v>
      </c>
      <c r="M1170" s="50">
        <f>'Raw Data'!N78/M$1</f>
        <v>3.3101455119803744</v>
      </c>
      <c r="N1170" s="50">
        <f>'Raw Data'!O78/N$1</f>
        <v>3.3462646611765239</v>
      </c>
      <c r="O1170" s="50">
        <f>'Raw Data'!P78/O$1</f>
        <v>3.1642195184779158</v>
      </c>
      <c r="P1170" s="50">
        <f t="shared" si="282"/>
        <v>3.3333882724478592</v>
      </c>
      <c r="Q1170" s="50">
        <f t="shared" si="283"/>
        <v>3.3995206737445685</v>
      </c>
    </row>
    <row r="1171" spans="1:17">
      <c r="A1171" s="101" t="s">
        <v>4</v>
      </c>
      <c r="B1171" s="210">
        <v>6</v>
      </c>
      <c r="C1171" s="101">
        <v>2025</v>
      </c>
      <c r="D1171" s="101" t="s">
        <v>213</v>
      </c>
      <c r="E1171" s="101" t="s">
        <v>213</v>
      </c>
      <c r="F1171" s="194">
        <v>45809</v>
      </c>
      <c r="G1171" s="210">
        <f t="shared" si="277"/>
        <v>30</v>
      </c>
      <c r="H1171" s="190">
        <f t="shared" si="236"/>
        <v>45820</v>
      </c>
      <c r="I1171" s="211">
        <f>_xlfn.XLOOKUP(Table12[[#This Row],[Month Year]],'Modelling New'!D:D,'Modelling New'!N:N)</f>
        <v>10.507</v>
      </c>
      <c r="J1171" s="166">
        <f>'Raw Data'!K79/J$1</f>
        <v>3.4745310880673821</v>
      </c>
      <c r="K1171" s="50">
        <f>'Raw Data'!L79/K$1</f>
        <v>3.3818796705394645</v>
      </c>
      <c r="L1171" s="50">
        <f>'Raw Data'!M79/L$1</f>
        <v>3.4275187026833311</v>
      </c>
      <c r="M1171" s="50">
        <f>'Raw Data'!N79/M$1</f>
        <v>3.3347895733216832</v>
      </c>
      <c r="N1171" s="50">
        <f>'Raw Data'!O79/N$1</f>
        <v>3.35363778670115</v>
      </c>
      <c r="O1171" s="50">
        <f>'Raw Data'!P79/O$1</f>
        <v>3.1642195184779158</v>
      </c>
      <c r="P1171" s="50">
        <f t="shared" si="282"/>
        <v>3.3560960566318214</v>
      </c>
      <c r="Q1171" s="50">
        <f t="shared" si="283"/>
        <v>3.4745310880673821</v>
      </c>
    </row>
    <row r="1172" spans="1:17">
      <c r="A1172" s="101" t="s">
        <v>4</v>
      </c>
      <c r="B1172" s="210">
        <v>6</v>
      </c>
      <c r="C1172" s="101">
        <v>2025</v>
      </c>
      <c r="D1172" s="101" t="s">
        <v>213</v>
      </c>
      <c r="E1172" s="101" t="s">
        <v>213</v>
      </c>
      <c r="F1172" s="194">
        <v>45809</v>
      </c>
      <c r="G1172" s="210">
        <f t="shared" si="277"/>
        <v>30</v>
      </c>
      <c r="H1172" s="190">
        <f t="shared" si="236"/>
        <v>45821</v>
      </c>
      <c r="I1172" s="211">
        <f>_xlfn.XLOOKUP(Table12[[#This Row],[Month Year]],'Modelling New'!D:D,'Modelling New'!N:N)</f>
        <v>10.507</v>
      </c>
      <c r="J1172" s="166">
        <f>'Raw Data'!K80/J$1</f>
        <v>3.0432099874797069</v>
      </c>
      <c r="K1172" s="50">
        <f>'Raw Data'!L80/K$1</f>
        <v>3.0447826324114984</v>
      </c>
      <c r="L1172" s="50">
        <f>'Raw Data'!M80/L$1</f>
        <v>3.024347085965148</v>
      </c>
      <c r="M1172" s="50">
        <f>'Raw Data'!N80/M$1</f>
        <v>2.9416047764671616</v>
      </c>
      <c r="N1172" s="50">
        <f>'Raw Data'!O80/N$1</f>
        <v>2.9662651149073254</v>
      </c>
      <c r="O1172" s="50">
        <f>'Raw Data'!P80/O$1</f>
        <v>3.1642195184779158</v>
      </c>
      <c r="P1172" s="50">
        <f t="shared" si="282"/>
        <v>3.0307381859514599</v>
      </c>
      <c r="Q1172" s="50">
        <f t="shared" si="283"/>
        <v>3.1642195184779158</v>
      </c>
    </row>
    <row r="1173" spans="1:17">
      <c r="A1173" s="101" t="s">
        <v>4</v>
      </c>
      <c r="B1173" s="210">
        <v>6</v>
      </c>
      <c r="C1173" s="101">
        <v>2025</v>
      </c>
      <c r="D1173" s="101" t="s">
        <v>213</v>
      </c>
      <c r="E1173" s="101" t="s">
        <v>213</v>
      </c>
      <c r="F1173" s="194">
        <v>45809</v>
      </c>
      <c r="G1173" s="210">
        <f t="shared" si="277"/>
        <v>30</v>
      </c>
      <c r="H1173" s="190">
        <f t="shared" si="236"/>
        <v>45822</v>
      </c>
      <c r="I1173" s="211">
        <f>_xlfn.XLOOKUP(Table12[[#This Row],[Month Year]],'Modelling New'!D:D,'Modelling New'!N:N)</f>
        <v>10.507</v>
      </c>
      <c r="J1173" s="166">
        <f>'Raw Data'!K81/J$1</f>
        <v>2.8874551456008244</v>
      </c>
      <c r="K1173" s="50">
        <f>'Raw Data'!L81/K$1</f>
        <v>2.940053455517373</v>
      </c>
      <c r="L1173" s="50">
        <f>'Raw Data'!M81/L$1</f>
        <v>2.9868297271872062</v>
      </c>
      <c r="M1173" s="50">
        <f>'Raw Data'!N81/M$1</f>
        <v>2.8693528693528694</v>
      </c>
      <c r="N1173" s="50">
        <f>'Raw Data'!O81/N$1</f>
        <v>2.9061457837065268</v>
      </c>
      <c r="O1173" s="50">
        <f>'Raw Data'!P81/O$1</f>
        <v>3.1642195184779158</v>
      </c>
      <c r="P1173" s="50">
        <f t="shared" si="282"/>
        <v>2.9590094166404532</v>
      </c>
      <c r="Q1173" s="50">
        <f t="shared" si="283"/>
        <v>3.1642195184779158</v>
      </c>
    </row>
    <row r="1174" spans="1:17">
      <c r="A1174" s="101" t="s">
        <v>4</v>
      </c>
      <c r="B1174" s="210">
        <v>6</v>
      </c>
      <c r="C1174" s="101">
        <v>2025</v>
      </c>
      <c r="D1174" s="101" t="s">
        <v>213</v>
      </c>
      <c r="E1174" s="101" t="s">
        <v>213</v>
      </c>
      <c r="F1174" s="194">
        <v>45809</v>
      </c>
      <c r="G1174" s="210">
        <f t="shared" si="277"/>
        <v>30</v>
      </c>
      <c r="H1174" s="190">
        <f t="shared" si="236"/>
        <v>45823</v>
      </c>
      <c r="I1174" s="211">
        <f>_xlfn.XLOOKUP(Table12[[#This Row],[Month Year]],'Modelling New'!D:D,'Modelling New'!N:N)</f>
        <v>10.507</v>
      </c>
      <c r="J1174" s="166">
        <f>'Raw Data'!K82/J$1</f>
        <v>2.4441529033301586</v>
      </c>
      <c r="K1174" s="50">
        <f>'Raw Data'!L82/K$1</f>
        <v>2.438226149566356</v>
      </c>
      <c r="L1174" s="50">
        <f>'Raw Data'!M82/L$1</f>
        <v>2.447027729247861</v>
      </c>
      <c r="M1174" s="50">
        <f>'Raw Data'!N82/M$1</f>
        <v>2.3579885965207064</v>
      </c>
      <c r="N1174" s="50">
        <f>'Raw Data'!O82/N$1</f>
        <v>2.3820867079561694</v>
      </c>
      <c r="O1174" s="50">
        <f>'Raw Data'!P82/O$1</f>
        <v>3.1642195184779158</v>
      </c>
      <c r="P1174" s="50">
        <f t="shared" ref="P1174:P1175" si="284">IFERROR(AVERAGEIF(J1174:O1174,"&gt;"&amp;0,J1174:O1174),"")</f>
        <v>2.5389502675165274</v>
      </c>
      <c r="Q1174" s="50">
        <f t="shared" ref="Q1174:Q1175" si="285">MAXA(J1174:O1174)</f>
        <v>3.1642195184779158</v>
      </c>
    </row>
    <row r="1175" spans="1:17">
      <c r="A1175" s="101" t="s">
        <v>4</v>
      </c>
      <c r="B1175" s="210">
        <v>6</v>
      </c>
      <c r="C1175" s="101">
        <v>2025</v>
      </c>
      <c r="D1175" s="101" t="s">
        <v>213</v>
      </c>
      <c r="E1175" s="101" t="s">
        <v>213</v>
      </c>
      <c r="F1175" s="194">
        <v>45809</v>
      </c>
      <c r="G1175" s="210">
        <f t="shared" si="277"/>
        <v>30</v>
      </c>
      <c r="H1175" s="190">
        <f t="shared" si="236"/>
        <v>45824</v>
      </c>
      <c r="I1175" s="211">
        <f>_xlfn.XLOOKUP(Table12[[#This Row],[Month Year]],'Modelling New'!D:D,'Modelling New'!N:N)</f>
        <v>10.507</v>
      </c>
      <c r="J1175" s="166">
        <f>'Raw Data'!K83/J$1</f>
        <v>3.2888233919810221</v>
      </c>
      <c r="K1175" s="50">
        <f>'Raw Data'!L83/K$1</f>
        <v>3.2149675448644524</v>
      </c>
      <c r="L1175" s="50">
        <f>'Raw Data'!M83/L$1</f>
        <v>3.2388119876360704</v>
      </c>
      <c r="M1175" s="50">
        <f>'Raw Data'!N83/M$1</f>
        <v>3.1606008670228851</v>
      </c>
      <c r="N1175" s="50">
        <f>'Raw Data'!O83/N$1</f>
        <v>3.1710111390911773</v>
      </c>
      <c r="O1175" s="50">
        <f>'Raw Data'!P83/O$1</f>
        <v>3.1642195184779158</v>
      </c>
      <c r="P1175" s="50">
        <f t="shared" si="284"/>
        <v>3.206405741512254</v>
      </c>
      <c r="Q1175" s="50">
        <f t="shared" si="285"/>
        <v>3.2888233919810221</v>
      </c>
    </row>
    <row r="1176" spans="1:17">
      <c r="A1176" s="101" t="s">
        <v>4</v>
      </c>
      <c r="B1176" s="210">
        <v>6</v>
      </c>
      <c r="C1176" s="101">
        <v>2025</v>
      </c>
      <c r="D1176" s="101" t="s">
        <v>213</v>
      </c>
      <c r="E1176" s="101" t="s">
        <v>213</v>
      </c>
      <c r="F1176" s="194">
        <v>45809</v>
      </c>
      <c r="G1176" s="210">
        <f t="shared" si="277"/>
        <v>30</v>
      </c>
      <c r="H1176" s="190">
        <f t="shared" si="236"/>
        <v>45825</v>
      </c>
      <c r="I1176" s="211">
        <f>_xlfn.XLOOKUP(Table12[[#This Row],[Month Year]],'Modelling New'!D:D,'Modelling New'!N:N)</f>
        <v>10.507</v>
      </c>
      <c r="J1176" s="166">
        <f>'Raw Data'!K84/J$1</f>
        <v>2.8239550946809722</v>
      </c>
      <c r="K1176" s="50">
        <f>'Raw Data'!L84/K$1</f>
        <v>2.7600501827305952</v>
      </c>
      <c r="L1176" s="50">
        <f>'Raw Data'!M84/L$1</f>
        <v>2.8222013170272815</v>
      </c>
      <c r="M1176" s="50">
        <f>'Raw Data'!N84/M$1</f>
        <v>2.7780578239293834</v>
      </c>
      <c r="N1176" s="50">
        <f>'Raw Data'!O84/N$1</f>
        <v>2.7791011592821979</v>
      </c>
      <c r="O1176" s="50">
        <f>'Raw Data'!P84/O$1</f>
        <v>3.1642195184779158</v>
      </c>
      <c r="P1176" s="50">
        <f t="shared" ref="P1176" si="286">IFERROR(AVERAGEIF(J1176:O1176,"&gt;"&amp;0,J1176:O1176),"")</f>
        <v>2.8545975160213914</v>
      </c>
      <c r="Q1176" s="50">
        <f t="shared" ref="Q1176" si="287">MAXA(J1176:O1176)</f>
        <v>3.1642195184779158</v>
      </c>
    </row>
    <row r="1177" spans="1:17">
      <c r="A1177" s="101" t="s">
        <v>4</v>
      </c>
      <c r="B1177" s="210">
        <v>6</v>
      </c>
      <c r="C1177" s="101">
        <v>2025</v>
      </c>
      <c r="D1177" s="101" t="s">
        <v>213</v>
      </c>
      <c r="E1177" s="101" t="s">
        <v>213</v>
      </c>
      <c r="F1177" s="194">
        <v>45809</v>
      </c>
      <c r="G1177" s="210">
        <f t="shared" si="277"/>
        <v>30</v>
      </c>
      <c r="H1177" s="190">
        <f t="shared" si="236"/>
        <v>45826</v>
      </c>
      <c r="I1177" s="211">
        <f>_xlfn.XLOOKUP(Table12[[#This Row],[Month Year]],'Modelling New'!D:D,'Modelling New'!N:N)</f>
        <v>10.507</v>
      </c>
      <c r="J1177" s="166">
        <f>'Raw Data'!K85/J$1</f>
        <v>3.320573417440948</v>
      </c>
      <c r="K1177" s="50">
        <f>'Raw Data'!L85/K$1</f>
        <v>3.3218785796105386</v>
      </c>
      <c r="L1177" s="50">
        <f>'Raw Data'!M85/L$1</f>
        <v>3.2942480849348206</v>
      </c>
      <c r="M1177" s="50">
        <f>'Raw Data'!N85/M$1</f>
        <v>3.1998073282476951</v>
      </c>
      <c r="N1177" s="50">
        <f>'Raw Data'!O85/N$1</f>
        <v>3.2555185008734315</v>
      </c>
      <c r="O1177" s="50">
        <f>'Raw Data'!P85/O$1</f>
        <v>3.1642195184779158</v>
      </c>
      <c r="P1177" s="50">
        <f t="shared" ref="P1177:P1179" si="288">IFERROR(AVERAGEIF(J1177:O1177,"&gt;"&amp;0,J1177:O1177),"")</f>
        <v>3.2593742382642241</v>
      </c>
      <c r="Q1177" s="50">
        <f t="shared" ref="Q1177:Q1179" si="289">MAXA(J1177:O1177)</f>
        <v>3.3218785796105386</v>
      </c>
    </row>
    <row r="1178" spans="1:17">
      <c r="A1178" s="101" t="s">
        <v>4</v>
      </c>
      <c r="B1178" s="210">
        <v>6</v>
      </c>
      <c r="C1178" s="101">
        <v>2025</v>
      </c>
      <c r="D1178" s="101" t="s">
        <v>213</v>
      </c>
      <c r="E1178" s="101" t="s">
        <v>213</v>
      </c>
      <c r="F1178" s="194">
        <v>45809</v>
      </c>
      <c r="G1178" s="210">
        <f t="shared" si="277"/>
        <v>30</v>
      </c>
      <c r="H1178" s="190">
        <f t="shared" si="236"/>
        <v>45827</v>
      </c>
      <c r="I1178" s="211">
        <f>_xlfn.XLOOKUP(Table12[[#This Row],[Month Year]],'Modelling New'!D:D,'Modelling New'!N:N)</f>
        <v>10.507</v>
      </c>
      <c r="J1178" s="166">
        <f>'Raw Data'!K86/J$1</f>
        <v>3.9915173516884423</v>
      </c>
      <c r="K1178" s="50">
        <f>'Raw Data'!L86/K$1</f>
        <v>3.9927998690885289</v>
      </c>
      <c r="L1178" s="50">
        <f>'Raw Data'!M86/L$1</f>
        <v>3.9421224745777899</v>
      </c>
      <c r="M1178" s="50">
        <f>'Raw Data'!N86/M$1</f>
        <v>3.5806700944315621</v>
      </c>
      <c r="N1178" s="50">
        <f>'Raw Data'!O86/N$1</f>
        <v>3.8697565734249868</v>
      </c>
      <c r="O1178" s="50">
        <f>'Raw Data'!P86/O$1</f>
        <v>3.1642195184779158</v>
      </c>
      <c r="P1178" s="50">
        <f t="shared" si="288"/>
        <v>3.7568476469482044</v>
      </c>
      <c r="Q1178" s="50">
        <f t="shared" si="289"/>
        <v>3.9927998690885289</v>
      </c>
    </row>
    <row r="1179" spans="1:17">
      <c r="A1179" s="101" t="s">
        <v>4</v>
      </c>
      <c r="B1179" s="210">
        <v>6</v>
      </c>
      <c r="C1179" s="101">
        <v>2025</v>
      </c>
      <c r="D1179" s="101" t="s">
        <v>213</v>
      </c>
      <c r="E1179" s="101" t="s">
        <v>213</v>
      </c>
      <c r="F1179" s="194">
        <v>45809</v>
      </c>
      <c r="G1179" s="210">
        <f t="shared" si="277"/>
        <v>30</v>
      </c>
      <c r="H1179" s="190">
        <f t="shared" si="236"/>
        <v>45828</v>
      </c>
      <c r="I1179" s="211">
        <f>_xlfn.XLOOKUP(Table12[[#This Row],[Month Year]],'Modelling New'!D:D,'Modelling New'!N:N)</f>
        <v>10.507</v>
      </c>
      <c r="J1179" s="166">
        <f>'Raw Data'!K87/J$1</f>
        <v>4.6187301187930201</v>
      </c>
      <c r="K1179" s="50">
        <f>'Raw Data'!L87/K$1</f>
        <v>4.6582665139366171</v>
      </c>
      <c r="L1179" s="50">
        <f>'Raw Data'!M87/L$1</f>
        <v>4.5468798996550648</v>
      </c>
      <c r="M1179" s="50">
        <f>'Raw Data'!N87/M$1</f>
        <v>4.5031421178210165</v>
      </c>
      <c r="N1179" s="50">
        <f>'Raw Data'!O87/N$1</f>
        <v>4.4295469497946867</v>
      </c>
      <c r="O1179" s="50">
        <f>'Raw Data'!P87/O$1</f>
        <v>3.1642195184779158</v>
      </c>
      <c r="P1179" s="50">
        <f t="shared" si="288"/>
        <v>4.3201308530797204</v>
      </c>
      <c r="Q1179" s="50">
        <f t="shared" si="289"/>
        <v>4.6582665139366171</v>
      </c>
    </row>
    <row r="1180" spans="1:17">
      <c r="A1180" s="101" t="s">
        <v>4</v>
      </c>
      <c r="B1180" s="210">
        <v>6</v>
      </c>
      <c r="C1180" s="101">
        <v>2025</v>
      </c>
      <c r="D1180" s="101" t="s">
        <v>213</v>
      </c>
      <c r="E1180" s="101" t="s">
        <v>213</v>
      </c>
      <c r="F1180" s="194">
        <v>45809</v>
      </c>
      <c r="G1180" s="210">
        <f t="shared" si="277"/>
        <v>30</v>
      </c>
      <c r="H1180" s="190">
        <f t="shared" si="236"/>
        <v>45829</v>
      </c>
      <c r="I1180" s="211">
        <f>_xlfn.XLOOKUP(Table12[[#This Row],[Month Year]],'Modelling New'!D:D,'Modelling New'!N:N)</f>
        <v>10.507</v>
      </c>
      <c r="J1180" s="166">
        <f>'Raw Data'!K88/J$1</f>
        <v>4.5708055520610564</v>
      </c>
      <c r="K1180" s="50">
        <f>'Raw Data'!L88/K$1</f>
        <v>4.5546282659684723</v>
      </c>
      <c r="L1180" s="50">
        <f>'Raw Data'!M88/L$1</f>
        <v>4.4460869954755191</v>
      </c>
      <c r="M1180" s="50">
        <f>'Raw Data'!N88/M$1</f>
        <v>4.3468763652249889</v>
      </c>
      <c r="N1180" s="50">
        <f>'Raw Data'!O88/N$1</f>
        <v>4.3217858844347647</v>
      </c>
      <c r="O1180" s="50">
        <f>'Raw Data'!P88/O$1</f>
        <v>3.1642195184779158</v>
      </c>
      <c r="P1180" s="50">
        <f t="shared" ref="P1180" si="290">IFERROR(AVERAGEIF(J1180:O1180,"&gt;"&amp;0,J1180:O1180),"")</f>
        <v>4.2340670969404526</v>
      </c>
      <c r="Q1180" s="50">
        <f t="shared" ref="Q1180" si="291">MAXA(J1180:O1180)</f>
        <v>4.5708055520610564</v>
      </c>
    </row>
    <row r="1181" spans="1:17">
      <c r="A1181" s="101" t="s">
        <v>4</v>
      </c>
      <c r="B1181" s="210">
        <v>6</v>
      </c>
      <c r="C1181" s="101">
        <v>2025</v>
      </c>
      <c r="D1181" s="101" t="s">
        <v>213</v>
      </c>
      <c r="E1181" s="101" t="s">
        <v>213</v>
      </c>
      <c r="F1181" s="194">
        <v>45809</v>
      </c>
      <c r="G1181" s="210">
        <f t="shared" si="277"/>
        <v>30</v>
      </c>
      <c r="H1181" s="190">
        <f t="shared" si="236"/>
        <v>45830</v>
      </c>
      <c r="I1181" s="211">
        <f>_xlfn.XLOOKUP(Table12[[#This Row],[Month Year]],'Modelling New'!D:D,'Modelling New'!N:N)</f>
        <v>10.507</v>
      </c>
      <c r="J1181" s="166">
        <f>'Raw Data'!K89/J$1</f>
        <v>0.70089678845497194</v>
      </c>
      <c r="K1181" s="50">
        <f>'Raw Data'!L89/K$1</f>
        <v>0.71455844651720946</v>
      </c>
      <c r="L1181" s="50">
        <f>'Raw Data'!M89/L$1</f>
        <v>0.69603099941764102</v>
      </c>
      <c r="M1181" s="50">
        <f>'Raw Data'!N89/M$1</f>
        <v>0.67211076385388313</v>
      </c>
      <c r="N1181" s="50">
        <f>'Raw Data'!O89/N$1</f>
        <v>0.68116336577508563</v>
      </c>
      <c r="O1181" s="50">
        <f>'Raw Data'!P89/O$1</f>
        <v>3.1642195184779158</v>
      </c>
      <c r="P1181" s="50">
        <f t="shared" ref="P1181:P1182" si="292">IFERROR(AVERAGEIF(J1181:O1181,"&gt;"&amp;0,J1181:O1181),"")</f>
        <v>1.1048299804161179</v>
      </c>
      <c r="Q1181" s="50">
        <f t="shared" ref="Q1181:Q1182" si="293">MAXA(J1181:O1181)</f>
        <v>3.1642195184779158</v>
      </c>
    </row>
    <row r="1182" spans="1:17">
      <c r="A1182" s="101" t="s">
        <v>4</v>
      </c>
      <c r="B1182" s="210">
        <v>6</v>
      </c>
      <c r="C1182" s="101">
        <v>2025</v>
      </c>
      <c r="D1182" s="101" t="s">
        <v>213</v>
      </c>
      <c r="E1182" s="101" t="s">
        <v>213</v>
      </c>
      <c r="F1182" s="194">
        <v>45809</v>
      </c>
      <c r="G1182" s="210">
        <f t="shared" si="277"/>
        <v>30</v>
      </c>
      <c r="H1182" s="190">
        <f t="shared" si="236"/>
        <v>45831</v>
      </c>
      <c r="I1182" s="211">
        <f>_xlfn.XLOOKUP(Table12[[#This Row],[Month Year]],'Modelling New'!D:D,'Modelling New'!N:N)</f>
        <v>10.507</v>
      </c>
      <c r="J1182" s="166">
        <f>'Raw Data'!K90/J$1</f>
        <v>3.8040124843496339</v>
      </c>
      <c r="K1182" s="50">
        <f>'Raw Data'!L90/K$1</f>
        <v>3.803523700430917</v>
      </c>
      <c r="L1182" s="50">
        <f>'Raw Data'!M90/L$1</f>
        <v>3.7814137884692918</v>
      </c>
      <c r="M1182" s="50">
        <f>'Raw Data'!N90/M$1</f>
        <v>3.7190128933248197</v>
      </c>
      <c r="N1182" s="50">
        <f>'Raw Data'!O90/N$1</f>
        <v>3.6752194922752328</v>
      </c>
      <c r="O1182" s="50">
        <f>'Raw Data'!P90/O$1</f>
        <v>3.1642195184779158</v>
      </c>
      <c r="P1182" s="50">
        <f t="shared" si="292"/>
        <v>3.657900312887969</v>
      </c>
      <c r="Q1182" s="50">
        <f t="shared" si="293"/>
        <v>3.8040124843496339</v>
      </c>
    </row>
    <row r="1183" spans="1:17">
      <c r="A1183" s="101" t="s">
        <v>4</v>
      </c>
      <c r="B1183" s="210">
        <v>6</v>
      </c>
      <c r="C1183" s="101">
        <v>2025</v>
      </c>
      <c r="D1183" s="101" t="s">
        <v>213</v>
      </c>
      <c r="E1183" s="101" t="s">
        <v>213</v>
      </c>
      <c r="F1183" s="194">
        <v>45809</v>
      </c>
      <c r="G1183" s="210">
        <f t="shared" si="277"/>
        <v>30</v>
      </c>
      <c r="H1183" s="190">
        <f t="shared" si="236"/>
        <v>45832</v>
      </c>
      <c r="I1183" s="211">
        <f>_xlfn.XLOOKUP(Table12[[#This Row],[Month Year]],'Modelling New'!D:D,'Modelling New'!N:N)</f>
        <v>10.507</v>
      </c>
      <c r="J1183" s="166">
        <f>'Raw Data'!K91/J$1</f>
        <v>2.8694834330763377</v>
      </c>
      <c r="K1183" s="50">
        <f>'Raw Data'!L91/K$1</f>
        <v>2.8380516009381989</v>
      </c>
      <c r="L1183" s="50">
        <f>'Raw Data'!M91/L$1</f>
        <v>2.8390001343905391</v>
      </c>
      <c r="M1183" s="50">
        <f>'Raw Data'!N91/M$1</f>
        <v>2.806062439089962</v>
      </c>
      <c r="N1183" s="50">
        <f>'Raw Data'!O91/N$1</f>
        <v>2.7808026497878808</v>
      </c>
      <c r="O1183" s="50">
        <f>'Raw Data'!P91/O$1</f>
        <v>3.1642195184779158</v>
      </c>
      <c r="P1183" s="50">
        <f t="shared" ref="P1183:P1190" si="294">IFERROR(AVERAGEIF(J1183:O1183,"&gt;"&amp;0,J1183:O1183),"")</f>
        <v>2.8829366292934728</v>
      </c>
      <c r="Q1183" s="50">
        <f t="shared" ref="Q1183:Q1190" si="295">MAXA(J1183:O1183)</f>
        <v>3.1642195184779158</v>
      </c>
    </row>
    <row r="1184" spans="1:17">
      <c r="A1184" s="101" t="s">
        <v>4</v>
      </c>
      <c r="B1184" s="210">
        <v>6</v>
      </c>
      <c r="C1184" s="101">
        <v>2025</v>
      </c>
      <c r="D1184" s="101" t="s">
        <v>213</v>
      </c>
      <c r="E1184" s="101" t="s">
        <v>213</v>
      </c>
      <c r="F1184" s="194">
        <v>45809</v>
      </c>
      <c r="G1184" s="210">
        <f t="shared" si="277"/>
        <v>30</v>
      </c>
      <c r="H1184" s="190">
        <f t="shared" si="236"/>
        <v>45833</v>
      </c>
      <c r="I1184" s="211">
        <f>_xlfn.XLOOKUP(Table12[[#This Row],[Month Year]],'Modelling New'!D:D,'Modelling New'!N:N)</f>
        <v>10.507</v>
      </c>
      <c r="J1184" s="166">
        <f>'Raw Data'!K92/J$1</f>
        <v>2.3914358799249982</v>
      </c>
      <c r="K1184" s="50">
        <f>'Raw Data'!L92/K$1</f>
        <v>2.276768668521246</v>
      </c>
      <c r="L1184" s="50">
        <f>'Raw Data'!M92/L$1</f>
        <v>2.3462348250683154</v>
      </c>
      <c r="M1184" s="50">
        <f>'Raw Data'!N92/M$1</f>
        <v>2.3087004738380883</v>
      </c>
      <c r="N1184" s="50">
        <f>'Raw Data'!O92/N$1</f>
        <v>2.2402958324825879</v>
      </c>
      <c r="O1184" s="50">
        <f>'Raw Data'!P92/O$1</f>
        <v>3.1642195184779158</v>
      </c>
      <c r="P1184" s="50">
        <f t="shared" si="294"/>
        <v>2.4546091997188584</v>
      </c>
      <c r="Q1184" s="50">
        <f t="shared" si="295"/>
        <v>3.1642195184779158</v>
      </c>
    </row>
    <row r="1185" spans="1:17">
      <c r="A1185" s="101" t="s">
        <v>4</v>
      </c>
      <c r="B1185" s="210">
        <v>6</v>
      </c>
      <c r="C1185" s="101">
        <v>2025</v>
      </c>
      <c r="D1185" s="101" t="s">
        <v>213</v>
      </c>
      <c r="E1185" s="101" t="s">
        <v>213</v>
      </c>
      <c r="F1185" s="194">
        <v>45809</v>
      </c>
      <c r="G1185" s="210">
        <f t="shared" si="277"/>
        <v>30</v>
      </c>
      <c r="H1185" s="190">
        <f t="shared" si="236"/>
        <v>45834</v>
      </c>
      <c r="I1185" s="211">
        <f>_xlfn.XLOOKUP(Table12[[#This Row],[Month Year]],'Modelling New'!D:D,'Modelling New'!N:N)</f>
        <v>10.507</v>
      </c>
      <c r="J1185" s="166">
        <f>'Raw Data'!K93/J$1</f>
        <v>3.3307573878714902</v>
      </c>
      <c r="K1185" s="50">
        <f>'Raw Data'!L93/K$1</f>
        <v>3.3382425135002456</v>
      </c>
      <c r="L1185" s="50">
        <f>'Raw Data'!M93/L$1</f>
        <v>3.3429646552882679</v>
      </c>
      <c r="M1185" s="50">
        <f>'Raw Data'!N93/M$1</f>
        <v>3.210449082008715</v>
      </c>
      <c r="N1185" s="50">
        <f>'Raw Data'!O93/N$1</f>
        <v>3.238503595816602</v>
      </c>
      <c r="O1185" s="50">
        <f>'Raw Data'!P93/O$1</f>
        <v>3.1642195184779158</v>
      </c>
      <c r="P1185" s="50">
        <f t="shared" si="294"/>
        <v>3.2708561254938728</v>
      </c>
      <c r="Q1185" s="50">
        <f t="shared" si="295"/>
        <v>3.3429646552882679</v>
      </c>
    </row>
    <row r="1186" spans="1:17">
      <c r="A1186" s="101" t="s">
        <v>4</v>
      </c>
      <c r="B1186" s="210">
        <v>6</v>
      </c>
      <c r="C1186" s="101">
        <v>2025</v>
      </c>
      <c r="D1186" s="101" t="s">
        <v>213</v>
      </c>
      <c r="E1186" s="101" t="s">
        <v>213</v>
      </c>
      <c r="F1186" s="194">
        <v>45809</v>
      </c>
      <c r="G1186" s="210">
        <f t="shared" si="277"/>
        <v>30</v>
      </c>
      <c r="H1186" s="190">
        <f t="shared" si="236"/>
        <v>45835</v>
      </c>
      <c r="I1186" s="211">
        <f>_xlfn.XLOOKUP(Table12[[#This Row],[Month Year]],'Modelling New'!D:D,'Modelling New'!N:N)</f>
        <v>10.507</v>
      </c>
      <c r="J1186" s="166">
        <f>'Raw Data'!K94/J$1</f>
        <v>3.037818473722361</v>
      </c>
      <c r="K1186" s="50">
        <f>'Raw Data'!L94/K$1</f>
        <v>3.0175094092619865</v>
      </c>
      <c r="L1186" s="50">
        <f>'Raw Data'!M94/L$1</f>
        <v>3.0293867311741254</v>
      </c>
      <c r="M1186" s="50">
        <f>'Raw Data'!N94/M$1</f>
        <v>2.9796910530855483</v>
      </c>
      <c r="N1186" s="50">
        <f>'Raw Data'!O94/N$1</f>
        <v>2.9662651149073254</v>
      </c>
      <c r="O1186" s="50">
        <f>'Raw Data'!P94/O$1</f>
        <v>3.1642195184779158</v>
      </c>
      <c r="P1186" s="50">
        <f t="shared" si="294"/>
        <v>3.0324817167715437</v>
      </c>
      <c r="Q1186" s="50">
        <f t="shared" si="295"/>
        <v>3.1642195184779158</v>
      </c>
    </row>
    <row r="1187" spans="1:17">
      <c r="A1187" s="101" t="s">
        <v>4</v>
      </c>
      <c r="B1187" s="210">
        <v>6</v>
      </c>
      <c r="C1187" s="101">
        <v>2025</v>
      </c>
      <c r="D1187" s="101" t="s">
        <v>213</v>
      </c>
      <c r="E1187" s="101" t="s">
        <v>213</v>
      </c>
      <c r="F1187" s="194">
        <v>45809</v>
      </c>
      <c r="G1187" s="210">
        <f t="shared" si="277"/>
        <v>30</v>
      </c>
      <c r="H1187" s="190">
        <f t="shared" si="236"/>
        <v>45836</v>
      </c>
      <c r="I1187" s="211">
        <f>_xlfn.XLOOKUP(Table12[[#This Row],[Month Year]],'Modelling New'!D:D,'Modelling New'!N:N)</f>
        <v>10.507</v>
      </c>
      <c r="J1187" s="166">
        <f>'Raw Data'!K95/J$1</f>
        <v>3.3786819546034543</v>
      </c>
      <c r="K1187" s="50">
        <f>'Raw Data'!L95/K$1</f>
        <v>3.4375170457644684</v>
      </c>
      <c r="L1187" s="50">
        <f>'Raw Data'!M95/L$1</f>
        <v>3.4325583478923085</v>
      </c>
      <c r="M1187" s="50">
        <f>'Raw Data'!N95/M$1</f>
        <v>3.4182433265002072</v>
      </c>
      <c r="N1187" s="50">
        <f>'Raw Data'!O95/N$1</f>
        <v>3.3428616801651581</v>
      </c>
      <c r="O1187" s="50">
        <f>'Raw Data'!P95/O$1</f>
        <v>3.1642195184779158</v>
      </c>
      <c r="P1187" s="50">
        <f t="shared" si="294"/>
        <v>3.3623469789005846</v>
      </c>
      <c r="Q1187" s="50">
        <f t="shared" si="295"/>
        <v>3.4375170457644684</v>
      </c>
    </row>
    <row r="1188" spans="1:17">
      <c r="A1188" s="101" t="s">
        <v>4</v>
      </c>
      <c r="B1188" s="210">
        <v>6</v>
      </c>
      <c r="C1188" s="101">
        <v>2025</v>
      </c>
      <c r="D1188" s="101" t="s">
        <v>213</v>
      </c>
      <c r="E1188" s="101" t="s">
        <v>213</v>
      </c>
      <c r="F1188" s="194">
        <v>45809</v>
      </c>
      <c r="G1188" s="210">
        <f t="shared" si="277"/>
        <v>30</v>
      </c>
      <c r="H1188" s="190">
        <f t="shared" si="236"/>
        <v>45837</v>
      </c>
      <c r="I1188" s="211">
        <f>_xlfn.XLOOKUP(Table12[[#This Row],[Month Year]],'Modelling New'!D:D,'Modelling New'!N:N)</f>
        <v>10.507</v>
      </c>
      <c r="J1188" s="166">
        <f>'Raw Data'!K96/J$1</f>
        <v>4.5827866937440467</v>
      </c>
      <c r="K1188" s="50">
        <f>'Raw Data'!L96/K$1</f>
        <v>4.5109911089292538</v>
      </c>
      <c r="L1188" s="50">
        <f>'Raw Data'!M96/L$1</f>
        <v>4.4925637235138645</v>
      </c>
      <c r="M1188" s="50">
        <f>'Raw Data'!N96/M$1</f>
        <v>4.5255458099494792</v>
      </c>
      <c r="N1188" s="50">
        <f>'Raw Data'!O96/N$1</f>
        <v>4.423875314775743</v>
      </c>
      <c r="O1188" s="50">
        <f>'Raw Data'!P96/O$1</f>
        <v>3.1642195184779158</v>
      </c>
      <c r="P1188" s="50">
        <f t="shared" si="294"/>
        <v>4.2833303615650502</v>
      </c>
      <c r="Q1188" s="50">
        <f t="shared" si="295"/>
        <v>4.5827866937440467</v>
      </c>
    </row>
    <row r="1189" spans="1:17">
      <c r="A1189" s="101" t="s">
        <v>4</v>
      </c>
      <c r="B1189" s="210">
        <v>6</v>
      </c>
      <c r="C1189" s="101">
        <v>2025</v>
      </c>
      <c r="D1189" s="101" t="s">
        <v>213</v>
      </c>
      <c r="E1189" s="101" t="s">
        <v>213</v>
      </c>
      <c r="F1189" s="194">
        <v>45809</v>
      </c>
      <c r="G1189" s="210">
        <f t="shared" si="277"/>
        <v>30</v>
      </c>
      <c r="H1189" s="190">
        <f t="shared" si="236"/>
        <v>45838</v>
      </c>
      <c r="I1189" s="211">
        <f>_xlfn.XLOOKUP(Table12[[#This Row],[Month Year]],'Modelling New'!D:D,'Modelling New'!N:N)</f>
        <v>10.507</v>
      </c>
      <c r="J1189" s="166">
        <f>'Raw Data'!K97/J$1</f>
        <v>4.6007584062685334</v>
      </c>
      <c r="K1189" s="50">
        <f>'Raw Data'!L97/K$1</f>
        <v>4.4946271750395459</v>
      </c>
      <c r="L1189" s="50">
        <f>'Raw Data'!M97/L$1</f>
        <v>4.5138422255073243</v>
      </c>
      <c r="M1189" s="50">
        <f>'Raw Data'!N97/M$1</f>
        <v>4.4936205486664198</v>
      </c>
      <c r="N1189" s="50">
        <f>'Raw Data'!O97/N$1</f>
        <v>4.4023231017037592</v>
      </c>
      <c r="O1189" s="50">
        <f>'Raw Data'!P97/O$1</f>
        <v>3.1642195184779158</v>
      </c>
      <c r="P1189" s="50">
        <f t="shared" si="294"/>
        <v>4.2782318292772494</v>
      </c>
      <c r="Q1189" s="50">
        <f t="shared" si="295"/>
        <v>4.6007584062685334</v>
      </c>
    </row>
    <row r="1190" spans="1:17">
      <c r="A1190" s="101" t="s">
        <v>4</v>
      </c>
      <c r="B1190" s="210">
        <v>6</v>
      </c>
      <c r="C1190" s="101">
        <v>2025</v>
      </c>
      <c r="D1190" s="101" t="s">
        <v>213</v>
      </c>
      <c r="E1190" s="101" t="s">
        <v>213</v>
      </c>
      <c r="F1190" s="194">
        <v>45839</v>
      </c>
      <c r="G1190" s="210">
        <f t="shared" si="277"/>
        <v>31</v>
      </c>
      <c r="H1190" s="190">
        <f t="shared" si="236"/>
        <v>45839</v>
      </c>
      <c r="I1190" s="211">
        <f>_xlfn.XLOOKUP(Table12[[#This Row],[Month Year]],'Modelling New'!D:D,'Modelling New'!N:N)</f>
        <v>10.507</v>
      </c>
      <c r="J1190" s="166">
        <f>'Raw Data'!K98/J$1</f>
        <v>2.2045300696703389</v>
      </c>
      <c r="K1190" s="50">
        <f>'Raw Data'!L98/K$1</f>
        <v>2.1818578519609448</v>
      </c>
      <c r="L1190" s="50">
        <f>'Raw Data'!M98/L$1</f>
        <v>2.2118442861622545</v>
      </c>
      <c r="M1190" s="50">
        <f>'Raw Data'!N98/M$1</f>
        <v>2.1966820131957747</v>
      </c>
      <c r="N1190" s="50">
        <f>'Raw Data'!O98/N$1</f>
        <v>2.1382064021416092</v>
      </c>
      <c r="O1190" s="50">
        <f>'Raw Data'!P98/O$1</f>
        <v>3.1642195184779158</v>
      </c>
      <c r="P1190" s="50">
        <f t="shared" si="294"/>
        <v>2.3495566902681397</v>
      </c>
      <c r="Q1190" s="50">
        <f t="shared" si="295"/>
        <v>3.1642195184779158</v>
      </c>
    </row>
    <row r="1191" spans="1:17">
      <c r="A1191" s="101" t="s">
        <v>4</v>
      </c>
      <c r="B1191" s="210">
        <v>6</v>
      </c>
      <c r="C1191" s="101">
        <v>2025</v>
      </c>
      <c r="D1191" s="101" t="s">
        <v>213</v>
      </c>
      <c r="E1191" s="101" t="s">
        <v>213</v>
      </c>
      <c r="F1191" s="194">
        <v>45839</v>
      </c>
      <c r="G1191" s="210">
        <f t="shared" si="277"/>
        <v>31</v>
      </c>
      <c r="H1191" s="190">
        <f t="shared" si="236"/>
        <v>45840</v>
      </c>
      <c r="I1191" s="211">
        <f>_xlfn.XLOOKUP(Table12[[#This Row],[Month Year]],'Modelling New'!D:D,'Modelling New'!N:N)</f>
        <v>10.507</v>
      </c>
      <c r="J1191" s="166">
        <f>'Raw Data'!K99/J$1</f>
        <v>3.2468893960905536</v>
      </c>
      <c r="K1191" s="50">
        <f>'Raw Data'!L99/K$1</f>
        <v>3.1909671084928819</v>
      </c>
      <c r="L1191" s="50">
        <f>'Raw Data'!M99/L$1</f>
        <v>3.2096940375397573</v>
      </c>
      <c r="M1191" s="50">
        <f>'Raw Data'!N99/M$1</f>
        <v>3.2048481589765991</v>
      </c>
      <c r="N1191" s="50">
        <f>'Raw Data'!O99/N$1</f>
        <v>3.1211007509244761</v>
      </c>
      <c r="O1191" s="50">
        <f>'Raw Data'!P99/O$1</f>
        <v>3.1642195184779158</v>
      </c>
      <c r="P1191" s="50">
        <f t="shared" ref="P1191" si="296">IFERROR(AVERAGEIF(J1191:O1191,"&gt;"&amp;0,J1191:O1191),"")</f>
        <v>3.189619828417031</v>
      </c>
      <c r="Q1191" s="50">
        <f t="shared" ref="Q1191" si="297">MAXA(J1191:O1191)</f>
        <v>3.2468893960905536</v>
      </c>
    </row>
    <row r="1192" spans="1:17">
      <c r="A1192" s="101" t="s">
        <v>4</v>
      </c>
      <c r="B1192" s="210">
        <v>6</v>
      </c>
      <c r="C1192" s="101">
        <v>2025</v>
      </c>
      <c r="D1192" s="101" t="s">
        <v>213</v>
      </c>
      <c r="E1192" s="101" t="s">
        <v>213</v>
      </c>
      <c r="F1192" s="194">
        <v>45839</v>
      </c>
      <c r="G1192" s="210">
        <f t="shared" si="277"/>
        <v>31</v>
      </c>
      <c r="H1192" s="190">
        <f t="shared" si="236"/>
        <v>45841</v>
      </c>
      <c r="I1192" s="211">
        <f>_xlfn.XLOOKUP(Table12[[#This Row],[Month Year]],'Modelling New'!D:D,'Modelling New'!N:N)</f>
        <v>10.507</v>
      </c>
      <c r="J1192" s="166">
        <f>'Raw Data'!K100/J$1</f>
        <v>2.5999077452090411</v>
      </c>
      <c r="K1192" s="50">
        <f>'Raw Data'!L100/K$1</f>
        <v>2.5582283314242078</v>
      </c>
      <c r="L1192" s="50">
        <f>'Raw Data'!M100/L$1</f>
        <v>2.5814182681539219</v>
      </c>
      <c r="M1192" s="50">
        <f>'Raw Data'!N100/M$1</f>
        <v>2.5769846870764299</v>
      </c>
      <c r="N1192" s="50">
        <f>'Raw Data'!O100/N$1</f>
        <v>2.5085641688786042</v>
      </c>
      <c r="O1192" s="50">
        <f>'Raw Data'!P100/O$1</f>
        <v>3.1642195184779158</v>
      </c>
      <c r="P1192" s="50">
        <f t="shared" ref="P1192:P1194" si="298">IFERROR(AVERAGEIF(J1192:O1192,"&gt;"&amp;0,J1192:O1192),"")</f>
        <v>2.6648871198700204</v>
      </c>
      <c r="Q1192" s="50">
        <f t="shared" ref="Q1192:Q1194" si="299">MAXA(J1192:O1192)</f>
        <v>3.1642195184779158</v>
      </c>
    </row>
    <row r="1193" spans="1:17">
      <c r="A1193" s="101" t="s">
        <v>4</v>
      </c>
      <c r="B1193" s="210">
        <v>6</v>
      </c>
      <c r="C1193" s="101">
        <v>2025</v>
      </c>
      <c r="D1193" s="101" t="s">
        <v>213</v>
      </c>
      <c r="E1193" s="101" t="s">
        <v>213</v>
      </c>
      <c r="F1193" s="194">
        <v>45839</v>
      </c>
      <c r="G1193" s="210">
        <f t="shared" si="277"/>
        <v>31</v>
      </c>
      <c r="H1193" s="190">
        <f t="shared" si="236"/>
        <v>45842</v>
      </c>
      <c r="I1193" s="211">
        <f>_xlfn.XLOOKUP(Table12[[#This Row],[Month Year]],'Modelling New'!D:D,'Modelling New'!N:N)</f>
        <v>10.507</v>
      </c>
      <c r="J1193" s="166">
        <f>'Raw Data'!K101/J$1</f>
        <v>4.0496258888509491</v>
      </c>
      <c r="K1193" s="50">
        <f>'Raw Data'!L101/K$1</f>
        <v>3.9671630393279878</v>
      </c>
      <c r="L1193" s="50">
        <f>'Raw Data'!M101/L$1</f>
        <v>4.0037181382430678</v>
      </c>
      <c r="M1193" s="50">
        <f>'Raw Data'!N101/M$1</f>
        <v>4.03322467542651</v>
      </c>
      <c r="N1193" s="50">
        <f>'Raw Data'!O101/N$1</f>
        <v>3.8396969078245875</v>
      </c>
      <c r="O1193" s="50">
        <f>'Raw Data'!P101/O$1</f>
        <v>3.1642195184779158</v>
      </c>
      <c r="P1193" s="50">
        <f t="shared" si="298"/>
        <v>3.8429413613585033</v>
      </c>
      <c r="Q1193" s="50">
        <f t="shared" si="299"/>
        <v>4.0496258888509491</v>
      </c>
    </row>
    <row r="1194" spans="1:17">
      <c r="A1194" s="101" t="s">
        <v>4</v>
      </c>
      <c r="B1194" s="210">
        <v>6</v>
      </c>
      <c r="C1194" s="101">
        <v>2025</v>
      </c>
      <c r="D1194" s="101" t="s">
        <v>213</v>
      </c>
      <c r="E1194" s="101" t="s">
        <v>213</v>
      </c>
      <c r="F1194" s="194">
        <v>45839</v>
      </c>
      <c r="G1194" s="210">
        <f t="shared" si="277"/>
        <v>31</v>
      </c>
      <c r="H1194" s="190">
        <f t="shared" si="236"/>
        <v>45843</v>
      </c>
      <c r="I1194" s="211">
        <f>_xlfn.XLOOKUP(Table12[[#This Row],[Month Year]],'Modelling New'!D:D,'Modelling New'!N:N)</f>
        <v>10.507</v>
      </c>
      <c r="J1194" s="166">
        <f>'Raw Data'!K103/J$1</f>
        <v>3.0114599620197811</v>
      </c>
      <c r="K1194" s="50">
        <f>'Raw Data'!L103/K$1</f>
        <v>2.9875088637975238</v>
      </c>
      <c r="L1194" s="50">
        <f>'Raw Data'!M103/L$1</f>
        <v>2.9868297271872062</v>
      </c>
      <c r="M1194" s="50">
        <f>'Raw Data'!N103/M$1</f>
        <v>2.9920130837562029</v>
      </c>
      <c r="N1194" s="50">
        <f>'Raw Data'!O103/N$1</f>
        <v>2.929399487284194</v>
      </c>
      <c r="O1194" s="50">
        <f>'Raw Data'!P103/O$1</f>
        <v>3.1642195184779158</v>
      </c>
      <c r="P1194" s="50">
        <f t="shared" si="298"/>
        <v>3.0119051070871365</v>
      </c>
      <c r="Q1194" s="50">
        <f t="shared" si="299"/>
        <v>3.1642195184779158</v>
      </c>
    </row>
    <row r="1195" spans="1:17">
      <c r="A1195" s="101" t="s">
        <v>4</v>
      </c>
      <c r="B1195" s="210">
        <v>6</v>
      </c>
      <c r="C1195" s="101">
        <v>2025</v>
      </c>
      <c r="D1195" s="101" t="s">
        <v>213</v>
      </c>
      <c r="E1195" s="101" t="s">
        <v>213</v>
      </c>
      <c r="F1195" s="194">
        <v>45839</v>
      </c>
      <c r="G1195" s="210">
        <f t="shared" ref="G1195:G1226" si="300">DAY(EOMONTH(F1195,0))</f>
        <v>31</v>
      </c>
      <c r="H1195" s="190">
        <f t="shared" si="236"/>
        <v>45844</v>
      </c>
      <c r="I1195" s="211">
        <f>_xlfn.XLOOKUP(Table12[[#This Row],[Month Year]],'Modelling New'!D:D,'Modelling New'!N:N)</f>
        <v>10.507</v>
      </c>
      <c r="J1195" s="166">
        <f>'Raw Data'!K104/J$1</f>
        <v>3.3978517812962399</v>
      </c>
      <c r="K1195" s="50">
        <f>'Raw Data'!L104/K$1</f>
        <v>3.2127856870124911</v>
      </c>
      <c r="L1195" s="50">
        <f>'Raw Data'!M104/L$1</f>
        <v>3.3720826053845809</v>
      </c>
      <c r="M1195" s="50">
        <f>'Raw Data'!N104/M$1</f>
        <v>3.2989436659161426</v>
      </c>
      <c r="N1195" s="50">
        <f>'Raw Data'!O104/N$1</f>
        <v>3.2895483109870911</v>
      </c>
      <c r="O1195" s="50">
        <f>'Raw Data'!P104/O$1</f>
        <v>3.1642195184779158</v>
      </c>
      <c r="P1195" s="50">
        <f t="shared" ref="P1195" si="301">IFERROR(AVERAGEIF(J1195:O1195,"&gt;"&amp;0,J1195:O1195),"")</f>
        <v>3.2892385948457439</v>
      </c>
      <c r="Q1195" s="50">
        <f t="shared" ref="Q1195" si="302">MAXA(J1195:O1195)</f>
        <v>3.3978517812962399</v>
      </c>
    </row>
    <row r="1196" spans="1:17">
      <c r="A1196" s="101" t="s">
        <v>4</v>
      </c>
      <c r="B1196" s="210">
        <v>6</v>
      </c>
      <c r="C1196" s="101">
        <v>2025</v>
      </c>
      <c r="D1196" s="101" t="s">
        <v>213</v>
      </c>
      <c r="E1196" s="101" t="s">
        <v>213</v>
      </c>
      <c r="F1196" s="194">
        <v>45839</v>
      </c>
      <c r="G1196" s="210">
        <f t="shared" si="300"/>
        <v>31</v>
      </c>
      <c r="H1196" s="190">
        <f t="shared" si="236"/>
        <v>45845</v>
      </c>
      <c r="I1196" s="211">
        <f>_xlfn.XLOOKUP(Table12[[#This Row],[Month Year]],'Modelling New'!D:D,'Modelling New'!N:N)</f>
        <v>10.507</v>
      </c>
      <c r="J1196" s="166">
        <f>'Raw Data'!K105/J$1</f>
        <v>4.1017438551719598</v>
      </c>
      <c r="K1196" s="50">
        <f>'Raw Data'!L105/K$1</f>
        <v>4.0364370261277482</v>
      </c>
      <c r="L1196" s="50">
        <f>'Raw Data'!M105/L$1</f>
        <v>4.0401155758634593</v>
      </c>
      <c r="M1196" s="50">
        <f>'Raw Data'!N105/M$1</f>
        <v>4.1491637821913052</v>
      </c>
      <c r="N1196" s="50">
        <f>'Raw Data'!O105/N$1</f>
        <v>3.883935660972345</v>
      </c>
      <c r="O1196" s="50">
        <f>'Raw Data'!P105/O$1</f>
        <v>3.1642195184779158</v>
      </c>
      <c r="P1196" s="50">
        <f t="shared" ref="P1196:P1200" si="303">IFERROR(AVERAGEIF(J1196:O1196,"&gt;"&amp;0,J1196:O1196),"")</f>
        <v>3.8959359031341223</v>
      </c>
      <c r="Q1196" s="50">
        <f t="shared" ref="Q1196:Q1200" si="304">MAXA(J1196:O1196)</f>
        <v>4.1491637821913052</v>
      </c>
    </row>
    <row r="1197" spans="1:17">
      <c r="A1197" s="101" t="s">
        <v>4</v>
      </c>
      <c r="B1197" s="210">
        <v>6</v>
      </c>
      <c r="C1197" s="101">
        <v>2025</v>
      </c>
      <c r="D1197" s="101" t="s">
        <v>213</v>
      </c>
      <c r="E1197" s="101" t="s">
        <v>213</v>
      </c>
      <c r="F1197" s="194">
        <v>45839</v>
      </c>
      <c r="G1197" s="210">
        <f t="shared" si="300"/>
        <v>31</v>
      </c>
      <c r="H1197" s="190">
        <f t="shared" si="236"/>
        <v>45846</v>
      </c>
      <c r="I1197" s="211">
        <f>_xlfn.XLOOKUP(Table12[[#This Row],[Month Year]],'Modelling New'!D:D,'Modelling New'!N:N)</f>
        <v>10.507</v>
      </c>
      <c r="J1197" s="166">
        <f>'Raw Data'!K106/J$1</f>
        <v>3.9244229582636931</v>
      </c>
      <c r="K1197" s="50">
        <f>'Raw Data'!L106/K$1</f>
        <v>3.8367970326733216</v>
      </c>
      <c r="L1197" s="50">
        <f>'Raw Data'!M106/L$1</f>
        <v>3.9281234601084085</v>
      </c>
      <c r="M1197" s="50">
        <f>'Raw Data'!N106/M$1</f>
        <v>3.7996661849872857</v>
      </c>
      <c r="N1197" s="50">
        <f>'Raw Data'!O106/N$1</f>
        <v>3.7251298804419335</v>
      </c>
      <c r="O1197" s="50">
        <f>'Raw Data'!P106/O$1</f>
        <v>3.1642195184779158</v>
      </c>
      <c r="P1197" s="50">
        <f t="shared" si="303"/>
        <v>3.7297265058254268</v>
      </c>
      <c r="Q1197" s="50">
        <f t="shared" si="304"/>
        <v>3.9281234601084085</v>
      </c>
    </row>
    <row r="1198" spans="1:17">
      <c r="A1198" s="101" t="s">
        <v>4</v>
      </c>
      <c r="B1198" s="210">
        <v>6</v>
      </c>
      <c r="C1198" s="101">
        <v>2025</v>
      </c>
      <c r="D1198" s="101" t="s">
        <v>213</v>
      </c>
      <c r="E1198" s="101" t="s">
        <v>213</v>
      </c>
      <c r="F1198" s="194">
        <v>45839</v>
      </c>
      <c r="G1198" s="210">
        <f t="shared" si="300"/>
        <v>31</v>
      </c>
      <c r="H1198" s="190">
        <f t="shared" ref="H1198:H1237" si="305">H1197+1</f>
        <v>45847</v>
      </c>
      <c r="I1198" s="211">
        <f>_xlfn.XLOOKUP(Table12[[#This Row],[Month Year]],'Modelling New'!D:D,'Modelling New'!N:N)</f>
        <v>10.507</v>
      </c>
      <c r="J1198" s="166">
        <f>'Raw Data'!K107/J$1</f>
        <v>2.5513841213929278</v>
      </c>
      <c r="K1198" s="50">
        <f>'Raw Data'!L107/K$1</f>
        <v>2.4660448371788579</v>
      </c>
      <c r="L1198" s="50">
        <f>'Raw Data'!M107/L$1</f>
        <v>2.5718989383147428</v>
      </c>
      <c r="M1198" s="50">
        <f>'Raw Data'!N107/M$1</f>
        <v>2.5204153644520617</v>
      </c>
      <c r="N1198" s="50">
        <f>'Raw Data'!O107/N$1</f>
        <v>2.4870119558066199</v>
      </c>
      <c r="O1198" s="50">
        <f>'Raw Data'!P107/O$1</f>
        <v>3.1642195184779158</v>
      </c>
      <c r="P1198" s="50">
        <f t="shared" si="303"/>
        <v>2.6268291226038545</v>
      </c>
      <c r="Q1198" s="50">
        <f t="shared" si="304"/>
        <v>3.1642195184779158</v>
      </c>
    </row>
    <row r="1199" spans="1:17">
      <c r="A1199" s="101" t="s">
        <v>4</v>
      </c>
      <c r="B1199" s="210">
        <v>6</v>
      </c>
      <c r="C1199" s="101">
        <v>2025</v>
      </c>
      <c r="D1199" s="101" t="s">
        <v>213</v>
      </c>
      <c r="E1199" s="101" t="s">
        <v>213</v>
      </c>
      <c r="F1199" s="194">
        <v>45839</v>
      </c>
      <c r="G1199" s="210">
        <f t="shared" si="300"/>
        <v>31</v>
      </c>
      <c r="H1199" s="190">
        <f t="shared" si="305"/>
        <v>45848</v>
      </c>
      <c r="I1199" s="211">
        <f>_xlfn.XLOOKUP(Table12[[#This Row],[Month Year]],'Modelling New'!D:D,'Modelling New'!N:N)</f>
        <v>10.507</v>
      </c>
      <c r="J1199" s="166">
        <f>'Raw Data'!K108/J$1</f>
        <v>3.9316116432734876</v>
      </c>
      <c r="K1199" s="50">
        <f>'Raw Data'!L108/K$1</f>
        <v>3.8455244640811652</v>
      </c>
      <c r="L1199" s="50">
        <f>'Raw Data'!M108/L$1</f>
        <v>3.9813197150920576</v>
      </c>
      <c r="M1199" s="50">
        <f>'Raw Data'!N108/M$1</f>
        <v>3.8758387382240591</v>
      </c>
      <c r="N1199" s="50">
        <f>'Raw Data'!O108/N$1</f>
        <v>3.8005626261938792</v>
      </c>
      <c r="O1199" s="50">
        <f>'Raw Data'!P108/O$1</f>
        <v>3.1642195184779158</v>
      </c>
      <c r="P1199" s="50">
        <f t="shared" si="303"/>
        <v>3.7665127842237602</v>
      </c>
      <c r="Q1199" s="50">
        <f t="shared" si="304"/>
        <v>3.9813197150920576</v>
      </c>
    </row>
    <row r="1200" spans="1:17">
      <c r="A1200" s="101" t="s">
        <v>4</v>
      </c>
      <c r="B1200" s="210">
        <v>6</v>
      </c>
      <c r="C1200" s="101">
        <v>2025</v>
      </c>
      <c r="D1200" s="101" t="s">
        <v>213</v>
      </c>
      <c r="E1200" s="101" t="s">
        <v>213</v>
      </c>
      <c r="F1200" s="194">
        <v>45839</v>
      </c>
      <c r="G1200" s="210">
        <f t="shared" si="300"/>
        <v>31</v>
      </c>
      <c r="H1200" s="190">
        <f t="shared" si="305"/>
        <v>45849</v>
      </c>
      <c r="I1200" s="211">
        <f>_xlfn.XLOOKUP(Table12[[#This Row],[Month Year]],'Modelling New'!D:D,'Modelling New'!N:N)</f>
        <v>10.507</v>
      </c>
      <c r="J1200" s="166">
        <f>'Raw Data'!K109/J$1</f>
        <v>3.3912621533705947</v>
      </c>
      <c r="K1200" s="50">
        <f>'Raw Data'!L109/K$1</f>
        <v>3.3933344242622594</v>
      </c>
      <c r="L1200" s="50">
        <f>'Raw Data'!M109/L$1</f>
        <v>3.4000806343233436</v>
      </c>
      <c r="M1200" s="50">
        <f>'Raw Data'!N109/M$1</f>
        <v>3.2765399737876799</v>
      </c>
      <c r="N1200" s="50">
        <f>'Raw Data'!O109/N$1</f>
        <v>3.238503595816602</v>
      </c>
      <c r="O1200" s="50">
        <f>'Raw Data'!P109/O$1</f>
        <v>3.1642195184779158</v>
      </c>
      <c r="P1200" s="50">
        <f t="shared" si="303"/>
        <v>3.3106567166730656</v>
      </c>
      <c r="Q1200" s="50">
        <f t="shared" si="304"/>
        <v>3.4000806343233436</v>
      </c>
    </row>
    <row r="1201" spans="1:17">
      <c r="A1201" s="101" t="s">
        <v>4</v>
      </c>
      <c r="B1201" s="210">
        <v>6</v>
      </c>
      <c r="C1201" s="101">
        <v>2025</v>
      </c>
      <c r="D1201" s="101" t="s">
        <v>213</v>
      </c>
      <c r="E1201" s="101" t="s">
        <v>213</v>
      </c>
      <c r="F1201" s="194">
        <v>45839</v>
      </c>
      <c r="G1201" s="210">
        <f t="shared" si="300"/>
        <v>31</v>
      </c>
      <c r="H1201" s="190">
        <f t="shared" si="305"/>
        <v>45850</v>
      </c>
      <c r="I1201" s="211">
        <f>_xlfn.XLOOKUP(Table12[[#This Row],[Month Year]],'Modelling New'!D:D,'Modelling New'!N:N)</f>
        <v>10.507</v>
      </c>
      <c r="J1201" s="166">
        <f>'Raw Data'!K110/J$1</f>
        <v>3.312785675347004</v>
      </c>
      <c r="K1201" s="50">
        <f>'Raw Data'!L110/K$1</f>
        <v>3.3491518027600504</v>
      </c>
      <c r="L1201" s="50">
        <f>'Raw Data'!M110/L$1</f>
        <v>3.3933611073780408</v>
      </c>
      <c r="M1201" s="50">
        <f>'Raw Data'!N110/M$1</f>
        <v>3.3437510501730685</v>
      </c>
      <c r="N1201" s="50">
        <f>'Raw Data'!O110/N$1</f>
        <v>3.238503595816602</v>
      </c>
      <c r="O1201" s="50">
        <f>'Raw Data'!P110/O$1</f>
        <v>3.1642195184779158</v>
      </c>
      <c r="P1201" s="50">
        <f t="shared" ref="P1201:P1212" si="306">IFERROR(AVERAGEIF(J1201:O1201,"&gt;"&amp;0,J1201:O1201),"")</f>
        <v>3.3002954583254471</v>
      </c>
      <c r="Q1201" s="50">
        <f t="shared" ref="Q1201:Q1212" si="307">MAXA(J1201:O1201)</f>
        <v>3.3933611073780408</v>
      </c>
    </row>
    <row r="1202" spans="1:17">
      <c r="A1202" s="101" t="s">
        <v>4</v>
      </c>
      <c r="B1202" s="210">
        <v>6</v>
      </c>
      <c r="C1202" s="101">
        <v>2025</v>
      </c>
      <c r="D1202" s="101" t="s">
        <v>213</v>
      </c>
      <c r="E1202" s="101" t="s">
        <v>213</v>
      </c>
      <c r="F1202" s="194">
        <v>45839</v>
      </c>
      <c r="G1202" s="210">
        <f t="shared" si="300"/>
        <v>31</v>
      </c>
      <c r="H1202" s="190">
        <f t="shared" si="305"/>
        <v>45851</v>
      </c>
      <c r="I1202" s="211">
        <f>_xlfn.XLOOKUP(Table12[[#This Row],[Month Year]],'Modelling New'!D:D,'Modelling New'!N:N)</f>
        <v>10.507</v>
      </c>
      <c r="J1202" s="166">
        <f>'Raw Data'!K111/J$1</f>
        <v>3.4865122297503728</v>
      </c>
      <c r="K1202" s="50">
        <f>'Raw Data'!L111/K$1</f>
        <v>3.6218840342551686</v>
      </c>
      <c r="L1202" s="50">
        <f>'Raw Data'!M111/L$1</f>
        <v>3.6509429736146579</v>
      </c>
      <c r="M1202" s="50">
        <f>'Raw Data'!N111/M$1</f>
        <v>3.6125953557146215</v>
      </c>
      <c r="N1202" s="50">
        <f>'Raw Data'!O111/N$1</f>
        <v>3.4483540915175026</v>
      </c>
      <c r="O1202" s="50">
        <f>'Raw Data'!P111/O$1</f>
        <v>3.1642195184779158</v>
      </c>
      <c r="P1202" s="50">
        <f t="shared" si="306"/>
        <v>3.4974180338883727</v>
      </c>
      <c r="Q1202" s="50">
        <f t="shared" si="307"/>
        <v>3.6509429736146579</v>
      </c>
    </row>
    <row r="1203" spans="1:17">
      <c r="A1203" s="101" t="s">
        <v>4</v>
      </c>
      <c r="B1203" s="210">
        <v>6</v>
      </c>
      <c r="C1203" s="101">
        <v>2025</v>
      </c>
      <c r="D1203" s="101" t="s">
        <v>213</v>
      </c>
      <c r="E1203" s="101" t="s">
        <v>213</v>
      </c>
      <c r="F1203" s="194">
        <v>45839</v>
      </c>
      <c r="G1203" s="210">
        <f t="shared" si="300"/>
        <v>31</v>
      </c>
      <c r="H1203" s="190">
        <f t="shared" si="305"/>
        <v>45852</v>
      </c>
      <c r="I1203" s="211">
        <f>_xlfn.XLOOKUP(Table12[[#This Row],[Month Year]],'Modelling New'!D:D,'Modelling New'!N:N)</f>
        <v>10.507</v>
      </c>
      <c r="J1203" s="166">
        <f>'Raw Data'!K112/J$1</f>
        <v>2.7478748449939796</v>
      </c>
      <c r="K1203" s="50">
        <f>'Raw Data'!L112/K$1</f>
        <v>2.7049582719685814</v>
      </c>
      <c r="L1203" s="50">
        <f>'Raw Data'!M112/L$1</f>
        <v>2.7449267571562963</v>
      </c>
      <c r="M1203" s="50">
        <f>'Raw Data'!N112/M$1</f>
        <v>2.7304499781564</v>
      </c>
      <c r="N1203" s="50">
        <f>'Raw Data'!O112/N$1</f>
        <v>2.6231311962612582</v>
      </c>
      <c r="O1203" s="50">
        <f>'Raw Data'!P112/O$1</f>
        <v>3.1642195184779158</v>
      </c>
      <c r="P1203" s="50">
        <f t="shared" si="306"/>
        <v>2.7859267611690721</v>
      </c>
      <c r="Q1203" s="50">
        <f t="shared" si="307"/>
        <v>3.1642195184779158</v>
      </c>
    </row>
    <row r="1204" spans="1:17">
      <c r="A1204" s="101" t="s">
        <v>4</v>
      </c>
      <c r="B1204" s="210">
        <v>6</v>
      </c>
      <c r="C1204" s="101">
        <v>2025</v>
      </c>
      <c r="D1204" s="101" t="s">
        <v>213</v>
      </c>
      <c r="E1204" s="101" t="s">
        <v>213</v>
      </c>
      <c r="F1204" s="194">
        <v>45839</v>
      </c>
      <c r="G1204" s="210">
        <f t="shared" si="300"/>
        <v>31</v>
      </c>
      <c r="H1204" s="190">
        <f t="shared" si="305"/>
        <v>45853</v>
      </c>
      <c r="I1204" s="211">
        <f>_xlfn.XLOOKUP(Table12[[#This Row],[Month Year]],'Modelling New'!D:D,'Modelling New'!N:N)</f>
        <v>10.507</v>
      </c>
      <c r="J1204" s="166">
        <f>'Raw Data'!K113/J$1</f>
        <v>3.0659741566773899</v>
      </c>
      <c r="K1204" s="50">
        <f>'Raw Data'!L113/K$1</f>
        <v>3.0682376043200787</v>
      </c>
      <c r="L1204" s="50">
        <f>'Raw Data'!M113/L$1</f>
        <v>3.0641042870581914</v>
      </c>
      <c r="M1204" s="50">
        <f>'Raw Data'!N113/M$1</f>
        <v>2.9908928991497796</v>
      </c>
      <c r="N1204" s="50">
        <f>'Raw Data'!O113/N$1</f>
        <v>2.8613398670568748</v>
      </c>
      <c r="O1204" s="50">
        <f>'Raw Data'!P113/O$1</f>
        <v>3.1642195184779158</v>
      </c>
      <c r="P1204" s="50">
        <f t="shared" si="306"/>
        <v>3.0357947221233714</v>
      </c>
      <c r="Q1204" s="50">
        <f t="shared" si="307"/>
        <v>3.1642195184779158</v>
      </c>
    </row>
    <row r="1205" spans="1:17">
      <c r="A1205" s="101" t="s">
        <v>4</v>
      </c>
      <c r="B1205" s="210">
        <v>6</v>
      </c>
      <c r="C1205" s="101">
        <v>2025</v>
      </c>
      <c r="D1205" s="101" t="s">
        <v>213</v>
      </c>
      <c r="E1205" s="101" t="s">
        <v>213</v>
      </c>
      <c r="F1205" s="194">
        <v>45839</v>
      </c>
      <c r="G1205" s="210">
        <f t="shared" si="300"/>
        <v>31</v>
      </c>
      <c r="H1205" s="190">
        <f t="shared" si="305"/>
        <v>45854</v>
      </c>
      <c r="I1205" s="211">
        <f>_xlfn.XLOOKUP(Table12[[#This Row],[Month Year]],'Modelling New'!D:D,'Modelling New'!N:N)</f>
        <v>10.507</v>
      </c>
      <c r="J1205" s="166">
        <f>'Raw Data'!K114/J$1</f>
        <v>3.9370031570308335</v>
      </c>
      <c r="K1205" s="50">
        <f>'Raw Data'!L114/K$1</f>
        <v>3.7331587847051764</v>
      </c>
      <c r="L1205" s="50">
        <f>'Raw Data'!M114/L$1</f>
        <v>3.8547686242888504</v>
      </c>
      <c r="M1205" s="50">
        <f>'Raw Data'!N114/M$1</f>
        <v>3.8383125539088838</v>
      </c>
      <c r="N1205" s="50">
        <f>'Raw Data'!O114/N$1</f>
        <v>3.9094580185575896</v>
      </c>
      <c r="O1205" s="50">
        <f>'Raw Data'!P114/O$1</f>
        <v>3.1642195184779158</v>
      </c>
      <c r="P1205" s="50">
        <f t="shared" si="306"/>
        <v>3.7394867761615416</v>
      </c>
      <c r="Q1205" s="50">
        <f t="shared" si="307"/>
        <v>3.9370031570308335</v>
      </c>
    </row>
    <row r="1206" spans="1:17">
      <c r="A1206" s="101" t="s">
        <v>4</v>
      </c>
      <c r="B1206" s="210">
        <v>6</v>
      </c>
      <c r="C1206" s="101">
        <v>2025</v>
      </c>
      <c r="D1206" s="101" t="s">
        <v>213</v>
      </c>
      <c r="E1206" s="101" t="s">
        <v>213</v>
      </c>
      <c r="F1206" s="194">
        <v>45839</v>
      </c>
      <c r="G1206" s="210">
        <f t="shared" si="300"/>
        <v>31</v>
      </c>
      <c r="H1206" s="190">
        <f t="shared" si="305"/>
        <v>45855</v>
      </c>
      <c r="I1206" s="211">
        <f>_xlfn.XLOOKUP(Table12[[#This Row],[Month Year]],'Modelling New'!D:D,'Modelling New'!N:N)</f>
        <v>10.507</v>
      </c>
      <c r="J1206" s="166">
        <f>'Raw Data'!K115/J$1</f>
        <v>3.0557901862468477</v>
      </c>
      <c r="K1206" s="50">
        <f>'Raw Data'!L115/K$1</f>
        <v>3.0922380406916492</v>
      </c>
      <c r="L1206" s="50">
        <f>'Raw Data'!M115/L$1</f>
        <v>3.0965820006271558</v>
      </c>
      <c r="M1206" s="50">
        <f>'Raw Data'!N115/M$1</f>
        <v>3.0614645293544376</v>
      </c>
      <c r="N1206" s="50">
        <f>'Raw Data'!O115/N$1</f>
        <v>2.9917874724925699</v>
      </c>
      <c r="O1206" s="50">
        <f>'Raw Data'!P115/O$1</f>
        <v>3.1642195184779158</v>
      </c>
      <c r="P1206" s="50">
        <f t="shared" si="306"/>
        <v>3.0770136246484294</v>
      </c>
      <c r="Q1206" s="50">
        <f t="shared" si="307"/>
        <v>3.1642195184779158</v>
      </c>
    </row>
    <row r="1207" spans="1:17">
      <c r="A1207" s="101" t="s">
        <v>4</v>
      </c>
      <c r="B1207" s="210">
        <v>6</v>
      </c>
      <c r="C1207" s="101">
        <v>2025</v>
      </c>
      <c r="D1207" s="101" t="s">
        <v>213</v>
      </c>
      <c r="E1207" s="101" t="s">
        <v>213</v>
      </c>
      <c r="F1207" s="194">
        <v>45839</v>
      </c>
      <c r="G1207" s="210">
        <f t="shared" si="300"/>
        <v>31</v>
      </c>
      <c r="H1207" s="190">
        <f t="shared" si="305"/>
        <v>45856</v>
      </c>
      <c r="I1207" s="211">
        <f>_xlfn.XLOOKUP(Table12[[#This Row],[Month Year]],'Modelling New'!D:D,'Modelling New'!N:N)</f>
        <v>10.507</v>
      </c>
      <c r="J1207" s="166">
        <f>'Raw Data'!K116/J$1</f>
        <v>1.8097514512157864</v>
      </c>
      <c r="K1207" s="50">
        <f>'Raw Data'!L116/K$1</f>
        <v>1.8234876997763596</v>
      </c>
      <c r="L1207" s="50">
        <f>'Raw Data'!M116/L$1</f>
        <v>1.8540294763248668</v>
      </c>
      <c r="M1207" s="50">
        <f>'Raw Data'!N116/M$1</f>
        <v>1.8186197085279654</v>
      </c>
      <c r="N1207" s="50">
        <f>'Raw Data'!O116/N$1</f>
        <v>1.747997912838313</v>
      </c>
      <c r="O1207" s="50">
        <f>'Raw Data'!P116/O$1</f>
        <v>3.1642195184779158</v>
      </c>
      <c r="P1207" s="50">
        <f t="shared" si="306"/>
        <v>2.0363509611935346</v>
      </c>
      <c r="Q1207" s="50">
        <f t="shared" si="307"/>
        <v>3.1642195184779158</v>
      </c>
    </row>
    <row r="1208" spans="1:17">
      <c r="A1208" s="101" t="s">
        <v>4</v>
      </c>
      <c r="B1208" s="210">
        <v>6</v>
      </c>
      <c r="C1208" s="101">
        <v>2025</v>
      </c>
      <c r="D1208" s="101" t="s">
        <v>213</v>
      </c>
      <c r="E1208" s="101" t="s">
        <v>213</v>
      </c>
      <c r="F1208" s="194">
        <v>45839</v>
      </c>
      <c r="G1208" s="210">
        <f t="shared" si="300"/>
        <v>31</v>
      </c>
      <c r="H1208" s="190">
        <f t="shared" si="305"/>
        <v>45857</v>
      </c>
      <c r="I1208" s="211">
        <f>_xlfn.XLOOKUP(Table12[[#This Row],[Month Year]],'Modelling New'!D:D,'Modelling New'!N:N)</f>
        <v>10.507</v>
      </c>
      <c r="J1208" s="166">
        <f>'Raw Data'!K117/J$1</f>
        <v>2.9186061139766011</v>
      </c>
      <c r="K1208" s="50">
        <f>'Raw Data'!L117/K$1</f>
        <v>3.1091474390443463</v>
      </c>
      <c r="L1208" s="50">
        <f>'Raw Data'!M117/L$1</f>
        <v>3.1206603055144919</v>
      </c>
      <c r="M1208" s="50">
        <f>'Raw Data'!N117/M$1</f>
        <v>3.0821879445732656</v>
      </c>
      <c r="N1208" s="50">
        <f>'Raw Data'!O117/N$1</f>
        <v>2.9713695864243741</v>
      </c>
      <c r="O1208" s="50">
        <f>'Raw Data'!P117/O$1</f>
        <v>3.1642195184779158</v>
      </c>
      <c r="P1208" s="50">
        <f t="shared" si="306"/>
        <v>3.0610318180018319</v>
      </c>
      <c r="Q1208" s="50">
        <f t="shared" si="307"/>
        <v>3.1642195184779158</v>
      </c>
    </row>
    <row r="1209" spans="1:17">
      <c r="A1209" s="101" t="s">
        <v>4</v>
      </c>
      <c r="B1209" s="210">
        <v>6</v>
      </c>
      <c r="C1209" s="101">
        <v>2025</v>
      </c>
      <c r="D1209" s="101" t="s">
        <v>213</v>
      </c>
      <c r="E1209" s="101" t="s">
        <v>213</v>
      </c>
      <c r="F1209" s="194">
        <v>45839</v>
      </c>
      <c r="G1209" s="210">
        <f t="shared" si="300"/>
        <v>31</v>
      </c>
      <c r="H1209" s="190">
        <f t="shared" si="305"/>
        <v>45858</v>
      </c>
      <c r="I1209" s="211">
        <f>_xlfn.XLOOKUP(Table12[[#This Row],[Month Year]],'Modelling New'!D:D,'Modelling New'!N:N)</f>
        <v>10.507</v>
      </c>
      <c r="J1209" s="166">
        <f>'Raw Data'!K118/J$1</f>
        <v>2.8664881476555903</v>
      </c>
      <c r="K1209" s="50">
        <f>'Raw Data'!L118/K$1</f>
        <v>2.7420498554519175</v>
      </c>
      <c r="L1209" s="50">
        <f>'Raw Data'!M118/L$1</f>
        <v>2.922434260628052</v>
      </c>
      <c r="M1209" s="50">
        <f>'Raw Data'!N118/M$1</f>
        <v>2.8783143462042542</v>
      </c>
      <c r="N1209" s="50">
        <f>'Raw Data'!O118/N$1</f>
        <v>2.7762653417727261</v>
      </c>
      <c r="O1209" s="50">
        <f>'Raw Data'!P118/O$1</f>
        <v>3.1642195184779158</v>
      </c>
      <c r="P1209" s="50">
        <f t="shared" si="306"/>
        <v>2.8916285783650757</v>
      </c>
      <c r="Q1209" s="50">
        <f t="shared" si="307"/>
        <v>3.1642195184779158</v>
      </c>
    </row>
    <row r="1210" spans="1:17">
      <c r="A1210" s="101" t="s">
        <v>4</v>
      </c>
      <c r="B1210" s="210">
        <v>6</v>
      </c>
      <c r="C1210" s="101">
        <v>2025</v>
      </c>
      <c r="D1210" s="101" t="s">
        <v>213</v>
      </c>
      <c r="E1210" s="101" t="s">
        <v>213</v>
      </c>
      <c r="F1210" s="194">
        <v>45839</v>
      </c>
      <c r="G1210" s="210">
        <f t="shared" si="300"/>
        <v>31</v>
      </c>
      <c r="H1210" s="190">
        <f t="shared" si="305"/>
        <v>45859</v>
      </c>
      <c r="I1210" s="211">
        <f>_xlfn.XLOOKUP(Table12[[#This Row],[Month Year]],'Modelling New'!D:D,'Modelling New'!N:N)</f>
        <v>10.507</v>
      </c>
      <c r="J1210" s="166">
        <f>'Raw Data'!K119/J$1</f>
        <v>3.0456062158163051</v>
      </c>
      <c r="K1210" s="50">
        <f>'Raw Data'!L119/K$1</f>
        <v>3.0507827415043911</v>
      </c>
      <c r="L1210" s="50">
        <f>'Raw Data'!M119/L$1</f>
        <v>3.0848228284728756</v>
      </c>
      <c r="M1210" s="50">
        <f>'Raw Data'!N119/M$1</f>
        <v>3.017777329703935</v>
      </c>
      <c r="N1210" s="50">
        <f>'Raw Data'!O119/N$1</f>
        <v>2.9957576170058302</v>
      </c>
      <c r="O1210" s="50">
        <f>'Raw Data'!P119/O$1</f>
        <v>2.9886957928220981</v>
      </c>
      <c r="P1210" s="50">
        <f t="shared" si="306"/>
        <v>3.0305737542209061</v>
      </c>
      <c r="Q1210" s="50">
        <f t="shared" si="307"/>
        <v>3.0848228284728756</v>
      </c>
    </row>
    <row r="1211" spans="1:17">
      <c r="A1211" s="101" t="s">
        <v>4</v>
      </c>
      <c r="B1211" s="210">
        <v>6</v>
      </c>
      <c r="C1211" s="101">
        <v>2025</v>
      </c>
      <c r="D1211" s="101" t="s">
        <v>213</v>
      </c>
      <c r="E1211" s="101" t="s">
        <v>213</v>
      </c>
      <c r="F1211" s="194">
        <v>45839</v>
      </c>
      <c r="G1211" s="210">
        <f t="shared" si="300"/>
        <v>31</v>
      </c>
      <c r="H1211" s="190">
        <f t="shared" si="305"/>
        <v>45860</v>
      </c>
      <c r="I1211" s="211">
        <f>_xlfn.XLOOKUP(Table12[[#This Row],[Month Year]],'Modelling New'!D:D,'Modelling New'!N:N)</f>
        <v>10.507</v>
      </c>
      <c r="J1211" s="166">
        <f>'Raw Data'!K120/J$1</f>
        <v>2.888054202684974</v>
      </c>
      <c r="K1211" s="50">
        <f>'Raw Data'!L120/K$1</f>
        <v>3.0507827415043911</v>
      </c>
      <c r="L1211" s="50">
        <f>'Raw Data'!M120/L$1</f>
        <v>3.0848228284728756</v>
      </c>
      <c r="M1211" s="50">
        <f>'Raw Data'!N120/M$1</f>
        <v>3.017777329703935</v>
      </c>
      <c r="N1211" s="50">
        <f>'Raw Data'!O120/N$1</f>
        <v>2.7995190453503933</v>
      </c>
      <c r="O1211" s="50">
        <f>'Raw Data'!P120/O$1</f>
        <v>2.7880116696319992</v>
      </c>
      <c r="P1211" s="50">
        <f t="shared" si="306"/>
        <v>2.938161302891428</v>
      </c>
      <c r="Q1211" s="50">
        <f t="shared" si="307"/>
        <v>3.0848228284728756</v>
      </c>
    </row>
    <row r="1212" spans="1:17">
      <c r="A1212" s="101" t="s">
        <v>4</v>
      </c>
      <c r="B1212" s="210">
        <v>6</v>
      </c>
      <c r="C1212" s="101">
        <v>2025</v>
      </c>
      <c r="D1212" s="101" t="s">
        <v>213</v>
      </c>
      <c r="E1212" s="101" t="s">
        <v>213</v>
      </c>
      <c r="F1212" s="194">
        <v>45839</v>
      </c>
      <c r="G1212" s="210">
        <f t="shared" si="300"/>
        <v>31</v>
      </c>
      <c r="H1212" s="190">
        <f t="shared" si="305"/>
        <v>45861</v>
      </c>
      <c r="I1212" s="211">
        <f>_xlfn.XLOOKUP(Table12[[#This Row],[Month Year]],'Modelling New'!D:D,'Modelling New'!N:N)</f>
        <v>10.507</v>
      </c>
      <c r="J1212" s="166">
        <f>'Raw Data'!K121/J$1</f>
        <v>2.4621246158546448</v>
      </c>
      <c r="K1212" s="50">
        <f>'Raw Data'!L121/K$1</f>
        <v>2.531500572737686</v>
      </c>
      <c r="L1212" s="50">
        <f>'Raw Data'!M121/L$1</f>
        <v>2.5343815795368005</v>
      </c>
      <c r="M1212" s="50">
        <f>'Raw Data'!N121/M$1</f>
        <v>2.5142543491167344</v>
      </c>
      <c r="N1212" s="50">
        <f>'Raw Data'!O121/N$1</f>
        <v>2.4456090201683338</v>
      </c>
      <c r="O1212" s="50">
        <f>'Raw Data'!P121/O$1</f>
        <v>2.4130019349543819</v>
      </c>
      <c r="P1212" s="50">
        <f t="shared" si="306"/>
        <v>2.4834786787280971</v>
      </c>
      <c r="Q1212" s="50">
        <f t="shared" si="307"/>
        <v>2.5343815795368005</v>
      </c>
    </row>
    <row r="1213" spans="1:17">
      <c r="A1213" s="101" t="s">
        <v>4</v>
      </c>
      <c r="B1213" s="210">
        <v>6</v>
      </c>
      <c r="C1213" s="101">
        <v>2025</v>
      </c>
      <c r="D1213" s="101" t="s">
        <v>213</v>
      </c>
      <c r="E1213" s="101" t="s">
        <v>213</v>
      </c>
      <c r="F1213" s="194">
        <v>45839</v>
      </c>
      <c r="G1213" s="210">
        <f t="shared" si="300"/>
        <v>31</v>
      </c>
      <c r="H1213" s="190">
        <f t="shared" si="305"/>
        <v>45862</v>
      </c>
      <c r="I1213" s="211">
        <f>_xlfn.XLOOKUP(Table12[[#This Row],[Month Year]],'Modelling New'!D:D,'Modelling New'!N:N)</f>
        <v>10.507</v>
      </c>
      <c r="J1213" s="166">
        <f>'Raw Data'!K122/J$1</f>
        <v>1.7013221189847181</v>
      </c>
      <c r="K1213" s="50">
        <f>'Raw Data'!L122/K$1</f>
        <v>1.7023945889925272</v>
      </c>
      <c r="L1213" s="50">
        <f>'Raw Data'!M122/L$1</f>
        <v>1.6972405142677955</v>
      </c>
      <c r="M1213" s="50">
        <f>'Raw Data'!N122/M$1</f>
        <v>1.7082815247952863</v>
      </c>
      <c r="N1213" s="50">
        <f>'Raw Data'!O122/N$1</f>
        <v>1.6561174255314322</v>
      </c>
      <c r="O1213" s="50">
        <f>'Raw Data'!P122/O$1</f>
        <v>1.6354258397282677</v>
      </c>
      <c r="P1213" s="50">
        <f t="shared" ref="P1213:P1214" si="308">IFERROR(AVERAGEIF(J1213:O1213,"&gt;"&amp;0,J1213:O1213),"")</f>
        <v>1.6834636687166711</v>
      </c>
      <c r="Q1213" s="50">
        <f t="shared" ref="Q1213:Q1214" si="309">MAXA(J1213:O1213)</f>
        <v>1.7082815247952863</v>
      </c>
    </row>
    <row r="1214" spans="1:17">
      <c r="A1214" s="101" t="s">
        <v>4</v>
      </c>
      <c r="B1214" s="210">
        <v>6</v>
      </c>
      <c r="C1214" s="101">
        <v>2025</v>
      </c>
      <c r="D1214" s="101" t="s">
        <v>213</v>
      </c>
      <c r="E1214" s="101" t="s">
        <v>213</v>
      </c>
      <c r="F1214" s="194">
        <v>45839</v>
      </c>
      <c r="G1214" s="210">
        <f t="shared" si="300"/>
        <v>31</v>
      </c>
      <c r="H1214" s="190">
        <f t="shared" si="305"/>
        <v>45863</v>
      </c>
      <c r="I1214" s="211">
        <f>_xlfn.XLOOKUP(Table12[[#This Row],[Month Year]],'Modelling New'!D:D,'Modelling New'!N:N)</f>
        <v>10.507</v>
      </c>
      <c r="J1214" s="166">
        <f>'Raw Data'!K123/J$1</f>
        <v>1.6312324401392209</v>
      </c>
      <c r="K1214" s="50">
        <f>'Raw Data'!L123/K$1</f>
        <v>1.6167566683030601</v>
      </c>
      <c r="L1214" s="50">
        <f>'Raw Data'!M123/L$1</f>
        <v>1.6238856784482374</v>
      </c>
      <c r="M1214" s="50">
        <f>'Raw Data'!N123/M$1</f>
        <v>1.6186667562814352</v>
      </c>
      <c r="N1214" s="50">
        <f>'Raw Data'!O123/N$1</f>
        <v>1.5823861702851698</v>
      </c>
      <c r="O1214" s="50">
        <f>'Raw Data'!P123/O$1</f>
        <v>1.5455672771058355</v>
      </c>
      <c r="P1214" s="50">
        <f t="shared" si="308"/>
        <v>1.6030824984271597</v>
      </c>
      <c r="Q1214" s="50">
        <f t="shared" si="309"/>
        <v>1.6312324401392209</v>
      </c>
    </row>
    <row r="1215" spans="1:17">
      <c r="A1215" s="101" t="s">
        <v>4</v>
      </c>
      <c r="B1215" s="210">
        <v>6</v>
      </c>
      <c r="C1215" s="101">
        <v>2025</v>
      </c>
      <c r="D1215" s="101" t="s">
        <v>213</v>
      </c>
      <c r="E1215" s="101" t="s">
        <v>213</v>
      </c>
      <c r="F1215" s="194">
        <v>45839</v>
      </c>
      <c r="G1215" s="210">
        <f t="shared" si="300"/>
        <v>31</v>
      </c>
      <c r="H1215" s="190">
        <f t="shared" si="305"/>
        <v>45864</v>
      </c>
      <c r="I1215" s="211">
        <f>_xlfn.XLOOKUP(Table12[[#This Row],[Month Year]],'Modelling New'!D:D,'Modelling New'!N:N)</f>
        <v>10.507</v>
      </c>
      <c r="J1215" s="166">
        <f>'Raw Data'!K124/J$1</f>
        <v>2.4142000491226812</v>
      </c>
      <c r="K1215" s="50">
        <f>'Raw Data'!L124/K$1</f>
        <v>2.3580428735067911</v>
      </c>
      <c r="L1215" s="50">
        <f>'Raw Data'!M124/L$1</f>
        <v>2.4319087936209294</v>
      </c>
      <c r="M1215" s="50">
        <f>'Raw Data'!N124/M$1</f>
        <v>2.3820725655588042</v>
      </c>
      <c r="N1215" s="50">
        <f>'Raw Data'!O124/N$1</f>
        <v>2.3140270877288502</v>
      </c>
      <c r="O1215" s="50">
        <f>'Raw Data'!P124/O$1</f>
        <v>2.3027754314708648</v>
      </c>
      <c r="P1215" s="50">
        <f t="shared" ref="P1215:P1216" si="310">IFERROR(AVERAGEIF(J1215:O1215,"&gt;"&amp;0,J1215:O1215),"")</f>
        <v>2.3671711335014867</v>
      </c>
      <c r="Q1215" s="50">
        <f t="shared" ref="Q1215:Q1216" si="311">MAXA(J1215:O1215)</f>
        <v>2.4319087936209294</v>
      </c>
    </row>
    <row r="1216" spans="1:17">
      <c r="A1216" s="101" t="s">
        <v>4</v>
      </c>
      <c r="B1216" s="210">
        <v>6</v>
      </c>
      <c r="C1216" s="101">
        <v>2025</v>
      </c>
      <c r="D1216" s="101" t="s">
        <v>213</v>
      </c>
      <c r="E1216" s="101" t="s">
        <v>213</v>
      </c>
      <c r="F1216" s="194">
        <v>45839</v>
      </c>
      <c r="G1216" s="210">
        <f t="shared" si="300"/>
        <v>31</v>
      </c>
      <c r="H1216" s="190">
        <f t="shared" si="305"/>
        <v>45865</v>
      </c>
      <c r="I1216" s="211">
        <f>_xlfn.XLOOKUP(Table12[[#This Row],[Month Year]],'Modelling New'!D:D,'Modelling New'!N:N)</f>
        <v>10.507</v>
      </c>
      <c r="J1216" s="166">
        <f>'Raw Data'!K126/J$1</f>
        <v>2.4699123579485889</v>
      </c>
      <c r="K1216" s="50">
        <f>'Raw Data'!L126/K$1</f>
        <v>2.4840451644575356</v>
      </c>
      <c r="L1216" s="50">
        <f>'Raw Data'!M126/L$1</f>
        <v>2.4705460735564215</v>
      </c>
      <c r="M1216" s="50">
        <f>'Raw Data'!N126/M$1</f>
        <v>2.4408822573960189</v>
      </c>
      <c r="N1216" s="50">
        <f>'Raw Data'!O126/N$1</f>
        <v>2.3939971414959502</v>
      </c>
      <c r="O1216" s="50">
        <f>'Raw Data'!P126/O$1</f>
        <v>2.3638792540541189</v>
      </c>
      <c r="P1216" s="50">
        <f t="shared" si="310"/>
        <v>2.4372103748181058</v>
      </c>
      <c r="Q1216" s="50">
        <f t="shared" si="311"/>
        <v>2.4840451644575356</v>
      </c>
    </row>
    <row r="1217" spans="1:17">
      <c r="A1217" s="101" t="s">
        <v>4</v>
      </c>
      <c r="B1217" s="210">
        <v>6</v>
      </c>
      <c r="C1217" s="101">
        <v>2025</v>
      </c>
      <c r="D1217" s="101" t="s">
        <v>213</v>
      </c>
      <c r="E1217" s="101" t="s">
        <v>213</v>
      </c>
      <c r="F1217" s="194">
        <v>45839</v>
      </c>
      <c r="G1217" s="210">
        <f t="shared" si="300"/>
        <v>31</v>
      </c>
      <c r="H1217" s="190">
        <f t="shared" si="305"/>
        <v>45866</v>
      </c>
      <c r="I1217" s="211">
        <f>_xlfn.XLOOKUP(Table12[[#This Row],[Month Year]],'Modelling New'!D:D,'Modelling New'!N:N)</f>
        <v>10.507</v>
      </c>
      <c r="J1217" s="166">
        <f>'Raw Data'!K127/J$1</f>
        <v>3.2349082544075625</v>
      </c>
      <c r="K1217" s="50">
        <f>'Raw Data'!L127/K$1</f>
        <v>3.2618774886816126</v>
      </c>
      <c r="L1217" s="50">
        <f>'Raw Data'!M127/L$1</f>
        <v>3.272409622362586</v>
      </c>
      <c r="M1217" s="50">
        <f>'Raw Data'!N127/M$1</f>
        <v>3.205408251279811</v>
      </c>
      <c r="N1217" s="50">
        <f>'Raw Data'!O127/N$1</f>
        <v>3.1647723405703396</v>
      </c>
      <c r="O1217" s="50">
        <f>'Raw Data'!P127/O$1</f>
        <v>3.1091062667361573</v>
      </c>
      <c r="P1217" s="50">
        <f t="shared" ref="P1217" si="312">IFERROR(AVERAGEIF(J1217:O1217,"&gt;"&amp;0,J1217:O1217),"")</f>
        <v>3.2080803706730117</v>
      </c>
      <c r="Q1217" s="50">
        <f t="shared" ref="Q1217" si="313">MAXA(J1217:O1217)</f>
        <v>3.272409622362586</v>
      </c>
    </row>
    <row r="1218" spans="1:17">
      <c r="A1218" s="101" t="s">
        <v>4</v>
      </c>
      <c r="B1218" s="210">
        <v>6</v>
      </c>
      <c r="C1218" s="101">
        <v>2025</v>
      </c>
      <c r="D1218" s="101" t="s">
        <v>213</v>
      </c>
      <c r="E1218" s="101" t="s">
        <v>213</v>
      </c>
      <c r="F1218" s="194">
        <v>45839</v>
      </c>
      <c r="G1218" s="210">
        <f t="shared" si="300"/>
        <v>31</v>
      </c>
      <c r="H1218" s="190">
        <f t="shared" si="305"/>
        <v>45867</v>
      </c>
      <c r="I1218" s="211">
        <f>_xlfn.XLOOKUP(Table12[[#This Row],[Month Year]],'Modelling New'!D:D,'Modelling New'!N:N)</f>
        <v>10.507</v>
      </c>
      <c r="J1218" s="166">
        <f>'Raw Data'!K128/J$1</f>
        <v>2.1092799932905608</v>
      </c>
      <c r="K1218" s="50">
        <f>'Raw Data'!L128/K$1</f>
        <v>2.0836742486227022</v>
      </c>
      <c r="L1218" s="50">
        <f>'Raw Data'!M128/L$1</f>
        <v>2.1054517761949558</v>
      </c>
      <c r="M1218" s="50">
        <f>'Raw Data'!N128/M$1</f>
        <v>2.0891442909791533</v>
      </c>
      <c r="N1218" s="50">
        <f>'Raw Data'!O128/N$1</f>
        <v>2.0531318768574605</v>
      </c>
      <c r="O1218" s="50">
        <f>'Raw Data'!P128/O$1</f>
        <v>2.0314025723511193</v>
      </c>
      <c r="P1218" s="50">
        <f t="shared" ref="P1218:P1231" si="314">IFERROR(AVERAGEIF(J1218:O1218,"&gt;"&amp;0,J1218:O1218),"")</f>
        <v>2.0786807930493252</v>
      </c>
      <c r="Q1218" s="50">
        <f t="shared" ref="Q1218:Q1231" si="315">MAXA(J1218:O1218)</f>
        <v>2.1092799932905608</v>
      </c>
    </row>
    <row r="1219" spans="1:17">
      <c r="A1219" s="101" t="s">
        <v>4</v>
      </c>
      <c r="B1219" s="210">
        <v>6</v>
      </c>
      <c r="C1219" s="101">
        <v>2025</v>
      </c>
      <c r="D1219" s="101" t="s">
        <v>213</v>
      </c>
      <c r="E1219" s="101" t="s">
        <v>213</v>
      </c>
      <c r="F1219" s="194">
        <v>45839</v>
      </c>
      <c r="G1219" s="210">
        <f t="shared" si="300"/>
        <v>31</v>
      </c>
      <c r="H1219" s="190">
        <f t="shared" si="305"/>
        <v>45868</v>
      </c>
      <c r="I1219" s="211">
        <f>_xlfn.XLOOKUP(Table12[[#This Row],[Month Year]],'Modelling New'!D:D,'Modelling New'!N:N)</f>
        <v>10.507</v>
      </c>
      <c r="J1219" s="166">
        <f>'Raw Data'!K129/J$1</f>
        <v>2.857502291393347</v>
      </c>
      <c r="K1219" s="50">
        <f>'Raw Data'!L129/K$1</f>
        <v>2.847324496809033</v>
      </c>
      <c r="L1219" s="50">
        <f>'Raw Data'!M129/L$1</f>
        <v>2.9073153250011199</v>
      </c>
      <c r="M1219" s="50">
        <f>'Raw Data'!N129/M$1</f>
        <v>2.7836587469614993</v>
      </c>
      <c r="N1219" s="50">
        <f>'Raw Data'!O129/N$1</f>
        <v>2.7683250527462056</v>
      </c>
      <c r="O1219" s="50">
        <f>'Raw Data'!P129/O$1</f>
        <v>2.7197191620389507</v>
      </c>
      <c r="P1219" s="50">
        <f t="shared" si="314"/>
        <v>2.8139741791583597</v>
      </c>
      <c r="Q1219" s="50">
        <f t="shared" si="315"/>
        <v>2.9073153250011199</v>
      </c>
    </row>
    <row r="1220" spans="1:17">
      <c r="A1220" s="101" t="s">
        <v>4</v>
      </c>
      <c r="B1220" s="210">
        <v>6</v>
      </c>
      <c r="C1220" s="101">
        <v>2025</v>
      </c>
      <c r="D1220" s="101" t="s">
        <v>213</v>
      </c>
      <c r="E1220" s="101" t="s">
        <v>213</v>
      </c>
      <c r="F1220" s="194">
        <v>45839</v>
      </c>
      <c r="G1220" s="210">
        <f t="shared" si="300"/>
        <v>31</v>
      </c>
      <c r="H1220" s="190">
        <f t="shared" si="305"/>
        <v>45869</v>
      </c>
      <c r="I1220" s="211">
        <f>_xlfn.XLOOKUP(Table12[[#This Row],[Month Year]],'Modelling New'!D:D,'Modelling New'!N:N)</f>
        <v>10.507</v>
      </c>
      <c r="J1220" s="166">
        <f>'Raw Data'!K130/J$1</f>
        <v>4.0017013221189845</v>
      </c>
      <c r="K1220" s="50">
        <f>'Raw Data'!L130/K$1</f>
        <v>4.1138929798723618</v>
      </c>
      <c r="L1220" s="50">
        <f>'Raw Data'!M130/L$1</f>
        <v>4.1733861936119698</v>
      </c>
      <c r="M1220" s="50">
        <f>'Raw Data'!N130/M$1</f>
        <v>4.0606691982838772</v>
      </c>
      <c r="N1220" s="50">
        <f>'Raw Data'!O130/N$1</f>
        <v>4.0949204836770345</v>
      </c>
      <c r="O1220" s="50">
        <f>'Raw Data'!P130/O$1</f>
        <v>4.0400409755045557</v>
      </c>
      <c r="P1220" s="50">
        <f t="shared" si="314"/>
        <v>4.0807685255114645</v>
      </c>
      <c r="Q1220" s="50">
        <f t="shared" si="315"/>
        <v>4.1733861936119698</v>
      </c>
    </row>
    <row r="1221" spans="1:17">
      <c r="A1221" s="101" t="s">
        <v>4</v>
      </c>
      <c r="B1221" s="210">
        <v>6</v>
      </c>
      <c r="C1221" s="101">
        <v>2025</v>
      </c>
      <c r="D1221" s="101" t="s">
        <v>213</v>
      </c>
      <c r="E1221" s="101" t="s">
        <v>213</v>
      </c>
      <c r="F1221" s="194">
        <v>45870</v>
      </c>
      <c r="G1221" s="210">
        <f t="shared" si="300"/>
        <v>31</v>
      </c>
      <c r="H1221" s="190">
        <f t="shared" si="305"/>
        <v>45870</v>
      </c>
      <c r="I1221" s="211">
        <f>_xlfn.XLOOKUP(Table12[[#This Row],[Month Year]],'Modelling New'!D:D,'Modelling New'!N:N)</f>
        <v>10.507</v>
      </c>
      <c r="J1221" s="166">
        <f>'Raw Data'!K131/J$1</f>
        <v>3.5104745131163551</v>
      </c>
      <c r="K1221" s="50">
        <f>'Raw Data'!L131/K$1</f>
        <v>3.1876943217149405</v>
      </c>
      <c r="L1221" s="50">
        <f>'Raw Data'!M131/L$1</f>
        <v>3.4392778748376114</v>
      </c>
      <c r="M1221" s="50">
        <f>'Raw Data'!N131/M$1</f>
        <v>3.3717556653336467</v>
      </c>
      <c r="N1221" s="50">
        <f>'Raw Data'!O131/N$1</f>
        <v>3.4540257265364458</v>
      </c>
      <c r="O1221" s="50">
        <f>'Raw Data'!P131/O$1</f>
        <v>3.4086348088109317</v>
      </c>
      <c r="P1221" s="50">
        <f t="shared" si="314"/>
        <v>3.3953104850583213</v>
      </c>
      <c r="Q1221" s="50">
        <f t="shared" si="315"/>
        <v>3.5104745131163551</v>
      </c>
    </row>
    <row r="1222" spans="1:17">
      <c r="A1222" s="101" t="s">
        <v>4</v>
      </c>
      <c r="B1222" s="210">
        <v>6</v>
      </c>
      <c r="C1222" s="101">
        <v>2025</v>
      </c>
      <c r="D1222" s="101" t="s">
        <v>213</v>
      </c>
      <c r="E1222" s="101" t="s">
        <v>213</v>
      </c>
      <c r="F1222" s="194">
        <v>45870</v>
      </c>
      <c r="G1222" s="210">
        <f t="shared" si="300"/>
        <v>31</v>
      </c>
      <c r="H1222" s="190">
        <f t="shared" si="305"/>
        <v>45871</v>
      </c>
      <c r="I1222" s="211">
        <f>_xlfn.XLOOKUP(Table12[[#This Row],[Month Year]],'Modelling New'!D:D,'Modelling New'!N:N)</f>
        <v>10.507</v>
      </c>
      <c r="J1222" s="166">
        <f>'Raw Data'!K133/J$1</f>
        <v>0</v>
      </c>
      <c r="K1222" s="50">
        <f>'Raw Data'!L133/K$1</f>
        <v>0</v>
      </c>
      <c r="L1222" s="50">
        <f>'Raw Data'!M133/L$1</f>
        <v>0</v>
      </c>
      <c r="M1222" s="50">
        <f>'Raw Data'!N133/M$1</f>
        <v>0</v>
      </c>
      <c r="N1222" s="50">
        <f>'Raw Data'!O133/N$1</f>
        <v>0</v>
      </c>
      <c r="O1222" s="50">
        <f>'Raw Data'!P133/O$1</f>
        <v>0</v>
      </c>
      <c r="P1222" s="50" t="str">
        <f t="shared" si="314"/>
        <v/>
      </c>
      <c r="Q1222" s="50">
        <f t="shared" si="315"/>
        <v>0</v>
      </c>
    </row>
    <row r="1223" spans="1:17">
      <c r="A1223" s="101" t="s">
        <v>4</v>
      </c>
      <c r="B1223" s="210">
        <v>6</v>
      </c>
      <c r="C1223" s="101">
        <v>2025</v>
      </c>
      <c r="D1223" s="101" t="s">
        <v>213</v>
      </c>
      <c r="E1223" s="101" t="s">
        <v>213</v>
      </c>
      <c r="F1223" s="194">
        <v>45870</v>
      </c>
      <c r="G1223" s="210">
        <f t="shared" si="300"/>
        <v>31</v>
      </c>
      <c r="H1223" s="190">
        <f t="shared" si="305"/>
        <v>45872</v>
      </c>
      <c r="I1223" s="211">
        <f>_xlfn.XLOOKUP(Table12[[#This Row],[Month Year]],'Modelling New'!D:D,'Modelling New'!N:N)</f>
        <v>10.507</v>
      </c>
      <c r="J1223" s="166">
        <f>'Raw Data'!K134/J$1</f>
        <v>0</v>
      </c>
      <c r="K1223" s="50">
        <f>'Raw Data'!L134/K$1</f>
        <v>0</v>
      </c>
      <c r="L1223" s="50">
        <f>'Raw Data'!M134/L$1</f>
        <v>0</v>
      </c>
      <c r="M1223" s="50">
        <f>'Raw Data'!N134/M$1</f>
        <v>0</v>
      </c>
      <c r="N1223" s="50">
        <f>'Raw Data'!O134/N$1</f>
        <v>0</v>
      </c>
      <c r="O1223" s="50">
        <f>'Raw Data'!P134/O$1</f>
        <v>0</v>
      </c>
      <c r="P1223" s="50" t="str">
        <f t="shared" si="314"/>
        <v/>
      </c>
      <c r="Q1223" s="50">
        <f t="shared" si="315"/>
        <v>0</v>
      </c>
    </row>
    <row r="1224" spans="1:17">
      <c r="A1224" s="101" t="s">
        <v>4</v>
      </c>
      <c r="B1224" s="210">
        <v>6</v>
      </c>
      <c r="C1224" s="101">
        <v>2025</v>
      </c>
      <c r="D1224" s="101" t="s">
        <v>213</v>
      </c>
      <c r="E1224" s="101" t="s">
        <v>213</v>
      </c>
      <c r="F1224" s="194">
        <v>45870</v>
      </c>
      <c r="G1224" s="210">
        <f t="shared" si="300"/>
        <v>31</v>
      </c>
      <c r="H1224" s="190">
        <f t="shared" si="305"/>
        <v>45873</v>
      </c>
      <c r="I1224" s="211">
        <f>_xlfn.XLOOKUP(Table12[[#This Row],[Month Year]],'Modelling New'!D:D,'Modelling New'!N:N)</f>
        <v>10.507</v>
      </c>
      <c r="J1224" s="166">
        <f>'Raw Data'!K135/J$1</f>
        <v>0</v>
      </c>
      <c r="K1224" s="50">
        <f>'Raw Data'!L135/K$1</f>
        <v>0</v>
      </c>
      <c r="L1224" s="50">
        <f>'Raw Data'!M135/L$1</f>
        <v>0</v>
      </c>
      <c r="M1224" s="50">
        <f>'Raw Data'!N135/M$1</f>
        <v>0</v>
      </c>
      <c r="N1224" s="50">
        <f>'Raw Data'!O135/N$1</f>
        <v>0</v>
      </c>
      <c r="O1224" s="50">
        <f>'Raw Data'!P135/O$1</f>
        <v>0</v>
      </c>
      <c r="P1224" s="50" t="str">
        <f t="shared" si="314"/>
        <v/>
      </c>
      <c r="Q1224" s="50">
        <f t="shared" si="315"/>
        <v>0</v>
      </c>
    </row>
    <row r="1225" spans="1:17">
      <c r="A1225" s="101" t="s">
        <v>4</v>
      </c>
      <c r="B1225" s="210">
        <v>6</v>
      </c>
      <c r="C1225" s="101">
        <v>2025</v>
      </c>
      <c r="D1225" s="101" t="s">
        <v>213</v>
      </c>
      <c r="E1225" s="101" t="s">
        <v>213</v>
      </c>
      <c r="F1225" s="194">
        <v>45870</v>
      </c>
      <c r="G1225" s="210">
        <f t="shared" si="300"/>
        <v>31</v>
      </c>
      <c r="H1225" s="190">
        <f t="shared" si="305"/>
        <v>45874</v>
      </c>
      <c r="I1225" s="211">
        <f>_xlfn.XLOOKUP(Table12[[#This Row],[Month Year]],'Modelling New'!D:D,'Modelling New'!N:N)</f>
        <v>10.507</v>
      </c>
      <c r="J1225" s="166">
        <f>'Raw Data'!K136/J$1</f>
        <v>0</v>
      </c>
      <c r="K1225" s="50">
        <f>'Raw Data'!L136/K$1</f>
        <v>0</v>
      </c>
      <c r="L1225" s="50">
        <f>'Raw Data'!M136/L$1</f>
        <v>0</v>
      </c>
      <c r="M1225" s="50">
        <f>'Raw Data'!N136/M$1</f>
        <v>0</v>
      </c>
      <c r="N1225" s="50">
        <f>'Raw Data'!O136/N$1</f>
        <v>0</v>
      </c>
      <c r="O1225" s="50">
        <f>'Raw Data'!P136/O$1</f>
        <v>0</v>
      </c>
      <c r="P1225" s="50" t="str">
        <f t="shared" si="314"/>
        <v/>
      </c>
      <c r="Q1225" s="50">
        <f t="shared" si="315"/>
        <v>0</v>
      </c>
    </row>
    <row r="1226" spans="1:17">
      <c r="A1226" s="101" t="s">
        <v>4</v>
      </c>
      <c r="B1226" s="210">
        <v>6</v>
      </c>
      <c r="C1226" s="101">
        <v>2025</v>
      </c>
      <c r="D1226" s="101" t="s">
        <v>213</v>
      </c>
      <c r="E1226" s="101" t="s">
        <v>213</v>
      </c>
      <c r="F1226" s="194">
        <v>45870</v>
      </c>
      <c r="G1226" s="210">
        <f t="shared" si="300"/>
        <v>31</v>
      </c>
      <c r="H1226" s="190">
        <f t="shared" si="305"/>
        <v>45875</v>
      </c>
      <c r="I1226" s="211">
        <f>_xlfn.XLOOKUP(Table12[[#This Row],[Month Year]],'Modelling New'!D:D,'Modelling New'!N:N)</f>
        <v>10.507</v>
      </c>
      <c r="J1226" s="166">
        <f>'Raw Data'!K137/J$1</f>
        <v>0</v>
      </c>
      <c r="K1226" s="50">
        <f>'Raw Data'!L137/K$1</f>
        <v>0</v>
      </c>
      <c r="L1226" s="50">
        <f>'Raw Data'!M137/L$1</f>
        <v>0</v>
      </c>
      <c r="M1226" s="50">
        <f>'Raw Data'!N137/M$1</f>
        <v>0</v>
      </c>
      <c r="N1226" s="50">
        <f>'Raw Data'!O137/N$1</f>
        <v>0</v>
      </c>
      <c r="O1226" s="50">
        <f>'Raw Data'!P137/O$1</f>
        <v>0</v>
      </c>
      <c r="P1226" s="50" t="str">
        <f t="shared" si="314"/>
        <v/>
      </c>
      <c r="Q1226" s="50">
        <f t="shared" si="315"/>
        <v>0</v>
      </c>
    </row>
    <row r="1227" spans="1:17">
      <c r="A1227" s="101" t="s">
        <v>4</v>
      </c>
      <c r="B1227" s="210">
        <v>6</v>
      </c>
      <c r="C1227" s="101">
        <v>2025</v>
      </c>
      <c r="D1227" s="101" t="s">
        <v>213</v>
      </c>
      <c r="E1227" s="101" t="s">
        <v>213</v>
      </c>
      <c r="F1227" s="194">
        <v>45870</v>
      </c>
      <c r="G1227" s="210">
        <f t="shared" ref="G1227:G1237" si="316">DAY(EOMONTH(F1227,0))</f>
        <v>31</v>
      </c>
      <c r="H1227" s="190">
        <f t="shared" si="305"/>
        <v>45876</v>
      </c>
      <c r="I1227" s="211">
        <f>_xlfn.XLOOKUP(Table12[[#This Row],[Month Year]],'Modelling New'!D:D,'Modelling New'!N:N)</f>
        <v>10.507</v>
      </c>
      <c r="J1227" s="166">
        <f>'Raw Data'!K138/J$1</f>
        <v>0</v>
      </c>
      <c r="K1227" s="50">
        <f>'Raw Data'!L138/K$1</f>
        <v>0</v>
      </c>
      <c r="L1227" s="50">
        <f>'Raw Data'!M138/L$1</f>
        <v>0</v>
      </c>
      <c r="M1227" s="50">
        <f>'Raw Data'!N138/M$1</f>
        <v>0</v>
      </c>
      <c r="N1227" s="50">
        <f>'Raw Data'!O138/N$1</f>
        <v>0</v>
      </c>
      <c r="O1227" s="50">
        <f>'Raw Data'!P138/O$1</f>
        <v>0</v>
      </c>
      <c r="P1227" s="50" t="str">
        <f t="shared" si="314"/>
        <v/>
      </c>
      <c r="Q1227" s="50">
        <f t="shared" si="315"/>
        <v>0</v>
      </c>
    </row>
    <row r="1228" spans="1:17">
      <c r="A1228" s="101" t="s">
        <v>4</v>
      </c>
      <c r="B1228" s="210">
        <v>6</v>
      </c>
      <c r="C1228" s="101">
        <v>2025</v>
      </c>
      <c r="D1228" s="101" t="s">
        <v>213</v>
      </c>
      <c r="E1228" s="101" t="s">
        <v>213</v>
      </c>
      <c r="F1228" s="194">
        <v>45870</v>
      </c>
      <c r="G1228" s="210">
        <f t="shared" si="316"/>
        <v>31</v>
      </c>
      <c r="H1228" s="190">
        <f t="shared" si="305"/>
        <v>45877</v>
      </c>
      <c r="I1228" s="211">
        <f>_xlfn.XLOOKUP(Table12[[#This Row],[Month Year]],'Modelling New'!D:D,'Modelling New'!N:N)</f>
        <v>10.507</v>
      </c>
      <c r="J1228" s="166">
        <f>'Raw Data'!K139/J$1</f>
        <v>0</v>
      </c>
      <c r="K1228" s="50">
        <f>'Raw Data'!L139/K$1</f>
        <v>0</v>
      </c>
      <c r="L1228" s="50">
        <f>'Raw Data'!M139/L$1</f>
        <v>0</v>
      </c>
      <c r="M1228" s="50">
        <f>'Raw Data'!N139/M$1</f>
        <v>0</v>
      </c>
      <c r="N1228" s="50">
        <f>'Raw Data'!O139/N$1</f>
        <v>0</v>
      </c>
      <c r="O1228" s="50">
        <f>'Raw Data'!P139/O$1</f>
        <v>0</v>
      </c>
      <c r="P1228" s="50" t="str">
        <f t="shared" si="314"/>
        <v/>
      </c>
      <c r="Q1228" s="50">
        <f t="shared" si="315"/>
        <v>0</v>
      </c>
    </row>
    <row r="1229" spans="1:17">
      <c r="A1229" s="101" t="s">
        <v>4</v>
      </c>
      <c r="B1229" s="210">
        <v>6</v>
      </c>
      <c r="C1229" s="101">
        <v>2025</v>
      </c>
      <c r="D1229" s="101" t="s">
        <v>213</v>
      </c>
      <c r="E1229" s="101" t="s">
        <v>213</v>
      </c>
      <c r="F1229" s="194">
        <v>45870</v>
      </c>
      <c r="G1229" s="210">
        <f t="shared" si="316"/>
        <v>31</v>
      </c>
      <c r="H1229" s="190">
        <f t="shared" si="305"/>
        <v>45878</v>
      </c>
      <c r="I1229" s="211">
        <f>_xlfn.XLOOKUP(Table12[[#This Row],[Month Year]],'Modelling New'!D:D,'Modelling New'!N:N)</f>
        <v>10.507</v>
      </c>
      <c r="J1229" s="166">
        <f>'Raw Data'!K140/J$1</f>
        <v>0</v>
      </c>
      <c r="K1229" s="50">
        <f>'Raw Data'!L140/K$1</f>
        <v>0</v>
      </c>
      <c r="L1229" s="50">
        <f>'Raw Data'!M140/L$1</f>
        <v>0</v>
      </c>
      <c r="M1229" s="50">
        <f>'Raw Data'!N140/M$1</f>
        <v>0</v>
      </c>
      <c r="N1229" s="50">
        <f>'Raw Data'!O140/N$1</f>
        <v>0</v>
      </c>
      <c r="O1229" s="50">
        <f>'Raw Data'!P140/O$1</f>
        <v>0</v>
      </c>
      <c r="P1229" s="50" t="str">
        <f t="shared" si="314"/>
        <v/>
      </c>
      <c r="Q1229" s="50">
        <f t="shared" si="315"/>
        <v>0</v>
      </c>
    </row>
    <row r="1230" spans="1:17">
      <c r="A1230" s="101" t="s">
        <v>4</v>
      </c>
      <c r="B1230" s="210">
        <v>6</v>
      </c>
      <c r="C1230" s="101">
        <v>2025</v>
      </c>
      <c r="D1230" s="101" t="s">
        <v>213</v>
      </c>
      <c r="E1230" s="101" t="s">
        <v>213</v>
      </c>
      <c r="F1230" s="194">
        <v>45870</v>
      </c>
      <c r="G1230" s="210">
        <f t="shared" si="316"/>
        <v>31</v>
      </c>
      <c r="H1230" s="190">
        <f t="shared" si="305"/>
        <v>45879</v>
      </c>
      <c r="I1230" s="211">
        <f>_xlfn.XLOOKUP(Table12[[#This Row],[Month Year]],'Modelling New'!D:D,'Modelling New'!N:N)</f>
        <v>10.507</v>
      </c>
      <c r="J1230" s="166">
        <f>'Raw Data'!K141/J$1</f>
        <v>0</v>
      </c>
      <c r="K1230" s="50">
        <f>'Raw Data'!L141/K$1</f>
        <v>0</v>
      </c>
      <c r="L1230" s="50">
        <f>'Raw Data'!M141/L$1</f>
        <v>0</v>
      </c>
      <c r="M1230" s="50">
        <f>'Raw Data'!N141/M$1</f>
        <v>0</v>
      </c>
      <c r="N1230" s="50">
        <f>'Raw Data'!O141/N$1</f>
        <v>0</v>
      </c>
      <c r="O1230" s="50">
        <f>'Raw Data'!P141/O$1</f>
        <v>0</v>
      </c>
      <c r="P1230" s="50" t="str">
        <f t="shared" si="314"/>
        <v/>
      </c>
      <c r="Q1230" s="50">
        <f t="shared" si="315"/>
        <v>0</v>
      </c>
    </row>
    <row r="1231" spans="1:17">
      <c r="A1231" s="101" t="s">
        <v>4</v>
      </c>
      <c r="B1231" s="210">
        <v>6</v>
      </c>
      <c r="C1231" s="101">
        <v>2025</v>
      </c>
      <c r="D1231" s="101" t="s">
        <v>213</v>
      </c>
      <c r="E1231" s="101" t="s">
        <v>213</v>
      </c>
      <c r="F1231" s="194">
        <v>45870</v>
      </c>
      <c r="G1231" s="210">
        <f t="shared" si="316"/>
        <v>31</v>
      </c>
      <c r="H1231" s="190">
        <f t="shared" si="305"/>
        <v>45880</v>
      </c>
      <c r="I1231" s="211">
        <f>_xlfn.XLOOKUP(Table12[[#This Row],[Month Year]],'Modelling New'!D:D,'Modelling New'!N:N)</f>
        <v>10.507</v>
      </c>
      <c r="J1231" s="166">
        <f>'Raw Data'!K142/J$1</f>
        <v>0</v>
      </c>
      <c r="K1231" s="50">
        <f>'Raw Data'!L142/K$1</f>
        <v>0</v>
      </c>
      <c r="L1231" s="50">
        <f>'Raw Data'!M142/L$1</f>
        <v>0</v>
      </c>
      <c r="M1231" s="50">
        <f>'Raw Data'!N142/M$1</f>
        <v>0</v>
      </c>
      <c r="N1231" s="50">
        <f>'Raw Data'!O142/N$1</f>
        <v>0</v>
      </c>
      <c r="O1231" s="50">
        <f>'Raw Data'!P142/O$1</f>
        <v>0</v>
      </c>
      <c r="P1231" s="50" t="str">
        <f t="shared" si="314"/>
        <v/>
      </c>
      <c r="Q1231" s="50">
        <f t="shared" si="315"/>
        <v>0</v>
      </c>
    </row>
    <row r="1232" spans="1:17">
      <c r="A1232" s="101" t="s">
        <v>4</v>
      </c>
      <c r="B1232" s="210">
        <v>6</v>
      </c>
      <c r="C1232" s="101">
        <v>2025</v>
      </c>
      <c r="D1232" s="101" t="s">
        <v>213</v>
      </c>
      <c r="E1232" s="101" t="s">
        <v>213</v>
      </c>
      <c r="F1232" s="194">
        <v>45870</v>
      </c>
      <c r="G1232" s="210">
        <f t="shared" si="316"/>
        <v>31</v>
      </c>
      <c r="H1232" s="190">
        <f t="shared" si="305"/>
        <v>45881</v>
      </c>
      <c r="I1232" s="211">
        <f>_xlfn.XLOOKUP(Table12[[#This Row],[Month Year]],'Modelling New'!D:D,'Modelling New'!N:N)</f>
        <v>10.507</v>
      </c>
      <c r="J1232" s="166">
        <f>'Raw Data'!K193/J$1</f>
        <v>0</v>
      </c>
      <c r="K1232" s="50">
        <f>'Raw Data'!L193/K$1</f>
        <v>0</v>
      </c>
      <c r="L1232" s="50">
        <f>'Raw Data'!M193/L$1</f>
        <v>0</v>
      </c>
      <c r="M1232" s="50">
        <f>'Raw Data'!N193/M$1</f>
        <v>0</v>
      </c>
      <c r="N1232" s="50">
        <f>'Raw Data'!O193/N$1</f>
        <v>0</v>
      </c>
      <c r="O1232" s="50">
        <f>'Raw Data'!P193/O$1</f>
        <v>0</v>
      </c>
      <c r="P1232" s="50" t="str">
        <f t="shared" ref="P1232:P1237" si="317">IFERROR(AVERAGEIF(J1232:O1232,"&gt;"&amp;0,J1232:O1232),"")</f>
        <v/>
      </c>
      <c r="Q1232" s="50">
        <f t="shared" ref="Q1232:Q1237" si="318">MAXA(J1232:O1232)</f>
        <v>0</v>
      </c>
    </row>
    <row r="1233" spans="1:17">
      <c r="A1233" s="101" t="s">
        <v>4</v>
      </c>
      <c r="B1233" s="210">
        <v>6</v>
      </c>
      <c r="C1233" s="101">
        <v>2025</v>
      </c>
      <c r="D1233" s="101" t="s">
        <v>213</v>
      </c>
      <c r="E1233" s="101" t="s">
        <v>213</v>
      </c>
      <c r="F1233" s="194">
        <v>45870</v>
      </c>
      <c r="G1233" s="210">
        <f t="shared" si="316"/>
        <v>31</v>
      </c>
      <c r="H1233" s="190">
        <f t="shared" si="305"/>
        <v>45882</v>
      </c>
      <c r="I1233" s="211">
        <f>_xlfn.XLOOKUP(Table12[[#This Row],[Month Year]],'Modelling New'!D:D,'Modelling New'!N:N)</f>
        <v>10.507</v>
      </c>
      <c r="J1233" s="166">
        <f>'Raw Data'!K194/J$1</f>
        <v>0</v>
      </c>
      <c r="K1233" s="50">
        <f>'Raw Data'!L194/K$1</f>
        <v>0</v>
      </c>
      <c r="L1233" s="50">
        <f>'Raw Data'!M194/L$1</f>
        <v>0</v>
      </c>
      <c r="M1233" s="50">
        <f>'Raw Data'!N194/M$1</f>
        <v>0</v>
      </c>
      <c r="N1233" s="50">
        <f>'Raw Data'!O194/N$1</f>
        <v>0</v>
      </c>
      <c r="O1233" s="50">
        <f>'Raw Data'!P194/O$1</f>
        <v>0</v>
      </c>
      <c r="P1233" s="50" t="str">
        <f t="shared" si="317"/>
        <v/>
      </c>
      <c r="Q1233" s="50">
        <f t="shared" si="318"/>
        <v>0</v>
      </c>
    </row>
    <row r="1234" spans="1:17">
      <c r="A1234" s="101" t="s">
        <v>4</v>
      </c>
      <c r="B1234" s="210">
        <v>6</v>
      </c>
      <c r="C1234" s="101">
        <v>2025</v>
      </c>
      <c r="D1234" s="101" t="s">
        <v>213</v>
      </c>
      <c r="E1234" s="101" t="s">
        <v>213</v>
      </c>
      <c r="F1234" s="194">
        <v>45870</v>
      </c>
      <c r="G1234" s="210">
        <f t="shared" si="316"/>
        <v>31</v>
      </c>
      <c r="H1234" s="190">
        <f t="shared" si="305"/>
        <v>45883</v>
      </c>
      <c r="I1234" s="211">
        <f>_xlfn.XLOOKUP(Table12[[#This Row],[Month Year]],'Modelling New'!D:D,'Modelling New'!N:N)</f>
        <v>10.507</v>
      </c>
      <c r="J1234" s="166">
        <f>'Raw Data'!K195/J$1</f>
        <v>0</v>
      </c>
      <c r="K1234" s="50">
        <f>'Raw Data'!L195/K$1</f>
        <v>0</v>
      </c>
      <c r="L1234" s="50">
        <f>'Raw Data'!M195/L$1</f>
        <v>0</v>
      </c>
      <c r="M1234" s="50">
        <f>'Raw Data'!N195/M$1</f>
        <v>0</v>
      </c>
      <c r="N1234" s="50">
        <f>'Raw Data'!O195/N$1</f>
        <v>0</v>
      </c>
      <c r="O1234" s="50">
        <f>'Raw Data'!P195/O$1</f>
        <v>0</v>
      </c>
      <c r="P1234" s="50" t="str">
        <f t="shared" si="317"/>
        <v/>
      </c>
      <c r="Q1234" s="50">
        <f t="shared" si="318"/>
        <v>0</v>
      </c>
    </row>
    <row r="1235" spans="1:17">
      <c r="A1235" s="101" t="s">
        <v>4</v>
      </c>
      <c r="B1235" s="210">
        <v>6</v>
      </c>
      <c r="C1235" s="101">
        <v>2025</v>
      </c>
      <c r="D1235" s="101" t="s">
        <v>213</v>
      </c>
      <c r="E1235" s="101" t="s">
        <v>213</v>
      </c>
      <c r="F1235" s="194">
        <v>45870</v>
      </c>
      <c r="G1235" s="210">
        <f t="shared" si="316"/>
        <v>31</v>
      </c>
      <c r="H1235" s="190">
        <f t="shared" si="305"/>
        <v>45884</v>
      </c>
      <c r="I1235" s="211">
        <f>_xlfn.XLOOKUP(Table12[[#This Row],[Month Year]],'Modelling New'!D:D,'Modelling New'!N:N)</f>
        <v>10.507</v>
      </c>
      <c r="J1235" s="166">
        <f>'Raw Data'!K196/J$1</f>
        <v>0</v>
      </c>
      <c r="K1235" s="50">
        <f>'Raw Data'!L196/K$1</f>
        <v>0</v>
      </c>
      <c r="L1235" s="50">
        <f>'Raw Data'!M196/L$1</f>
        <v>0</v>
      </c>
      <c r="M1235" s="50">
        <f>'Raw Data'!N196/M$1</f>
        <v>0</v>
      </c>
      <c r="N1235" s="50">
        <f>'Raw Data'!O196/N$1</f>
        <v>0</v>
      </c>
      <c r="O1235" s="50">
        <f>'Raw Data'!P196/O$1</f>
        <v>0</v>
      </c>
      <c r="P1235" s="50" t="str">
        <f t="shared" si="317"/>
        <v/>
      </c>
      <c r="Q1235" s="50">
        <f t="shared" si="318"/>
        <v>0</v>
      </c>
    </row>
    <row r="1236" spans="1:17">
      <c r="A1236" s="101" t="s">
        <v>4</v>
      </c>
      <c r="B1236" s="210">
        <v>6</v>
      </c>
      <c r="C1236" s="101">
        <v>2025</v>
      </c>
      <c r="D1236" s="101" t="s">
        <v>213</v>
      </c>
      <c r="E1236" s="101" t="s">
        <v>213</v>
      </c>
      <c r="F1236" s="194">
        <v>45870</v>
      </c>
      <c r="G1236" s="210">
        <f t="shared" si="316"/>
        <v>31</v>
      </c>
      <c r="H1236" s="190">
        <f t="shared" si="305"/>
        <v>45885</v>
      </c>
      <c r="I1236" s="211">
        <f>_xlfn.XLOOKUP(Table12[[#This Row],[Month Year]],'Modelling New'!D:D,'Modelling New'!N:N)</f>
        <v>10.507</v>
      </c>
      <c r="J1236" s="166">
        <f>'Raw Data'!K197/J$1</f>
        <v>0</v>
      </c>
      <c r="K1236" s="50">
        <f>'Raw Data'!L197/K$1</f>
        <v>0</v>
      </c>
      <c r="L1236" s="50">
        <f>'Raw Data'!M197/L$1</f>
        <v>0</v>
      </c>
      <c r="M1236" s="50">
        <f>'Raw Data'!N197/M$1</f>
        <v>0</v>
      </c>
      <c r="N1236" s="50">
        <f>'Raw Data'!O197/N$1</f>
        <v>0</v>
      </c>
      <c r="O1236" s="50">
        <f>'Raw Data'!P197/O$1</f>
        <v>0</v>
      </c>
      <c r="P1236" s="50" t="str">
        <f t="shared" si="317"/>
        <v/>
      </c>
      <c r="Q1236" s="50">
        <f t="shared" si="318"/>
        <v>0</v>
      </c>
    </row>
    <row r="1237" spans="1:17">
      <c r="A1237" s="101" t="s">
        <v>4</v>
      </c>
      <c r="B1237" s="210">
        <v>6</v>
      </c>
      <c r="C1237" s="101">
        <v>2025</v>
      </c>
      <c r="D1237" s="101" t="s">
        <v>213</v>
      </c>
      <c r="E1237" s="101" t="s">
        <v>213</v>
      </c>
      <c r="F1237" s="194">
        <v>45870</v>
      </c>
      <c r="G1237" s="210">
        <f t="shared" si="316"/>
        <v>31</v>
      </c>
      <c r="H1237" s="190">
        <f t="shared" si="305"/>
        <v>45886</v>
      </c>
      <c r="I1237" s="211">
        <f>_xlfn.XLOOKUP(Table12[[#This Row],[Month Year]],'Modelling New'!D:D,'Modelling New'!N:N)</f>
        <v>10.507</v>
      </c>
      <c r="J1237" s="166">
        <f>'Raw Data'!K198/J$1</f>
        <v>0</v>
      </c>
      <c r="K1237" s="50">
        <f>'Raw Data'!L198/K$1</f>
        <v>0</v>
      </c>
      <c r="L1237" s="50">
        <f>'Raw Data'!M198/L$1</f>
        <v>0</v>
      </c>
      <c r="M1237" s="50">
        <f>'Raw Data'!N198/M$1</f>
        <v>0</v>
      </c>
      <c r="N1237" s="50">
        <f>'Raw Data'!O198/N$1</f>
        <v>0</v>
      </c>
      <c r="O1237" s="50">
        <f>'Raw Data'!P198/O$1</f>
        <v>0</v>
      </c>
      <c r="P1237" s="50" t="str">
        <f t="shared" si="317"/>
        <v/>
      </c>
      <c r="Q1237" s="50">
        <f t="shared" si="318"/>
        <v>0</v>
      </c>
    </row>
  </sheetData>
  <phoneticPr fontId="7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25"/>
  <sheetViews>
    <sheetView zoomScaleNormal="100" workbookViewId="0">
      <pane xSplit="8" ySplit="3" topLeftCell="I114" activePane="bottomRight" state="frozen"/>
      <selection activeCell="I9" sqref="I9"/>
      <selection pane="topRight" activeCell="I9" sqref="I9"/>
      <selection pane="bottomLeft" activeCell="I9" sqref="I9"/>
      <selection pane="bottomRight" activeCell="A125" sqref="A125"/>
    </sheetView>
  </sheetViews>
  <sheetFormatPr defaultColWidth="9" defaultRowHeight="15"/>
  <cols>
    <col min="2" max="2" width="9.42578125" style="2" customWidth="1"/>
    <col min="3" max="7" width="8.5703125" style="2"/>
    <col min="8" max="11" width="10.42578125" style="2" customWidth="1"/>
    <col min="12" max="12" width="20" style="2" customWidth="1"/>
    <col min="13" max="13" width="8.5703125" style="2"/>
    <col min="14" max="14" width="9" customWidth="1"/>
    <col min="15" max="15" width="9.140625" customWidth="1"/>
    <col min="16" max="16" width="8.5703125" style="2"/>
    <col min="19" max="19" width="16.85546875" style="2" bestFit="1" customWidth="1"/>
    <col min="20" max="20" width="13.42578125" customWidth="1"/>
    <col min="21" max="21" width="21.42578125" customWidth="1"/>
    <col min="22" max="22" width="26.5703125" customWidth="1"/>
    <col min="23" max="23" width="10.42578125" style="2" customWidth="1"/>
    <col min="24" max="24" width="10.42578125" customWidth="1"/>
    <col min="25" max="25" width="9.5703125" style="2" customWidth="1"/>
    <col min="26" max="26" width="10.42578125" style="2" customWidth="1"/>
    <col min="27" max="27" width="10.140625" style="2" hidden="1" customWidth="1"/>
    <col min="28" max="28" width="0" style="2" hidden="1" customWidth="1"/>
    <col min="29" max="30" width="8.85546875" style="2" customWidth="1"/>
    <col min="31" max="31" width="61.42578125" customWidth="1"/>
    <col min="32" max="32" width="11.42578125" customWidth="1"/>
    <col min="33" max="33" width="13.42578125" customWidth="1"/>
    <col min="34" max="34" width="16.140625" customWidth="1"/>
    <col min="35" max="35" width="11.85546875" customWidth="1"/>
    <col min="36" max="36" width="63.42578125" customWidth="1"/>
    <col min="37" max="37" width="55" customWidth="1"/>
  </cols>
  <sheetData>
    <row r="3" spans="1:38" ht="48">
      <c r="A3" s="29" t="s">
        <v>7</v>
      </c>
      <c r="B3" s="29" t="s">
        <v>64</v>
      </c>
      <c r="C3" s="29" t="s">
        <v>138</v>
      </c>
      <c r="D3" s="29" t="s">
        <v>231</v>
      </c>
      <c r="E3" s="29" t="s">
        <v>180</v>
      </c>
      <c r="F3" s="29" t="s">
        <v>139</v>
      </c>
      <c r="G3" s="29" t="s">
        <v>65</v>
      </c>
      <c r="H3" s="30" t="s">
        <v>36</v>
      </c>
      <c r="I3" s="33" t="s">
        <v>182</v>
      </c>
      <c r="J3" s="33" t="s">
        <v>183</v>
      </c>
      <c r="K3" s="29" t="s">
        <v>232</v>
      </c>
      <c r="L3" s="29" t="s">
        <v>233</v>
      </c>
      <c r="M3" s="29" t="s">
        <v>234</v>
      </c>
      <c r="N3" s="29" t="s">
        <v>235</v>
      </c>
      <c r="O3" s="29" t="s">
        <v>236</v>
      </c>
      <c r="P3" s="29" t="s">
        <v>237</v>
      </c>
      <c r="Q3" s="29" t="s">
        <v>238</v>
      </c>
      <c r="R3" s="29" t="s">
        <v>239</v>
      </c>
      <c r="S3" s="29" t="s">
        <v>240</v>
      </c>
      <c r="T3" s="29" t="s">
        <v>241</v>
      </c>
      <c r="U3" s="29" t="s">
        <v>242</v>
      </c>
      <c r="V3" s="29" t="s">
        <v>243</v>
      </c>
      <c r="W3" s="33" t="s">
        <v>244</v>
      </c>
      <c r="X3" s="29" t="s">
        <v>245</v>
      </c>
      <c r="Y3" s="29" t="s">
        <v>246</v>
      </c>
      <c r="Z3" s="33" t="s">
        <v>247</v>
      </c>
      <c r="AA3" s="29" t="s">
        <v>248</v>
      </c>
      <c r="AB3" s="29" t="s">
        <v>249</v>
      </c>
      <c r="AC3" s="29" t="s">
        <v>250</v>
      </c>
      <c r="AD3" s="29" t="s">
        <v>251</v>
      </c>
      <c r="AE3" s="29" t="s">
        <v>252</v>
      </c>
      <c r="AF3" s="29" t="s">
        <v>253</v>
      </c>
      <c r="AG3" s="29" t="s">
        <v>254</v>
      </c>
      <c r="AH3" s="29" t="s">
        <v>255</v>
      </c>
      <c r="AI3" s="35" t="s">
        <v>256</v>
      </c>
      <c r="AJ3" s="35" t="s">
        <v>257</v>
      </c>
      <c r="AK3" s="35" t="s">
        <v>258</v>
      </c>
      <c r="AL3" t="s">
        <v>259</v>
      </c>
    </row>
    <row r="4" spans="1:38">
      <c r="A4" s="2">
        <v>1</v>
      </c>
      <c r="B4" s="198" t="s">
        <v>212</v>
      </c>
      <c r="C4" s="2">
        <v>2024</v>
      </c>
      <c r="D4" s="2" t="s">
        <v>211</v>
      </c>
      <c r="E4" s="2" t="s">
        <v>211</v>
      </c>
      <c r="F4" s="31">
        <v>45717</v>
      </c>
      <c r="G4" s="2">
        <f>DAY(EOMONTH(Tracker_BD[[#This Row],[Month Year]],0))</f>
        <v>31</v>
      </c>
      <c r="H4" s="32">
        <v>45745</v>
      </c>
      <c r="I4" s="34">
        <f>IFERROR(VLOOKUP(Tracker_BD[[#This Row],[Date]],Raw_Data[[Date]:[Sunset Time (POA&lt;20 W/m2)]],3,0),"")</f>
        <v>0.27013888888888887</v>
      </c>
      <c r="J4" s="34">
        <f>IFERROR(VLOOKUP(Tracker_BD[[#This Row],[Date]],Raw_Data[[Date]:[Sunset Time (POA&lt;20 W/m2)]],4,0),"")</f>
        <v>0.77013888888888893</v>
      </c>
      <c r="K4" s="28">
        <f>IFERROR((Tracker_BD[[#This Row],[Sunset Time (POA&lt;20 W/m2)]]-Tracker_BD[[#This Row],[Sunrise Time (POA&gt;20 W/m2)]])*24,"")</f>
        <v>12</v>
      </c>
      <c r="L4" s="2" t="s">
        <v>267</v>
      </c>
      <c r="M4" s="165" t="s">
        <v>261</v>
      </c>
      <c r="N4">
        <v>0</v>
      </c>
      <c r="O4" s="199" t="s">
        <v>187</v>
      </c>
      <c r="P4" s="97" t="s">
        <v>270</v>
      </c>
      <c r="Q4" s="97" t="s">
        <v>263</v>
      </c>
      <c r="R4">
        <v>37</v>
      </c>
      <c r="S4" s="97" t="s">
        <v>394</v>
      </c>
      <c r="T4" t="s">
        <v>269</v>
      </c>
      <c r="U4" t="s">
        <v>293</v>
      </c>
      <c r="V4" t="s">
        <v>293</v>
      </c>
      <c r="W4" s="34">
        <v>0.34027777777777779</v>
      </c>
      <c r="X4" s="34">
        <v>0.34027777777777779</v>
      </c>
      <c r="Y4" s="34">
        <v>0.34027777777777779</v>
      </c>
      <c r="Z4" s="34">
        <v>0.36805555555555558</v>
      </c>
      <c r="AA4" s="28">
        <f>IF(Tracker_BD[[#This Row],[Fault Acknowledgement Time ]]="NA","",(Tracker_BD[[#This Row],[Fault Acknowledgement Time ]]-Tracker_BD[[#This Row],[Fault Time]])*24)</f>
        <v>0</v>
      </c>
      <c r="AB4" s="28">
        <f>IFERROR((Tracker_BD[[#This Row],[Work Start time on Fault]]-Tracker_BD[[#This Row],[Fault Time]])*24,"")</f>
        <v>0</v>
      </c>
      <c r="AC4" s="28">
        <f>IFERROR((Tracker_BD[[#This Row],[Work Completion time on fault]]-Tracker_BD[[#This Row],[Fault Time]])*24,"")</f>
        <v>0.66666666666666696</v>
      </c>
      <c r="AD4" s="28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89"/>
      <c r="AI4" s="28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198" t="s">
        <v>212</v>
      </c>
      <c r="C5" s="2">
        <v>2024</v>
      </c>
      <c r="D5" s="2" t="s">
        <v>211</v>
      </c>
      <c r="E5" s="2" t="s">
        <v>211</v>
      </c>
      <c r="F5" s="31">
        <v>45717</v>
      </c>
      <c r="G5" s="2">
        <f>DAY(EOMONTH(Tracker_BD[[#This Row],[Month Year]],0))</f>
        <v>31</v>
      </c>
      <c r="H5" s="32">
        <v>45745</v>
      </c>
      <c r="I5" s="34">
        <f>IFERROR(VLOOKUP(Tracker_BD[[#This Row],[Date]],Raw_Data[[Date]:[Sunset Time (POA&lt;20 W/m2)]],3,0),"")</f>
        <v>0.27013888888888887</v>
      </c>
      <c r="J5" s="34">
        <f>IFERROR(VLOOKUP(Tracker_BD[[#This Row],[Date]],Raw_Data[[Date]:[Sunset Time (POA&lt;20 W/m2)]],4,0),"")</f>
        <v>0.77013888888888893</v>
      </c>
      <c r="K5" s="28">
        <f>IFERROR((Tracker_BD[[#This Row],[Sunset Time (POA&lt;20 W/m2)]]-Tracker_BD[[#This Row],[Sunrise Time (POA&gt;20 W/m2)]])*24,"")</f>
        <v>12</v>
      </c>
      <c r="L5" s="2" t="s">
        <v>267</v>
      </c>
      <c r="M5" s="165" t="s">
        <v>261</v>
      </c>
      <c r="N5">
        <v>0</v>
      </c>
      <c r="O5" s="199" t="s">
        <v>186</v>
      </c>
      <c r="P5" s="97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4">
        <v>0.3611111111111111</v>
      </c>
      <c r="X5" s="34">
        <v>0.3611111111111111</v>
      </c>
      <c r="Y5" s="34">
        <v>0.3611111111111111</v>
      </c>
      <c r="Z5" s="34">
        <v>0.39583333333333331</v>
      </c>
      <c r="AA5" s="28">
        <f>IF(Tracker_BD[[#This Row],[Fault Acknowledgement Time ]]="NA","",(Tracker_BD[[#This Row],[Fault Acknowledgement Time ]]-Tracker_BD[[#This Row],[Fault Time]])*24)</f>
        <v>0</v>
      </c>
      <c r="AB5" s="28">
        <f>IFERROR((Tracker_BD[[#This Row],[Work Start time on Fault]]-Tracker_BD[[#This Row],[Fault Time]])*24,"")</f>
        <v>0</v>
      </c>
      <c r="AC5" s="28">
        <f>IFERROR((Tracker_BD[[#This Row],[Work Completion time on fault]]-Tracker_BD[[#This Row],[Fault Time]])*24,"")</f>
        <v>0.83333333333333304</v>
      </c>
      <c r="AD5" s="28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89"/>
      <c r="AI5" s="28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198" t="s">
        <v>212</v>
      </c>
      <c r="C6" s="2">
        <v>2024</v>
      </c>
      <c r="D6" s="2" t="s">
        <v>211</v>
      </c>
      <c r="E6" s="2" t="s">
        <v>211</v>
      </c>
      <c r="F6" s="31">
        <v>45717</v>
      </c>
      <c r="G6" s="2">
        <f>DAY(EOMONTH(Tracker_BD[[#This Row],[Month Year]],0))</f>
        <v>31</v>
      </c>
      <c r="H6" s="32">
        <v>45745</v>
      </c>
      <c r="I6" s="34">
        <f>IFERROR(VLOOKUP(Tracker_BD[[#This Row],[Date]],Raw_Data[[Date]:[Sunset Time (POA&lt;20 W/m2)]],3,0),"")</f>
        <v>0.27013888888888887</v>
      </c>
      <c r="J6" s="34">
        <f>IFERROR(VLOOKUP(Tracker_BD[[#This Row],[Date]],Raw_Data[[Date]:[Sunset Time (POA&lt;20 W/m2)]],4,0),"")</f>
        <v>0.77013888888888893</v>
      </c>
      <c r="K6" s="28">
        <f>IFERROR((Tracker_BD[[#This Row],[Sunset Time (POA&lt;20 W/m2)]]-Tracker_BD[[#This Row],[Sunrise Time (POA&gt;20 W/m2)]])*24,"")</f>
        <v>12</v>
      </c>
      <c r="L6" s="2" t="s">
        <v>267</v>
      </c>
      <c r="M6" s="165" t="s">
        <v>261</v>
      </c>
      <c r="N6">
        <v>0</v>
      </c>
      <c r="O6" s="199" t="s">
        <v>185</v>
      </c>
      <c r="P6" s="97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4">
        <v>0.3888888888888889</v>
      </c>
      <c r="X6" s="34">
        <v>0.3888888888888889</v>
      </c>
      <c r="Y6" s="34">
        <v>0.3888888888888889</v>
      </c>
      <c r="Z6" s="34">
        <v>0.4236111111111111</v>
      </c>
      <c r="AA6" s="28">
        <f>IF(Tracker_BD[[#This Row],[Fault Acknowledgement Time ]]="NA","",(Tracker_BD[[#This Row],[Fault Acknowledgement Time ]]-Tracker_BD[[#This Row],[Fault Time]])*24)</f>
        <v>0</v>
      </c>
      <c r="AB6" s="28">
        <f>IFERROR((Tracker_BD[[#This Row],[Work Start time on Fault]]-Tracker_BD[[#This Row],[Fault Time]])*24,"")</f>
        <v>0</v>
      </c>
      <c r="AC6" s="28">
        <f>IFERROR((Tracker_BD[[#This Row],[Work Completion time on fault]]-Tracker_BD[[#This Row],[Fault Time]])*24,"")</f>
        <v>0.83333333333333304</v>
      </c>
      <c r="AD6" s="28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89"/>
      <c r="AI6" s="28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198" t="s">
        <v>212</v>
      </c>
      <c r="C7" s="2">
        <v>2024</v>
      </c>
      <c r="D7" s="2" t="s">
        <v>211</v>
      </c>
      <c r="E7" s="2" t="s">
        <v>211</v>
      </c>
      <c r="F7" s="31">
        <v>45717</v>
      </c>
      <c r="G7" s="2">
        <f>DAY(EOMONTH(Tracker_BD[[#This Row],[Month Year]],0))</f>
        <v>31</v>
      </c>
      <c r="H7" s="32">
        <v>45745</v>
      </c>
      <c r="I7" s="34">
        <f>IFERROR(VLOOKUP(Tracker_BD[[#This Row],[Date]],Raw_Data[[Date]:[Sunset Time (POA&lt;20 W/m2)]],3,0),"")</f>
        <v>0.27013888888888887</v>
      </c>
      <c r="J7" s="34">
        <f>IFERROR(VLOOKUP(Tracker_BD[[#This Row],[Date]],Raw_Data[[Date]:[Sunset Time (POA&lt;20 W/m2)]],4,0),"")</f>
        <v>0.77013888888888893</v>
      </c>
      <c r="K7" s="28">
        <f>IFERROR((Tracker_BD[[#This Row],[Sunset Time (POA&lt;20 W/m2)]]-Tracker_BD[[#This Row],[Sunrise Time (POA&gt;20 W/m2)]])*24,"")</f>
        <v>12</v>
      </c>
      <c r="L7" s="2" t="s">
        <v>267</v>
      </c>
      <c r="M7" s="165" t="s">
        <v>261</v>
      </c>
      <c r="N7">
        <v>0</v>
      </c>
      <c r="O7" s="199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4">
        <v>0.40277777777777779</v>
      </c>
      <c r="X7" s="34">
        <v>0.40277777777777779</v>
      </c>
      <c r="Y7" s="34">
        <v>0.40277777777777779</v>
      </c>
      <c r="Z7" s="34">
        <v>0.43055555555555558</v>
      </c>
      <c r="AA7" s="28">
        <f>IF(Tracker_BD[[#This Row],[Fault Acknowledgement Time ]]="NA","",(Tracker_BD[[#This Row],[Fault Acknowledgement Time ]]-Tracker_BD[[#This Row],[Fault Time]])*24)</f>
        <v>0</v>
      </c>
      <c r="AB7" s="28">
        <f>IFERROR((Tracker_BD[[#This Row],[Work Start time on Fault]]-Tracker_BD[[#This Row],[Fault Time]])*24,"")</f>
        <v>0</v>
      </c>
      <c r="AC7" s="28">
        <f>IFERROR((Tracker_BD[[#This Row],[Work Completion time on fault]]-Tracker_BD[[#This Row],[Fault Time]])*24,"")</f>
        <v>0.66666666666666696</v>
      </c>
      <c r="AD7" s="28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89"/>
      <c r="AI7" s="28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198" t="s">
        <v>4</v>
      </c>
      <c r="C8" s="2">
        <v>2025</v>
      </c>
      <c r="D8" s="2" t="s">
        <v>211</v>
      </c>
      <c r="E8" s="2" t="s">
        <v>211</v>
      </c>
      <c r="F8" s="31">
        <v>45748</v>
      </c>
      <c r="G8" s="2">
        <f>DAY(EOMONTH(Tracker_BD[[#This Row],[Month Year]],0))</f>
        <v>30</v>
      </c>
      <c r="H8" s="32">
        <v>45749</v>
      </c>
      <c r="I8" s="34">
        <f>IFERROR(VLOOKUP(Tracker_BD[[#This Row],[Date]],Raw_Data[[Date]:[Sunset Time (POA&lt;20 W/m2)]],3,0),"")</f>
        <v>0.26597222222222222</v>
      </c>
      <c r="J8" s="34">
        <f>IFERROR(VLOOKUP(Tracker_BD[[#This Row],[Date]],Raw_Data[[Date]:[Sunset Time (POA&lt;20 W/m2)]],4,0),"")</f>
        <v>0.75972222222222219</v>
      </c>
      <c r="K8" s="28">
        <f>IFERROR((Tracker_BD[[#This Row],[Sunset Time (POA&lt;20 W/m2)]]-Tracker_BD[[#This Row],[Sunrise Time (POA&gt;20 W/m2)]])*24,"")</f>
        <v>11.85</v>
      </c>
      <c r="L8" s="2" t="s">
        <v>267</v>
      </c>
      <c r="M8" s="165" t="s">
        <v>261</v>
      </c>
      <c r="N8">
        <v>0</v>
      </c>
      <c r="O8" s="199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4">
        <v>0.65972222222222221</v>
      </c>
      <c r="X8" s="34">
        <v>0.65972222222222221</v>
      </c>
      <c r="Y8" s="34">
        <v>0.65972222222222221</v>
      </c>
      <c r="Z8" s="34">
        <v>0.68055555555555558</v>
      </c>
      <c r="AA8" s="28">
        <f>IF(Tracker_BD[[#This Row],[Fault Acknowledgement Time ]]="NA","",(Tracker_BD[[#This Row],[Fault Acknowledgement Time ]]-Tracker_BD[[#This Row],[Fault Time]])*24)</f>
        <v>0</v>
      </c>
      <c r="AB8" s="28">
        <f>IFERROR((Tracker_BD[[#This Row],[Work Start time on Fault]]-Tracker_BD[[#This Row],[Fault Time]])*24,"")</f>
        <v>0</v>
      </c>
      <c r="AC8" s="28">
        <f>IFERROR((Tracker_BD[[#This Row],[Work Completion time on fault]]-Tracker_BD[[#This Row],[Fault Time]])*24,"")</f>
        <v>0.50000000000000089</v>
      </c>
      <c r="AD8" s="28">
        <f>IFERROR((Tracker_BD[[#This Row],[Work Completion time on fault]]-Tracker_BD[[#This Row],[Fault Time]])*24,"")</f>
        <v>0.50000000000000089</v>
      </c>
      <c r="AE8" s="199" t="s">
        <v>334</v>
      </c>
      <c r="AF8" t="s">
        <v>266</v>
      </c>
      <c r="AG8" s="2"/>
      <c r="AH8" s="89"/>
      <c r="AI8" s="28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198" t="s">
        <v>4</v>
      </c>
      <c r="C9" s="2">
        <v>2025</v>
      </c>
      <c r="D9" s="2" t="s">
        <v>211</v>
      </c>
      <c r="E9" s="2" t="s">
        <v>211</v>
      </c>
      <c r="F9" s="31">
        <v>45748</v>
      </c>
      <c r="G9" s="2">
        <f>DAY(EOMONTH(Tracker_BD[[#This Row],[Month Year]],0))</f>
        <v>30</v>
      </c>
      <c r="H9" s="32">
        <v>45749</v>
      </c>
      <c r="I9" s="34">
        <f>IFERROR(VLOOKUP(Tracker_BD[[#This Row],[Date]],Raw_Data[[Date]:[Sunset Time (POA&lt;20 W/m2)]],3,0),"")</f>
        <v>0.26597222222222222</v>
      </c>
      <c r="J9" s="34">
        <f>IFERROR(VLOOKUP(Tracker_BD[[#This Row],[Date]],Raw_Data[[Date]:[Sunset Time (POA&lt;20 W/m2)]],4,0),"")</f>
        <v>0.75972222222222219</v>
      </c>
      <c r="K9" s="28">
        <f>IFERROR((Tracker_BD[[#This Row],[Sunset Time (POA&lt;20 W/m2)]]-Tracker_BD[[#This Row],[Sunrise Time (POA&gt;20 W/m2)]])*24,"")</f>
        <v>11.85</v>
      </c>
      <c r="L9" s="2" t="s">
        <v>267</v>
      </c>
      <c r="M9" s="165" t="s">
        <v>261</v>
      </c>
      <c r="N9">
        <v>0</v>
      </c>
      <c r="O9" s="199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4">
        <v>0.6875</v>
      </c>
      <c r="X9" s="34">
        <v>0.6875</v>
      </c>
      <c r="Y9" s="34">
        <v>0.6875</v>
      </c>
      <c r="Z9" s="34">
        <v>0.72916666666666663</v>
      </c>
      <c r="AA9" s="28">
        <f>IF(Tracker_BD[[#This Row],[Fault Acknowledgement Time ]]="NA","",(Tracker_BD[[#This Row],[Fault Acknowledgement Time ]]-Tracker_BD[[#This Row],[Fault Time]])*24)</f>
        <v>0</v>
      </c>
      <c r="AB9" s="28">
        <f>IFERROR((Tracker_BD[[#This Row],[Work Start time on Fault]]-Tracker_BD[[#This Row],[Fault Time]])*24,"")</f>
        <v>0</v>
      </c>
      <c r="AC9" s="28">
        <f>IFERROR((Tracker_BD[[#This Row],[Work Completion time on fault]]-Tracker_BD[[#This Row],[Fault Time]])*24,"")</f>
        <v>0.99999999999999911</v>
      </c>
      <c r="AD9" s="28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89"/>
      <c r="AI9" s="28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198" t="s">
        <v>4</v>
      </c>
      <c r="C10" s="2">
        <v>2025</v>
      </c>
      <c r="D10" s="2" t="s">
        <v>211</v>
      </c>
      <c r="E10" s="2" t="s">
        <v>211</v>
      </c>
      <c r="F10" s="31">
        <v>45748</v>
      </c>
      <c r="G10" s="2">
        <f>DAY(EOMONTH(Tracker_BD[[#This Row],[Month Year]],0))</f>
        <v>30</v>
      </c>
      <c r="H10" s="32">
        <v>45751</v>
      </c>
      <c r="I10" s="34">
        <f>IFERROR(VLOOKUP(Tracker_BD[[#This Row],[Date]],Raw_Data[[Date]:[Sunset Time (POA&lt;20 W/m2)]],3,0),"")</f>
        <v>0.27152777777777776</v>
      </c>
      <c r="J10" s="34">
        <f>IFERROR(VLOOKUP(Tracker_BD[[#This Row],[Date]],Raw_Data[[Date]:[Sunset Time (POA&lt;20 W/m2)]],4,0),"")</f>
        <v>0.75972222222222219</v>
      </c>
      <c r="K10" s="28">
        <f>IFERROR((Tracker_BD[[#This Row],[Sunset Time (POA&lt;20 W/m2)]]-Tracker_BD[[#This Row],[Sunrise Time (POA&gt;20 W/m2)]])*24,"")</f>
        <v>11.716666666666667</v>
      </c>
      <c r="L10" s="2" t="s">
        <v>267</v>
      </c>
      <c r="M10" s="165" t="s">
        <v>261</v>
      </c>
      <c r="N10">
        <v>0</v>
      </c>
      <c r="O10" s="199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4">
        <v>0.2986111111111111</v>
      </c>
      <c r="X10" s="34">
        <v>0.2986111111111111</v>
      </c>
      <c r="Y10" s="34">
        <v>0.2986111111111111</v>
      </c>
      <c r="Z10" s="34">
        <v>0.3263888888888889</v>
      </c>
      <c r="AA10" s="28">
        <f>IF(Tracker_BD[[#This Row],[Fault Acknowledgement Time ]]="NA","",(Tracker_BD[[#This Row],[Fault Acknowledgement Time ]]-Tracker_BD[[#This Row],[Fault Time]])*24)</f>
        <v>0</v>
      </c>
      <c r="AB10" s="28">
        <f>IFERROR((Tracker_BD[[#This Row],[Work Start time on Fault]]-Tracker_BD[[#This Row],[Fault Time]])*24,"")</f>
        <v>0</v>
      </c>
      <c r="AC10" s="28">
        <f>IFERROR((Tracker_BD[[#This Row],[Work Completion time on fault]]-Tracker_BD[[#This Row],[Fault Time]])*24,"")</f>
        <v>0.66666666666666696</v>
      </c>
      <c r="AD10" s="28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89"/>
      <c r="AI10" s="28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198" t="s">
        <v>4</v>
      </c>
      <c r="C11" s="2">
        <v>2025</v>
      </c>
      <c r="D11" s="2" t="s">
        <v>211</v>
      </c>
      <c r="E11" s="2" t="s">
        <v>211</v>
      </c>
      <c r="F11" s="31">
        <v>45748</v>
      </c>
      <c r="G11" s="2">
        <f>DAY(EOMONTH(Tracker_BD[[#This Row],[Month Year]],0))</f>
        <v>30</v>
      </c>
      <c r="H11" s="32">
        <v>45751</v>
      </c>
      <c r="I11" s="34">
        <f>IFERROR(VLOOKUP(Tracker_BD[[#This Row],[Date]],Raw_Data[[Date]:[Sunset Time (POA&lt;20 W/m2)]],3,0),"")</f>
        <v>0.27152777777777776</v>
      </c>
      <c r="J11" s="34">
        <f>IFERROR(VLOOKUP(Tracker_BD[[#This Row],[Date]],Raw_Data[[Date]:[Sunset Time (POA&lt;20 W/m2)]],4,0),"")</f>
        <v>0.75972222222222219</v>
      </c>
      <c r="K11" s="28">
        <f>IFERROR((Tracker_BD[[#This Row],[Sunset Time (POA&lt;20 W/m2)]]-Tracker_BD[[#This Row],[Sunrise Time (POA&gt;20 W/m2)]])*24,"")</f>
        <v>11.716666666666667</v>
      </c>
      <c r="L11" s="2" t="s">
        <v>267</v>
      </c>
      <c r="M11" s="165" t="s">
        <v>261</v>
      </c>
      <c r="N11">
        <v>0</v>
      </c>
      <c r="O11" s="199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4">
        <v>0.34722222222222221</v>
      </c>
      <c r="X11" s="34">
        <v>0.34722222222222221</v>
      </c>
      <c r="Y11" s="34">
        <v>0.34722222222222221</v>
      </c>
      <c r="Z11" s="34">
        <v>0.35416666666666669</v>
      </c>
      <c r="AA11" s="28">
        <f>IF(Tracker_BD[[#This Row],[Fault Acknowledgement Time ]]="NA","",(Tracker_BD[[#This Row],[Fault Acknowledgement Time ]]-Tracker_BD[[#This Row],[Fault Time]])*24)</f>
        <v>0</v>
      </c>
      <c r="AB11" s="28">
        <f>IFERROR((Tracker_BD[[#This Row],[Work Start time on Fault]]-Tracker_BD[[#This Row],[Fault Time]])*24,"")</f>
        <v>0</v>
      </c>
      <c r="AC11" s="28">
        <f>IFERROR((Tracker_BD[[#This Row],[Work Completion time on fault]]-Tracker_BD[[#This Row],[Fault Time]])*24,"")</f>
        <v>0.16666666666666741</v>
      </c>
      <c r="AD11" s="28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89"/>
      <c r="AI11" s="28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198" t="s">
        <v>4</v>
      </c>
      <c r="C12" s="2">
        <v>2025</v>
      </c>
      <c r="D12" s="2" t="s">
        <v>211</v>
      </c>
      <c r="E12" s="2" t="s">
        <v>211</v>
      </c>
      <c r="F12" s="31">
        <v>45748</v>
      </c>
      <c r="G12" s="2">
        <f>DAY(EOMONTH(Tracker_BD[[#This Row],[Month Year]],0))</f>
        <v>30</v>
      </c>
      <c r="H12" s="32">
        <v>45751</v>
      </c>
      <c r="I12" s="34">
        <f>IFERROR(VLOOKUP(Tracker_BD[[#This Row],[Date]],Raw_Data[[Date]:[Sunset Time (POA&lt;20 W/m2)]],3,0),"")</f>
        <v>0.27152777777777776</v>
      </c>
      <c r="J12" s="34">
        <f>IFERROR(VLOOKUP(Tracker_BD[[#This Row],[Date]],Raw_Data[[Date]:[Sunset Time (POA&lt;20 W/m2)]],4,0),"")</f>
        <v>0.75972222222222219</v>
      </c>
      <c r="K12" s="28">
        <f>IFERROR((Tracker_BD[[#This Row],[Sunset Time (POA&lt;20 W/m2)]]-Tracker_BD[[#This Row],[Sunrise Time (POA&gt;20 W/m2)]])*24,"")</f>
        <v>11.716666666666667</v>
      </c>
      <c r="L12" s="2" t="s">
        <v>267</v>
      </c>
      <c r="M12" s="165" t="s">
        <v>261</v>
      </c>
      <c r="N12">
        <v>0</v>
      </c>
      <c r="O12" s="199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4">
        <v>0.3611111111111111</v>
      </c>
      <c r="X12" s="34">
        <v>0.3611111111111111</v>
      </c>
      <c r="Y12" s="34">
        <v>0.3611111111111111</v>
      </c>
      <c r="Z12" s="34">
        <v>0.40277777777777779</v>
      </c>
      <c r="AA12" s="28">
        <f>IF(Tracker_BD[[#This Row],[Fault Acknowledgement Time ]]="NA","",(Tracker_BD[[#This Row],[Fault Acknowledgement Time ]]-Tracker_BD[[#This Row],[Fault Time]])*24)</f>
        <v>0</v>
      </c>
      <c r="AB12" s="28">
        <f>IFERROR((Tracker_BD[[#This Row],[Work Start time on Fault]]-Tracker_BD[[#This Row],[Fault Time]])*24,"")</f>
        <v>0</v>
      </c>
      <c r="AC12" s="28">
        <f>IFERROR((Tracker_BD[[#This Row],[Work Completion time on fault]]-Tracker_BD[[#This Row],[Fault Time]])*24,"")</f>
        <v>1.0000000000000004</v>
      </c>
      <c r="AD12" s="28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89"/>
      <c r="AI12" s="28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198" t="s">
        <v>4</v>
      </c>
      <c r="C13" s="2">
        <v>2025</v>
      </c>
      <c r="D13" s="2" t="s">
        <v>211</v>
      </c>
      <c r="E13" s="2" t="s">
        <v>211</v>
      </c>
      <c r="F13" s="31">
        <v>45748</v>
      </c>
      <c r="G13" s="2">
        <f>DAY(EOMONTH(Tracker_BD[[#This Row],[Month Year]],0))</f>
        <v>30</v>
      </c>
      <c r="H13" s="32">
        <v>45751</v>
      </c>
      <c r="I13" s="34">
        <f>IFERROR(VLOOKUP(Tracker_BD[[#This Row],[Date]],Raw_Data[[Date]:[Sunset Time (POA&lt;20 W/m2)]],3,0),"")</f>
        <v>0.27152777777777776</v>
      </c>
      <c r="J13" s="34">
        <f>IFERROR(VLOOKUP(Tracker_BD[[#This Row],[Date]],Raw_Data[[Date]:[Sunset Time (POA&lt;20 W/m2)]],4,0),"")</f>
        <v>0.75972222222222219</v>
      </c>
      <c r="K13" s="28">
        <f>IFERROR((Tracker_BD[[#This Row],[Sunset Time (POA&lt;20 W/m2)]]-Tracker_BD[[#This Row],[Sunrise Time (POA&gt;20 W/m2)]])*24,"")</f>
        <v>11.716666666666667</v>
      </c>
      <c r="L13" s="2" t="s">
        <v>267</v>
      </c>
      <c r="M13" s="165" t="s">
        <v>261</v>
      </c>
      <c r="N13">
        <v>0</v>
      </c>
      <c r="O13" s="199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4">
        <v>0.38194444444444442</v>
      </c>
      <c r="X13" s="34">
        <v>0.38194444444444442</v>
      </c>
      <c r="Y13" s="34">
        <v>0.38194444444444442</v>
      </c>
      <c r="Z13" s="34">
        <v>0.4236111111111111</v>
      </c>
      <c r="AA13" s="28">
        <f>IF(Tracker_BD[[#This Row],[Fault Acknowledgement Time ]]="NA","",(Tracker_BD[[#This Row],[Fault Acknowledgement Time ]]-Tracker_BD[[#This Row],[Fault Time]])*24)</f>
        <v>0</v>
      </c>
      <c r="AB13" s="28">
        <f>IFERROR((Tracker_BD[[#This Row],[Work Start time on Fault]]-Tracker_BD[[#This Row],[Fault Time]])*24,"")</f>
        <v>0</v>
      </c>
      <c r="AC13" s="28">
        <f>IFERROR((Tracker_BD[[#This Row],[Work Completion time on fault]]-Tracker_BD[[#This Row],[Fault Time]])*24,"")</f>
        <v>1.0000000000000004</v>
      </c>
      <c r="AD13" s="28">
        <f>IFERROR((Tracker_BD[[#This Row],[Work Completion time on fault]]-Tracker_BD[[#This Row],[Fault Time]])*24,"")</f>
        <v>1.0000000000000004</v>
      </c>
      <c r="AE13" s="199" t="s">
        <v>334</v>
      </c>
      <c r="AF13" t="s">
        <v>266</v>
      </c>
      <c r="AG13" s="2"/>
      <c r="AH13" s="89"/>
      <c r="AI13" s="28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198" t="s">
        <v>4</v>
      </c>
      <c r="C14" s="2">
        <v>2025</v>
      </c>
      <c r="D14" s="2" t="s">
        <v>211</v>
      </c>
      <c r="E14" s="2" t="s">
        <v>211</v>
      </c>
      <c r="F14" s="31">
        <v>45748</v>
      </c>
      <c r="G14" s="2">
        <f>DAY(EOMONTH(Tracker_BD[[#This Row],[Month Year]],0))</f>
        <v>30</v>
      </c>
      <c r="H14" s="32">
        <v>45752</v>
      </c>
      <c r="I14" s="34">
        <f>IFERROR(VLOOKUP(Tracker_BD[[#This Row],[Date]],Raw_Data[[Date]:[Sunset Time (POA&lt;20 W/m2)]],3,0),"")</f>
        <v>0.26458333333333334</v>
      </c>
      <c r="J14" s="34">
        <f>IFERROR(VLOOKUP(Tracker_BD[[#This Row],[Date]],Raw_Data[[Date]:[Sunset Time (POA&lt;20 W/m2)]],4,0),"")</f>
        <v>0.76597222222222228</v>
      </c>
      <c r="K14" s="28">
        <f>IFERROR((Tracker_BD[[#This Row],[Sunset Time (POA&lt;20 W/m2)]]-Tracker_BD[[#This Row],[Sunrise Time (POA&gt;20 W/m2)]])*24,"")</f>
        <v>12.033333333333333</v>
      </c>
      <c r="L14" s="2" t="s">
        <v>267</v>
      </c>
      <c r="M14" s="165"/>
      <c r="N14">
        <v>0</v>
      </c>
      <c r="O14" s="199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4">
        <v>0.68055555555555558</v>
      </c>
      <c r="X14" s="34">
        <v>0.68055555555555558</v>
      </c>
      <c r="Y14" s="34">
        <v>0.68055555555555558</v>
      </c>
      <c r="Z14" s="34">
        <v>0.69444444444444442</v>
      </c>
      <c r="AA14" s="28">
        <f>IF(Tracker_BD[[#This Row],[Fault Acknowledgement Time ]]="NA","",(Tracker_BD[[#This Row],[Fault Acknowledgement Time ]]-Tracker_BD[[#This Row],[Fault Time]])*24)</f>
        <v>0</v>
      </c>
      <c r="AB14" s="28">
        <f>IFERROR((Tracker_BD[[#This Row],[Work Start time on Fault]]-Tracker_BD[[#This Row],[Fault Time]])*24,"")</f>
        <v>0</v>
      </c>
      <c r="AC14" s="28">
        <f>IFERROR((Tracker_BD[[#This Row],[Work Completion time on fault]]-Tracker_BD[[#This Row],[Fault Time]])*24,"")</f>
        <v>0.33333333333333215</v>
      </c>
      <c r="AD14" s="28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89"/>
      <c r="AI14" s="28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198" t="s">
        <v>4</v>
      </c>
      <c r="C15" s="2">
        <v>2025</v>
      </c>
      <c r="D15" s="2" t="s">
        <v>211</v>
      </c>
      <c r="E15" s="2" t="s">
        <v>211</v>
      </c>
      <c r="F15" s="31">
        <v>45748</v>
      </c>
      <c r="G15" s="2">
        <f>DAY(EOMONTH(Tracker_BD[[#This Row],[Month Year]],0))</f>
        <v>30</v>
      </c>
      <c r="H15" s="32">
        <v>45752</v>
      </c>
      <c r="I15" s="34">
        <f>IFERROR(VLOOKUP(Tracker_BD[[#This Row],[Date]],Raw_Data[[Date]:[Sunset Time (POA&lt;20 W/m2)]],3,0),"")</f>
        <v>0.26458333333333334</v>
      </c>
      <c r="J15" s="34">
        <f>IFERROR(VLOOKUP(Tracker_BD[[#This Row],[Date]],Raw_Data[[Date]:[Sunset Time (POA&lt;20 W/m2)]],4,0),"")</f>
        <v>0.76597222222222228</v>
      </c>
      <c r="K15" s="28">
        <f>IFERROR((Tracker_BD[[#This Row],[Sunset Time (POA&lt;20 W/m2)]]-Tracker_BD[[#This Row],[Sunrise Time (POA&gt;20 W/m2)]])*24,"")</f>
        <v>12.033333333333333</v>
      </c>
      <c r="L15" s="2" t="s">
        <v>267</v>
      </c>
      <c r="M15" s="165"/>
      <c r="N15">
        <v>0</v>
      </c>
      <c r="O15" s="199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4">
        <v>0.72222222222222221</v>
      </c>
      <c r="X15" s="34">
        <v>0.72222222222222221</v>
      </c>
      <c r="Y15" s="34">
        <v>0.72222222222222221</v>
      </c>
      <c r="Z15" s="34">
        <v>0.74305555555555558</v>
      </c>
      <c r="AA15" s="28">
        <f>IF(Tracker_BD[[#This Row],[Fault Acknowledgement Time ]]="NA","",(Tracker_BD[[#This Row],[Fault Acknowledgement Time ]]-Tracker_BD[[#This Row],[Fault Time]])*24)</f>
        <v>0</v>
      </c>
      <c r="AB15" s="28">
        <f>IFERROR((Tracker_BD[[#This Row],[Work Start time on Fault]]-Tracker_BD[[#This Row],[Fault Time]])*24,"")</f>
        <v>0</v>
      </c>
      <c r="AC15" s="28">
        <f>IFERROR((Tracker_BD[[#This Row],[Work Completion time on fault]]-Tracker_BD[[#This Row],[Fault Time]])*24,"")</f>
        <v>0.50000000000000089</v>
      </c>
      <c r="AD15" s="28">
        <f>IFERROR((Tracker_BD[[#This Row],[Work Completion time on fault]]-Tracker_BD[[#This Row],[Fault Time]])*24,"")</f>
        <v>0.50000000000000089</v>
      </c>
      <c r="AE15" s="199" t="s">
        <v>334</v>
      </c>
      <c r="AF15" t="s">
        <v>266</v>
      </c>
      <c r="AG15" s="2"/>
      <c r="AH15" s="89"/>
      <c r="AI15" s="28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198" t="s">
        <v>4</v>
      </c>
      <c r="C16" s="2">
        <v>2025</v>
      </c>
      <c r="D16" s="2" t="s">
        <v>211</v>
      </c>
      <c r="E16" s="2" t="s">
        <v>211</v>
      </c>
      <c r="F16" s="31">
        <v>45748</v>
      </c>
      <c r="G16" s="2">
        <f>DAY(EOMONTH(Tracker_BD[[#This Row],[Month Year]],0))</f>
        <v>30</v>
      </c>
      <c r="H16" s="32">
        <v>45752</v>
      </c>
      <c r="I16" s="34">
        <f>IFERROR(VLOOKUP(Tracker_BD[[#This Row],[Date]],Raw_Data[[Date]:[Sunset Time (POA&lt;20 W/m2)]],3,0),"")</f>
        <v>0.26458333333333334</v>
      </c>
      <c r="J16" s="34">
        <f>IFERROR(VLOOKUP(Tracker_BD[[#This Row],[Date]],Raw_Data[[Date]:[Sunset Time (POA&lt;20 W/m2)]],4,0),"")</f>
        <v>0.76597222222222228</v>
      </c>
      <c r="K16" s="28">
        <f>IFERROR((Tracker_BD[[#This Row],[Sunset Time (POA&lt;20 W/m2)]]-Tracker_BD[[#This Row],[Sunrise Time (POA&gt;20 W/m2)]])*24,"")</f>
        <v>12.033333333333333</v>
      </c>
      <c r="L16" s="2" t="s">
        <v>267</v>
      </c>
      <c r="M16" s="165"/>
      <c r="N16">
        <v>0</v>
      </c>
      <c r="O16" s="199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4">
        <v>0.73263888888888884</v>
      </c>
      <c r="X16" s="34">
        <v>0.73263888888888884</v>
      </c>
      <c r="Y16" s="34">
        <v>0.73263888888888884</v>
      </c>
      <c r="Z16" s="34">
        <v>0.76388888888888884</v>
      </c>
      <c r="AA16" s="28">
        <f>IF(Tracker_BD[[#This Row],[Fault Acknowledgement Time ]]="NA","",(Tracker_BD[[#This Row],[Fault Acknowledgement Time ]]-Tracker_BD[[#This Row],[Fault Time]])*24)</f>
        <v>0</v>
      </c>
      <c r="AB16" s="28">
        <f>IFERROR((Tracker_BD[[#This Row],[Work Start time on Fault]]-Tracker_BD[[#This Row],[Fault Time]])*24,"")</f>
        <v>0</v>
      </c>
      <c r="AC16" s="28">
        <f>IFERROR((Tracker_BD[[#This Row],[Work Completion time on fault]]-Tracker_BD[[#This Row],[Fault Time]])*24,"")</f>
        <v>0.75</v>
      </c>
      <c r="AD16" s="28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89"/>
      <c r="AI16" s="28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198" t="s">
        <v>4</v>
      </c>
      <c r="C17" s="2">
        <v>2025</v>
      </c>
      <c r="D17" s="2" t="s">
        <v>211</v>
      </c>
      <c r="E17" s="2" t="s">
        <v>211</v>
      </c>
      <c r="F17" s="31">
        <v>45748</v>
      </c>
      <c r="G17" s="2">
        <f>DAY(EOMONTH(Tracker_BD[[#This Row],[Month Year]],0))</f>
        <v>30</v>
      </c>
      <c r="H17" s="32">
        <v>45753</v>
      </c>
      <c r="I17" s="34">
        <f>IFERROR(VLOOKUP(Tracker_BD[[#This Row],[Date]],Raw_Data[[Date]:[Sunset Time (POA&lt;20 W/m2)]],3,0),"")</f>
        <v>0.27083333333333331</v>
      </c>
      <c r="J17" s="34">
        <f>IFERROR(VLOOKUP(Tracker_BD[[#This Row],[Date]],Raw_Data[[Date]:[Sunset Time (POA&lt;20 W/m2)]],4,0),"")</f>
        <v>0.7680555555555556</v>
      </c>
      <c r="K17" s="28">
        <f>IFERROR((Tracker_BD[[#This Row],[Sunset Time (POA&lt;20 W/m2)]]-Tracker_BD[[#This Row],[Sunrise Time (POA&gt;20 W/m2)]])*24,"")</f>
        <v>11.933333333333335</v>
      </c>
      <c r="L17" s="2" t="s">
        <v>267</v>
      </c>
      <c r="M17" s="165"/>
      <c r="N17">
        <v>0</v>
      </c>
      <c r="O17" s="199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4">
        <v>0.64583333333333337</v>
      </c>
      <c r="X17" s="34">
        <v>0.64583333333333337</v>
      </c>
      <c r="Y17" s="34">
        <v>0.64583333333333337</v>
      </c>
      <c r="Z17" s="34">
        <v>0.6875</v>
      </c>
      <c r="AA17" s="28">
        <f>IF(Tracker_BD[[#This Row],[Fault Acknowledgement Time ]]="NA","",(Tracker_BD[[#This Row],[Fault Acknowledgement Time ]]-Tracker_BD[[#This Row],[Fault Time]])*24)</f>
        <v>0</v>
      </c>
      <c r="AB17" s="28">
        <f>IFERROR((Tracker_BD[[#This Row],[Work Start time on Fault]]-Tracker_BD[[#This Row],[Fault Time]])*24,"")</f>
        <v>0</v>
      </c>
      <c r="AC17" s="28">
        <f>IFERROR((Tracker_BD[[#This Row],[Work Completion time on fault]]-Tracker_BD[[#This Row],[Fault Time]])*24,"")</f>
        <v>0.99999999999999911</v>
      </c>
      <c r="AD17" s="28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89"/>
      <c r="AI17" s="28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198" t="s">
        <v>4</v>
      </c>
      <c r="C18" s="2">
        <v>2025</v>
      </c>
      <c r="D18" s="2" t="s">
        <v>211</v>
      </c>
      <c r="E18" s="2" t="s">
        <v>211</v>
      </c>
      <c r="F18" s="31">
        <v>45748</v>
      </c>
      <c r="G18" s="2">
        <f>DAY(EOMONTH(Tracker_BD[[#This Row],[Month Year]],0))</f>
        <v>30</v>
      </c>
      <c r="H18" s="32">
        <v>45753</v>
      </c>
      <c r="I18" s="34">
        <f>IFERROR(VLOOKUP(Tracker_BD[[#This Row],[Date]],Raw_Data[[Date]:[Sunset Time (POA&lt;20 W/m2)]],3,0),"")</f>
        <v>0.27083333333333331</v>
      </c>
      <c r="J18" s="34">
        <f>IFERROR(VLOOKUP(Tracker_BD[[#This Row],[Date]],Raw_Data[[Date]:[Sunset Time (POA&lt;20 W/m2)]],4,0),"")</f>
        <v>0.7680555555555556</v>
      </c>
      <c r="K18" s="28">
        <f>IFERROR((Tracker_BD[[#This Row],[Sunset Time (POA&lt;20 W/m2)]]-Tracker_BD[[#This Row],[Sunrise Time (POA&gt;20 W/m2)]])*24,"")</f>
        <v>11.933333333333335</v>
      </c>
      <c r="L18" s="2" t="s">
        <v>267</v>
      </c>
      <c r="M18" s="165"/>
      <c r="N18">
        <v>0</v>
      </c>
      <c r="O18" s="199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4">
        <v>0.65972222222222221</v>
      </c>
      <c r="X18" s="34">
        <v>0.65972222222222221</v>
      </c>
      <c r="Y18" s="34">
        <v>0.65972222222222221</v>
      </c>
      <c r="Z18" s="34">
        <v>0.69444444444444442</v>
      </c>
      <c r="AA18" s="28">
        <f>IF(Tracker_BD[[#This Row],[Fault Acknowledgement Time ]]="NA","",(Tracker_BD[[#This Row],[Fault Acknowledgement Time ]]-Tracker_BD[[#This Row],[Fault Time]])*24)</f>
        <v>0</v>
      </c>
      <c r="AB18" s="28">
        <f>IFERROR((Tracker_BD[[#This Row],[Work Start time on Fault]]-Tracker_BD[[#This Row],[Fault Time]])*24,"")</f>
        <v>0</v>
      </c>
      <c r="AC18" s="28">
        <f>IFERROR((Tracker_BD[[#This Row],[Work Completion time on fault]]-Tracker_BD[[#This Row],[Fault Time]])*24,"")</f>
        <v>0.83333333333333304</v>
      </c>
      <c r="AD18" s="28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89"/>
      <c r="AI18" s="28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198" t="s">
        <v>4</v>
      </c>
      <c r="C19" s="2">
        <v>2025</v>
      </c>
      <c r="D19" s="2" t="s">
        <v>211</v>
      </c>
      <c r="E19" s="2" t="s">
        <v>211</v>
      </c>
      <c r="F19" s="31">
        <v>45748</v>
      </c>
      <c r="G19" s="2">
        <f>DAY(EOMONTH(Tracker_BD[[#This Row],[Month Year]],0))</f>
        <v>30</v>
      </c>
      <c r="H19" s="32">
        <v>45753</v>
      </c>
      <c r="I19" s="34">
        <f>IFERROR(VLOOKUP(Tracker_BD[[#This Row],[Date]],Raw_Data[[Date]:[Sunset Time (POA&lt;20 W/m2)]],3,0),"")</f>
        <v>0.27083333333333331</v>
      </c>
      <c r="J19" s="34">
        <f>IFERROR(VLOOKUP(Tracker_BD[[#This Row],[Date]],Raw_Data[[Date]:[Sunset Time (POA&lt;20 W/m2)]],4,0),"")</f>
        <v>0.7680555555555556</v>
      </c>
      <c r="K19" s="28">
        <f>IFERROR((Tracker_BD[[#This Row],[Sunset Time (POA&lt;20 W/m2)]]-Tracker_BD[[#This Row],[Sunrise Time (POA&gt;20 W/m2)]])*24,"")</f>
        <v>11.933333333333335</v>
      </c>
      <c r="L19" s="2" t="s">
        <v>267</v>
      </c>
      <c r="M19" s="165"/>
      <c r="N19">
        <v>0</v>
      </c>
      <c r="O19" s="199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4">
        <v>0.69791666666666663</v>
      </c>
      <c r="X19" s="34">
        <v>0.69791666666666663</v>
      </c>
      <c r="Y19" s="34">
        <v>0.69791666666666663</v>
      </c>
      <c r="Z19" s="34">
        <v>0.72222222222222221</v>
      </c>
      <c r="AA19" s="28">
        <f>IF(Tracker_BD[[#This Row],[Fault Acknowledgement Time ]]="NA","",(Tracker_BD[[#This Row],[Fault Acknowledgement Time ]]-Tracker_BD[[#This Row],[Fault Time]])*24)</f>
        <v>0</v>
      </c>
      <c r="AB19" s="28">
        <f>IFERROR((Tracker_BD[[#This Row],[Work Start time on Fault]]-Tracker_BD[[#This Row],[Fault Time]])*24,"")</f>
        <v>0</v>
      </c>
      <c r="AC19" s="28">
        <f>IFERROR((Tracker_BD[[#This Row],[Work Completion time on fault]]-Tracker_BD[[#This Row],[Fault Time]])*24,"")</f>
        <v>0.58333333333333393</v>
      </c>
      <c r="AD19" s="28">
        <f>IFERROR((Tracker_BD[[#This Row],[Work Completion time on fault]]-Tracker_BD[[#This Row],[Fault Time]])*24,"")</f>
        <v>0.58333333333333393</v>
      </c>
      <c r="AE19" s="199" t="s">
        <v>334</v>
      </c>
      <c r="AF19" t="s">
        <v>266</v>
      </c>
      <c r="AG19" s="2"/>
      <c r="AH19" s="89"/>
      <c r="AI19" s="28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198" t="s">
        <v>4</v>
      </c>
      <c r="C20" s="2">
        <v>2025</v>
      </c>
      <c r="D20" s="2" t="s">
        <v>211</v>
      </c>
      <c r="E20" s="2" t="s">
        <v>211</v>
      </c>
      <c r="F20" s="31">
        <v>45748</v>
      </c>
      <c r="G20" s="2">
        <f>DAY(EOMONTH(Tracker_BD[[#This Row],[Month Year]],0))</f>
        <v>30</v>
      </c>
      <c r="H20" s="32">
        <v>45754</v>
      </c>
      <c r="I20" s="34">
        <f>IFERROR(VLOOKUP(Tracker_BD[[#This Row],[Date]],Raw_Data[[Date]:[Sunset Time (POA&lt;20 W/m2)]],3,0),"")</f>
        <v>0.26458333333333334</v>
      </c>
      <c r="J20" s="34">
        <f>IFERROR(VLOOKUP(Tracker_BD[[#This Row],[Date]],Raw_Data[[Date]:[Sunset Time (POA&lt;20 W/m2)]],4,0),"")</f>
        <v>0.7680555555555556</v>
      </c>
      <c r="K20" s="28">
        <f>IFERROR((Tracker_BD[[#This Row],[Sunset Time (POA&lt;20 W/m2)]]-Tracker_BD[[#This Row],[Sunrise Time (POA&gt;20 W/m2)]])*24,"")</f>
        <v>12.083333333333336</v>
      </c>
      <c r="L20" s="2" t="s">
        <v>278</v>
      </c>
      <c r="M20" s="165"/>
      <c r="N20">
        <v>0</v>
      </c>
      <c r="O20" s="199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199" t="s">
        <v>346</v>
      </c>
      <c r="V20" s="199" t="s">
        <v>346</v>
      </c>
      <c r="W20" s="34">
        <v>0.46527777777777779</v>
      </c>
      <c r="X20" s="34">
        <v>0.46527777777777779</v>
      </c>
      <c r="Y20" s="34">
        <v>0.46527777777777779</v>
      </c>
      <c r="Z20" s="34">
        <v>0.47916666666666669</v>
      </c>
      <c r="AA20" s="28">
        <f>IF(Tracker_BD[[#This Row],[Fault Acknowledgement Time ]]="NA","",(Tracker_BD[[#This Row],[Fault Acknowledgement Time ]]-Tracker_BD[[#This Row],[Fault Time]])*24)</f>
        <v>0</v>
      </c>
      <c r="AB20" s="28">
        <f>IFERROR((Tracker_BD[[#This Row],[Work Start time on Fault]]-Tracker_BD[[#This Row],[Fault Time]])*24,"")</f>
        <v>0</v>
      </c>
      <c r="AC20" s="28">
        <f>IFERROR((Tracker_BD[[#This Row],[Work Completion time on fault]]-Tracker_BD[[#This Row],[Fault Time]])*24,"")</f>
        <v>0.33333333333333348</v>
      </c>
      <c r="AD20" s="28">
        <f>IFERROR((Tracker_BD[[#This Row],[Work Completion time on fault]]-Tracker_BD[[#This Row],[Fault Time]])*24,"")</f>
        <v>0.33333333333333348</v>
      </c>
      <c r="AE20" s="199" t="s">
        <v>395</v>
      </c>
      <c r="AF20" t="s">
        <v>266</v>
      </c>
      <c r="AG20" s="2"/>
      <c r="AH20" s="89"/>
      <c r="AI20" s="28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198" t="s">
        <v>4</v>
      </c>
      <c r="C21" s="2">
        <v>2025</v>
      </c>
      <c r="D21" s="2" t="s">
        <v>211</v>
      </c>
      <c r="E21" s="2" t="s">
        <v>211</v>
      </c>
      <c r="F21" s="31">
        <v>45748</v>
      </c>
      <c r="G21" s="2">
        <f>DAY(EOMONTH(Tracker_BD[[#This Row],[Month Year]],0))</f>
        <v>30</v>
      </c>
      <c r="H21" s="32">
        <v>45754</v>
      </c>
      <c r="I21" s="34">
        <f>IFERROR(VLOOKUP(Tracker_BD[[#This Row],[Date]],Raw_Data[[Date]:[Sunset Time (POA&lt;20 W/m2)]],3,0),"")</f>
        <v>0.26458333333333334</v>
      </c>
      <c r="J21" s="34">
        <f>IFERROR(VLOOKUP(Tracker_BD[[#This Row],[Date]],Raw_Data[[Date]:[Sunset Time (POA&lt;20 W/m2)]],4,0),"")</f>
        <v>0.7680555555555556</v>
      </c>
      <c r="K21" s="28">
        <f>IFERROR((Tracker_BD[[#This Row],[Sunset Time (POA&lt;20 W/m2)]]-Tracker_BD[[#This Row],[Sunrise Time (POA&gt;20 W/m2)]])*24,"")</f>
        <v>12.083333333333336</v>
      </c>
      <c r="L21" s="2" t="s">
        <v>278</v>
      </c>
      <c r="M21" s="165"/>
      <c r="N21">
        <v>0</v>
      </c>
      <c r="O21" s="199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199" t="s">
        <v>346</v>
      </c>
      <c r="V21" s="199" t="s">
        <v>346</v>
      </c>
      <c r="W21" s="34">
        <v>0.4861111111111111</v>
      </c>
      <c r="X21" s="34">
        <v>0.4861111111111111</v>
      </c>
      <c r="Y21" s="34">
        <v>0.4861111111111111</v>
      </c>
      <c r="Z21" s="34">
        <v>0.5</v>
      </c>
      <c r="AA21" s="28">
        <f>IF(Tracker_BD[[#This Row],[Fault Acknowledgement Time ]]="NA","",(Tracker_BD[[#This Row],[Fault Acknowledgement Time ]]-Tracker_BD[[#This Row],[Fault Time]])*24)</f>
        <v>0</v>
      </c>
      <c r="AB21" s="28">
        <f>IFERROR((Tracker_BD[[#This Row],[Work Start time on Fault]]-Tracker_BD[[#This Row],[Fault Time]])*24,"")</f>
        <v>0</v>
      </c>
      <c r="AC21" s="28">
        <f>IFERROR((Tracker_BD[[#This Row],[Work Completion time on fault]]-Tracker_BD[[#This Row],[Fault Time]])*24,"")</f>
        <v>0.33333333333333348</v>
      </c>
      <c r="AD21" s="28">
        <f>IFERROR((Tracker_BD[[#This Row],[Work Completion time on fault]]-Tracker_BD[[#This Row],[Fault Time]])*24,"")</f>
        <v>0.33333333333333348</v>
      </c>
      <c r="AE21" s="199" t="s">
        <v>395</v>
      </c>
      <c r="AF21" t="s">
        <v>266</v>
      </c>
      <c r="AG21" s="2"/>
      <c r="AH21" s="89"/>
      <c r="AI21" s="28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198" t="s">
        <v>4</v>
      </c>
      <c r="C22" s="2">
        <v>2025</v>
      </c>
      <c r="D22" s="2" t="s">
        <v>211</v>
      </c>
      <c r="E22" s="2" t="s">
        <v>211</v>
      </c>
      <c r="F22" s="31">
        <v>45748</v>
      </c>
      <c r="G22" s="2">
        <f>DAY(EOMONTH(Tracker_BD[[#This Row],[Month Year]],0))</f>
        <v>30</v>
      </c>
      <c r="H22" s="32">
        <v>45754</v>
      </c>
      <c r="I22" s="34">
        <f>IFERROR(VLOOKUP(Tracker_BD[[#This Row],[Date]],Raw_Data[[Date]:[Sunset Time (POA&lt;20 W/m2)]],3,0),"")</f>
        <v>0.26458333333333334</v>
      </c>
      <c r="J22" s="34">
        <f>IFERROR(VLOOKUP(Tracker_BD[[#This Row],[Date]],Raw_Data[[Date]:[Sunset Time (POA&lt;20 W/m2)]],4,0),"")</f>
        <v>0.7680555555555556</v>
      </c>
      <c r="K22" s="28">
        <f>IFERROR((Tracker_BD[[#This Row],[Sunset Time (POA&lt;20 W/m2)]]-Tracker_BD[[#This Row],[Sunrise Time (POA&gt;20 W/m2)]])*24,"")</f>
        <v>12.083333333333336</v>
      </c>
      <c r="L22" s="2" t="s">
        <v>278</v>
      </c>
      <c r="M22" s="165"/>
      <c r="N22">
        <v>0</v>
      </c>
      <c r="O22" s="199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199" t="s">
        <v>346</v>
      </c>
      <c r="V22" s="199" t="s">
        <v>346</v>
      </c>
      <c r="W22" s="34">
        <v>0.52083333333333337</v>
      </c>
      <c r="X22" s="34">
        <v>0.52083333333333337</v>
      </c>
      <c r="Y22" s="34">
        <v>0.52083333333333337</v>
      </c>
      <c r="Z22" s="34">
        <v>0.52777777777777779</v>
      </c>
      <c r="AA22" s="28">
        <f>IF(Tracker_BD[[#This Row],[Fault Acknowledgement Time ]]="NA","",(Tracker_BD[[#This Row],[Fault Acknowledgement Time ]]-Tracker_BD[[#This Row],[Fault Time]])*24)</f>
        <v>0</v>
      </c>
      <c r="AB22" s="28">
        <f>IFERROR((Tracker_BD[[#This Row],[Work Start time on Fault]]-Tracker_BD[[#This Row],[Fault Time]])*24,"")</f>
        <v>0</v>
      </c>
      <c r="AC22" s="28">
        <f>IFERROR((Tracker_BD[[#This Row],[Work Completion time on fault]]-Tracker_BD[[#This Row],[Fault Time]])*24,"")</f>
        <v>0.16666666666666607</v>
      </c>
      <c r="AD22" s="28">
        <f>IFERROR((Tracker_BD[[#This Row],[Work Completion time on fault]]-Tracker_BD[[#This Row],[Fault Time]])*24,"")</f>
        <v>0.16666666666666607</v>
      </c>
      <c r="AE22" s="199" t="s">
        <v>395</v>
      </c>
      <c r="AF22" t="s">
        <v>266</v>
      </c>
      <c r="AG22" s="2"/>
      <c r="AH22" s="89"/>
      <c r="AI22" s="28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198" t="s">
        <v>4</v>
      </c>
      <c r="C23" s="2">
        <v>2025</v>
      </c>
      <c r="D23" s="2" t="s">
        <v>211</v>
      </c>
      <c r="E23" s="2" t="s">
        <v>211</v>
      </c>
      <c r="F23" s="31">
        <v>45748</v>
      </c>
      <c r="G23" s="2">
        <f>DAY(EOMONTH(Tracker_BD[[#This Row],[Month Year]],0))</f>
        <v>30</v>
      </c>
      <c r="H23" s="32">
        <v>45754</v>
      </c>
      <c r="I23" s="34">
        <f>IFERROR(VLOOKUP(Tracker_BD[[#This Row],[Date]],Raw_Data[[Date]:[Sunset Time (POA&lt;20 W/m2)]],3,0),"")</f>
        <v>0.26458333333333334</v>
      </c>
      <c r="J23" s="34">
        <f>IFERROR(VLOOKUP(Tracker_BD[[#This Row],[Date]],Raw_Data[[Date]:[Sunset Time (POA&lt;20 W/m2)]],4,0),"")</f>
        <v>0.7680555555555556</v>
      </c>
      <c r="K23" s="28">
        <f>IFERROR((Tracker_BD[[#This Row],[Sunset Time (POA&lt;20 W/m2)]]-Tracker_BD[[#This Row],[Sunrise Time (POA&gt;20 W/m2)]])*24,"")</f>
        <v>12.083333333333336</v>
      </c>
      <c r="L23" s="2" t="s">
        <v>278</v>
      </c>
      <c r="M23" s="165"/>
      <c r="N23">
        <v>0</v>
      </c>
      <c r="O23" s="199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199" t="s">
        <v>346</v>
      </c>
      <c r="V23" s="199" t="s">
        <v>346</v>
      </c>
      <c r="W23" s="34">
        <v>0.5625</v>
      </c>
      <c r="X23" s="34">
        <v>0.5625</v>
      </c>
      <c r="Y23" s="34">
        <v>0.5625</v>
      </c>
      <c r="Z23" s="34">
        <v>0.57638888888888884</v>
      </c>
      <c r="AA23" s="28">
        <f>IF(Tracker_BD[[#This Row],[Fault Acknowledgement Time ]]="NA","",(Tracker_BD[[#This Row],[Fault Acknowledgement Time ]]-Tracker_BD[[#This Row],[Fault Time]])*24)</f>
        <v>0</v>
      </c>
      <c r="AB23" s="28">
        <f>IFERROR((Tracker_BD[[#This Row],[Work Start time on Fault]]-Tracker_BD[[#This Row],[Fault Time]])*24,"")</f>
        <v>0</v>
      </c>
      <c r="AC23" s="28">
        <f>IFERROR((Tracker_BD[[#This Row],[Work Completion time on fault]]-Tracker_BD[[#This Row],[Fault Time]])*24,"")</f>
        <v>0.33333333333333215</v>
      </c>
      <c r="AD23" s="28">
        <f>IFERROR((Tracker_BD[[#This Row],[Work Completion time on fault]]-Tracker_BD[[#This Row],[Fault Time]])*24,"")</f>
        <v>0.33333333333333215</v>
      </c>
      <c r="AE23" s="199" t="s">
        <v>395</v>
      </c>
      <c r="AF23" t="s">
        <v>266</v>
      </c>
      <c r="AG23" s="2"/>
      <c r="AH23" s="89"/>
      <c r="AI23" s="28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198" t="s">
        <v>4</v>
      </c>
      <c r="C24" s="2">
        <v>2025</v>
      </c>
      <c r="D24" s="2" t="s">
        <v>211</v>
      </c>
      <c r="E24" s="2" t="s">
        <v>211</v>
      </c>
      <c r="F24" s="31">
        <v>45748</v>
      </c>
      <c r="G24" s="2">
        <f>DAY(EOMONTH(Tracker_BD[[#This Row],[Month Year]],0))</f>
        <v>30</v>
      </c>
      <c r="H24" s="32">
        <v>45754</v>
      </c>
      <c r="I24" s="34">
        <f>IFERROR(VLOOKUP(Tracker_BD[[#This Row],[Date]],Raw_Data[[Date]:[Sunset Time (POA&lt;20 W/m2)]],3,0),"")</f>
        <v>0.26458333333333334</v>
      </c>
      <c r="J24" s="34">
        <f>IFERROR(VLOOKUP(Tracker_BD[[#This Row],[Date]],Raw_Data[[Date]:[Sunset Time (POA&lt;20 W/m2)]],4,0),"")</f>
        <v>0.7680555555555556</v>
      </c>
      <c r="K24" s="28">
        <f>IFERROR((Tracker_BD[[#This Row],[Sunset Time (POA&lt;20 W/m2)]]-Tracker_BD[[#This Row],[Sunrise Time (POA&gt;20 W/m2)]])*24,"")</f>
        <v>12.083333333333336</v>
      </c>
      <c r="L24" s="2" t="s">
        <v>278</v>
      </c>
      <c r="M24" s="165"/>
      <c r="N24">
        <v>0</v>
      </c>
      <c r="O24" s="199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199" t="s">
        <v>346</v>
      </c>
      <c r="V24" s="199" t="s">
        <v>346</v>
      </c>
      <c r="W24" s="34">
        <v>0.58333333333333337</v>
      </c>
      <c r="X24" s="34">
        <v>0.58333333333333337</v>
      </c>
      <c r="Y24" s="34">
        <v>0.58333333333333337</v>
      </c>
      <c r="Z24" s="34">
        <v>0.59722222222222221</v>
      </c>
      <c r="AA24" s="28">
        <f>IF(Tracker_BD[[#This Row],[Fault Acknowledgement Time ]]="NA","",(Tracker_BD[[#This Row],[Fault Acknowledgement Time ]]-Tracker_BD[[#This Row],[Fault Time]])*24)</f>
        <v>0</v>
      </c>
      <c r="AB24" s="28">
        <f>IFERROR((Tracker_BD[[#This Row],[Work Start time on Fault]]-Tracker_BD[[#This Row],[Fault Time]])*24,"")</f>
        <v>0</v>
      </c>
      <c r="AC24" s="28">
        <f>IFERROR((Tracker_BD[[#This Row],[Work Completion time on fault]]-Tracker_BD[[#This Row],[Fault Time]])*24,"")</f>
        <v>0.33333333333333215</v>
      </c>
      <c r="AD24" s="28">
        <f>IFERROR((Tracker_BD[[#This Row],[Work Completion time on fault]]-Tracker_BD[[#This Row],[Fault Time]])*24,"")</f>
        <v>0.33333333333333215</v>
      </c>
      <c r="AE24" s="199" t="s">
        <v>395</v>
      </c>
      <c r="AF24" t="s">
        <v>266</v>
      </c>
      <c r="AG24" s="2"/>
      <c r="AH24" s="89"/>
      <c r="AI24" s="28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198" t="s">
        <v>4</v>
      </c>
      <c r="C25" s="2">
        <v>2025</v>
      </c>
      <c r="D25" s="2" t="s">
        <v>211</v>
      </c>
      <c r="E25" s="2" t="s">
        <v>211</v>
      </c>
      <c r="F25" s="31">
        <v>45748</v>
      </c>
      <c r="G25" s="2">
        <f>DAY(EOMONTH(Tracker_BD[[#This Row],[Month Year]],0))</f>
        <v>30</v>
      </c>
      <c r="H25" s="32">
        <v>45754</v>
      </c>
      <c r="I25" s="34">
        <f>IFERROR(VLOOKUP(Tracker_BD[[#This Row],[Date]],Raw_Data[[Date]:[Sunset Time (POA&lt;20 W/m2)]],3,0),"")</f>
        <v>0.26458333333333334</v>
      </c>
      <c r="J25" s="34">
        <f>IFERROR(VLOOKUP(Tracker_BD[[#This Row],[Date]],Raw_Data[[Date]:[Sunset Time (POA&lt;20 W/m2)]],4,0),"")</f>
        <v>0.7680555555555556</v>
      </c>
      <c r="K25" s="28">
        <f>IFERROR((Tracker_BD[[#This Row],[Sunset Time (POA&lt;20 W/m2)]]-Tracker_BD[[#This Row],[Sunrise Time (POA&gt;20 W/m2)]])*24,"")</f>
        <v>12.083333333333336</v>
      </c>
      <c r="L25" s="2" t="s">
        <v>278</v>
      </c>
      <c r="M25" s="165"/>
      <c r="N25">
        <v>0</v>
      </c>
      <c r="O25" s="199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199" t="s">
        <v>346</v>
      </c>
      <c r="V25" s="199" t="s">
        <v>346</v>
      </c>
      <c r="W25" s="34">
        <v>0.60416666666666663</v>
      </c>
      <c r="X25" s="34">
        <v>0.60416666666666663</v>
      </c>
      <c r="Y25" s="34">
        <v>0.60416666666666663</v>
      </c>
      <c r="Z25" s="34">
        <v>0.61111111111111116</v>
      </c>
      <c r="AA25" s="28">
        <f>IF(Tracker_BD[[#This Row],[Fault Acknowledgement Time ]]="NA","",(Tracker_BD[[#This Row],[Fault Acknowledgement Time ]]-Tracker_BD[[#This Row],[Fault Time]])*24)</f>
        <v>0</v>
      </c>
      <c r="AB25" s="28">
        <f>IFERROR((Tracker_BD[[#This Row],[Work Start time on Fault]]-Tracker_BD[[#This Row],[Fault Time]])*24,"")</f>
        <v>0</v>
      </c>
      <c r="AC25" s="28">
        <f>IFERROR((Tracker_BD[[#This Row],[Work Completion time on fault]]-Tracker_BD[[#This Row],[Fault Time]])*24,"")</f>
        <v>0.16666666666666874</v>
      </c>
      <c r="AD25" s="28">
        <f>IFERROR((Tracker_BD[[#This Row],[Work Completion time on fault]]-Tracker_BD[[#This Row],[Fault Time]])*24,"")</f>
        <v>0.16666666666666874</v>
      </c>
      <c r="AE25" s="199" t="s">
        <v>395</v>
      </c>
      <c r="AF25" t="s">
        <v>266</v>
      </c>
      <c r="AG25" s="2"/>
      <c r="AH25" s="89"/>
      <c r="AI25" s="28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198" t="s">
        <v>4</v>
      </c>
      <c r="C26" s="2">
        <v>2025</v>
      </c>
      <c r="D26" s="2" t="s">
        <v>211</v>
      </c>
      <c r="E26" s="2" t="s">
        <v>211</v>
      </c>
      <c r="F26" s="31">
        <v>45748</v>
      </c>
      <c r="G26" s="2">
        <f>DAY(EOMONTH(Tracker_BD[[#This Row],[Month Year]],0))</f>
        <v>30</v>
      </c>
      <c r="H26" s="32">
        <v>45754</v>
      </c>
      <c r="I26" s="34">
        <f>IFERROR(VLOOKUP(Tracker_BD[[#This Row],[Date]],Raw_Data[[Date]:[Sunset Time (POA&lt;20 W/m2)]],3,0),"")</f>
        <v>0.26458333333333334</v>
      </c>
      <c r="J26" s="34">
        <f>IFERROR(VLOOKUP(Tracker_BD[[#This Row],[Date]],Raw_Data[[Date]:[Sunset Time (POA&lt;20 W/m2)]],4,0),"")</f>
        <v>0.7680555555555556</v>
      </c>
      <c r="K26" s="28">
        <f>IFERROR((Tracker_BD[[#This Row],[Sunset Time (POA&lt;20 W/m2)]]-Tracker_BD[[#This Row],[Sunrise Time (POA&gt;20 W/m2)]])*24,"")</f>
        <v>12.083333333333336</v>
      </c>
      <c r="L26" s="2" t="s">
        <v>278</v>
      </c>
      <c r="M26" s="165"/>
      <c r="N26">
        <v>0</v>
      </c>
      <c r="O26" s="199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199" t="s">
        <v>346</v>
      </c>
      <c r="V26" s="199" t="s">
        <v>346</v>
      </c>
      <c r="W26" s="34">
        <v>0.61805555555555558</v>
      </c>
      <c r="X26" s="34">
        <v>0.61805555555555558</v>
      </c>
      <c r="Y26" s="34">
        <v>0.61805555555555558</v>
      </c>
      <c r="Z26" s="34">
        <v>0.63194444444444442</v>
      </c>
      <c r="AA26" s="28">
        <f>IF(Tracker_BD[[#This Row],[Fault Acknowledgement Time ]]="NA","",(Tracker_BD[[#This Row],[Fault Acknowledgement Time ]]-Tracker_BD[[#This Row],[Fault Time]])*24)</f>
        <v>0</v>
      </c>
      <c r="AB26" s="28">
        <f>IFERROR((Tracker_BD[[#This Row],[Work Start time on Fault]]-Tracker_BD[[#This Row],[Fault Time]])*24,"")</f>
        <v>0</v>
      </c>
      <c r="AC26" s="28">
        <f>IFERROR((Tracker_BD[[#This Row],[Work Completion time on fault]]-Tracker_BD[[#This Row],[Fault Time]])*24,"")</f>
        <v>0.33333333333333215</v>
      </c>
      <c r="AD26" s="28">
        <f>IFERROR((Tracker_BD[[#This Row],[Work Completion time on fault]]-Tracker_BD[[#This Row],[Fault Time]])*24,"")</f>
        <v>0.33333333333333215</v>
      </c>
      <c r="AE26" s="199" t="s">
        <v>395</v>
      </c>
      <c r="AF26" t="s">
        <v>266</v>
      </c>
      <c r="AG26" s="2"/>
      <c r="AH26" s="89"/>
      <c r="AI26" s="28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198" t="s">
        <v>4</v>
      </c>
      <c r="C27" s="2">
        <v>2025</v>
      </c>
      <c r="D27" s="2" t="s">
        <v>211</v>
      </c>
      <c r="E27" s="2" t="s">
        <v>211</v>
      </c>
      <c r="F27" s="31">
        <v>45748</v>
      </c>
      <c r="G27" s="2">
        <f>DAY(EOMONTH(Tracker_BD[[#This Row],[Month Year]],0))</f>
        <v>30</v>
      </c>
      <c r="H27" s="32">
        <v>45754</v>
      </c>
      <c r="I27" s="34">
        <f>IFERROR(VLOOKUP(Tracker_BD[[#This Row],[Date]],Raw_Data[[Date]:[Sunset Time (POA&lt;20 W/m2)]],3,0),"")</f>
        <v>0.26458333333333334</v>
      </c>
      <c r="J27" s="34">
        <f>IFERROR(VLOOKUP(Tracker_BD[[#This Row],[Date]],Raw_Data[[Date]:[Sunset Time (POA&lt;20 W/m2)]],4,0),"")</f>
        <v>0.7680555555555556</v>
      </c>
      <c r="K27" s="28">
        <f>IFERROR((Tracker_BD[[#This Row],[Sunset Time (POA&lt;20 W/m2)]]-Tracker_BD[[#This Row],[Sunrise Time (POA&gt;20 W/m2)]])*24,"")</f>
        <v>12.083333333333336</v>
      </c>
      <c r="L27" s="2" t="s">
        <v>278</v>
      </c>
      <c r="M27" s="165"/>
      <c r="N27">
        <v>0</v>
      </c>
      <c r="O27" s="199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199" t="s">
        <v>346</v>
      </c>
      <c r="V27" s="199" t="s">
        <v>346</v>
      </c>
      <c r="W27" s="34">
        <v>0.63888888888888884</v>
      </c>
      <c r="X27" s="34">
        <v>0.63888888888888884</v>
      </c>
      <c r="Y27" s="34">
        <v>0.63888888888888884</v>
      </c>
      <c r="Z27" s="34">
        <v>0.65277777777777779</v>
      </c>
      <c r="AA27" s="28">
        <f>IF(Tracker_BD[[#This Row],[Fault Acknowledgement Time ]]="NA","",(Tracker_BD[[#This Row],[Fault Acknowledgement Time ]]-Tracker_BD[[#This Row],[Fault Time]])*24)</f>
        <v>0</v>
      </c>
      <c r="AB27" s="28">
        <f>IFERROR((Tracker_BD[[#This Row],[Work Start time on Fault]]-Tracker_BD[[#This Row],[Fault Time]])*24,"")</f>
        <v>0</v>
      </c>
      <c r="AC27" s="28">
        <f>IFERROR((Tracker_BD[[#This Row],[Work Completion time on fault]]-Tracker_BD[[#This Row],[Fault Time]])*24,"")</f>
        <v>0.33333333333333481</v>
      </c>
      <c r="AD27" s="28">
        <f>IFERROR((Tracker_BD[[#This Row],[Work Completion time on fault]]-Tracker_BD[[#This Row],[Fault Time]])*24,"")</f>
        <v>0.33333333333333481</v>
      </c>
      <c r="AE27" s="199" t="s">
        <v>395</v>
      </c>
      <c r="AF27" t="s">
        <v>266</v>
      </c>
      <c r="AG27" s="2"/>
      <c r="AH27" s="89"/>
      <c r="AI27" s="28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198" t="s">
        <v>4</v>
      </c>
      <c r="C28" s="2">
        <v>2025</v>
      </c>
      <c r="D28" s="2" t="s">
        <v>211</v>
      </c>
      <c r="E28" s="2" t="s">
        <v>211</v>
      </c>
      <c r="F28" s="31">
        <v>45748</v>
      </c>
      <c r="G28" s="2">
        <f>DAY(EOMONTH(Tracker_BD[[#This Row],[Month Year]],0))</f>
        <v>30</v>
      </c>
      <c r="H28" s="32">
        <v>45754</v>
      </c>
      <c r="I28" s="34">
        <f>IFERROR(VLOOKUP(Tracker_BD[[#This Row],[Date]],Raw_Data[[Date]:[Sunset Time (POA&lt;20 W/m2)]],3,0),"")</f>
        <v>0.26458333333333334</v>
      </c>
      <c r="J28" s="34">
        <f>IFERROR(VLOOKUP(Tracker_BD[[#This Row],[Date]],Raw_Data[[Date]:[Sunset Time (POA&lt;20 W/m2)]],4,0),"")</f>
        <v>0.7680555555555556</v>
      </c>
      <c r="K28" s="28">
        <f>IFERROR((Tracker_BD[[#This Row],[Sunset Time (POA&lt;20 W/m2)]]-Tracker_BD[[#This Row],[Sunrise Time (POA&gt;20 W/m2)]])*24,"")</f>
        <v>12.083333333333336</v>
      </c>
      <c r="L28" s="2" t="s">
        <v>278</v>
      </c>
      <c r="M28" s="165"/>
      <c r="N28">
        <v>0</v>
      </c>
      <c r="O28" s="199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199" t="s">
        <v>346</v>
      </c>
      <c r="V28" s="199" t="s">
        <v>346</v>
      </c>
      <c r="W28" s="34">
        <v>0.64583333333333337</v>
      </c>
      <c r="X28" s="34">
        <v>0.64583333333333337</v>
      </c>
      <c r="Y28" s="34">
        <v>0.64583333333333337</v>
      </c>
      <c r="Z28" s="34">
        <v>0.65972222222222221</v>
      </c>
      <c r="AA28" s="28">
        <f>IF(Tracker_BD[[#This Row],[Fault Acknowledgement Time ]]="NA","",(Tracker_BD[[#This Row],[Fault Acknowledgement Time ]]-Tracker_BD[[#This Row],[Fault Time]])*24)</f>
        <v>0</v>
      </c>
      <c r="AB28" s="28">
        <f>IFERROR((Tracker_BD[[#This Row],[Work Start time on Fault]]-Tracker_BD[[#This Row],[Fault Time]])*24,"")</f>
        <v>0</v>
      </c>
      <c r="AC28" s="28">
        <f>IFERROR((Tracker_BD[[#This Row],[Work Completion time on fault]]-Tracker_BD[[#This Row],[Fault Time]])*24,"")</f>
        <v>0.33333333333333215</v>
      </c>
      <c r="AD28" s="28">
        <f>IFERROR((Tracker_BD[[#This Row],[Work Completion time on fault]]-Tracker_BD[[#This Row],[Fault Time]])*24,"")</f>
        <v>0.33333333333333215</v>
      </c>
      <c r="AE28" s="199" t="s">
        <v>395</v>
      </c>
      <c r="AF28" t="s">
        <v>266</v>
      </c>
      <c r="AG28" s="2"/>
      <c r="AH28" s="89"/>
      <c r="AI28" s="28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198" t="s">
        <v>4</v>
      </c>
      <c r="C29" s="2">
        <v>2025</v>
      </c>
      <c r="D29" s="2" t="s">
        <v>211</v>
      </c>
      <c r="E29" s="2" t="s">
        <v>211</v>
      </c>
      <c r="F29" s="31">
        <v>45748</v>
      </c>
      <c r="G29" s="2">
        <f>DAY(EOMONTH(Tracker_BD[[#This Row],[Month Year]],0))</f>
        <v>30</v>
      </c>
      <c r="H29" s="32">
        <v>45757</v>
      </c>
      <c r="I29" s="34">
        <f>IFERROR(VLOOKUP(Tracker_BD[[#This Row],[Date]],Raw_Data[[Date]:[Sunset Time (POA&lt;20 W/m2)]],3,0),"")</f>
        <v>0.26319444444444445</v>
      </c>
      <c r="J29" s="34">
        <f>IFERROR(VLOOKUP(Tracker_BD[[#This Row],[Date]],Raw_Data[[Date]:[Sunset Time (POA&lt;20 W/m2)]],4,0),"")</f>
        <v>0.7729166666666667</v>
      </c>
      <c r="K29" s="28">
        <f>IFERROR((Tracker_BD[[#This Row],[Sunset Time (POA&lt;20 W/m2)]]-Tracker_BD[[#This Row],[Sunrise Time (POA&gt;20 W/m2)]])*24,"")</f>
        <v>12.233333333333333</v>
      </c>
      <c r="L29" s="2" t="s">
        <v>267</v>
      </c>
      <c r="M29" s="165"/>
      <c r="N29">
        <v>0</v>
      </c>
      <c r="O29" s="199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4">
        <v>0.63888888888888884</v>
      </c>
      <c r="X29" s="34">
        <v>0.63888888888888884</v>
      </c>
      <c r="Y29" s="34">
        <v>0.63888888888888884</v>
      </c>
      <c r="Z29" s="34">
        <v>0.66666666666666663</v>
      </c>
      <c r="AA29" s="28">
        <f>IF(Tracker_BD[[#This Row],[Fault Acknowledgement Time ]]="NA","",(Tracker_BD[[#This Row],[Fault Acknowledgement Time ]]-Tracker_BD[[#This Row],[Fault Time]])*24)</f>
        <v>0</v>
      </c>
      <c r="AB29" s="28">
        <f>IFERROR((Tracker_BD[[#This Row],[Work Start time on Fault]]-Tracker_BD[[#This Row],[Fault Time]])*24,"")</f>
        <v>0</v>
      </c>
      <c r="AC29" s="28">
        <f>IFERROR((Tracker_BD[[#This Row],[Work Completion time on fault]]-Tracker_BD[[#This Row],[Fault Time]])*24,"")</f>
        <v>0.66666666666666696</v>
      </c>
      <c r="AD29" s="28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89"/>
      <c r="AI29" s="28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198" t="s">
        <v>4</v>
      </c>
      <c r="C30" s="2">
        <v>2025</v>
      </c>
      <c r="D30" s="2" t="s">
        <v>211</v>
      </c>
      <c r="E30" s="2" t="s">
        <v>211</v>
      </c>
      <c r="F30" s="31">
        <v>45748</v>
      </c>
      <c r="G30" s="2">
        <f>DAY(EOMONTH(Tracker_BD[[#This Row],[Month Year]],0))</f>
        <v>30</v>
      </c>
      <c r="H30" s="32">
        <v>45757</v>
      </c>
      <c r="I30" s="34">
        <f>IFERROR(VLOOKUP(Tracker_BD[[#This Row],[Date]],Raw_Data[[Date]:[Sunset Time (POA&lt;20 W/m2)]],3,0),"")</f>
        <v>0.26319444444444445</v>
      </c>
      <c r="J30" s="34">
        <f>IFERROR(VLOOKUP(Tracker_BD[[#This Row],[Date]],Raw_Data[[Date]:[Sunset Time (POA&lt;20 W/m2)]],4,0),"")</f>
        <v>0.7729166666666667</v>
      </c>
      <c r="K30" s="28">
        <f>IFERROR((Tracker_BD[[#This Row],[Sunset Time (POA&lt;20 W/m2)]]-Tracker_BD[[#This Row],[Sunrise Time (POA&gt;20 W/m2)]])*24,"")</f>
        <v>12.233333333333333</v>
      </c>
      <c r="L30" s="2" t="s">
        <v>267</v>
      </c>
      <c r="M30" s="165"/>
      <c r="N30">
        <v>0</v>
      </c>
      <c r="O30" s="199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4">
        <v>0.68055555555555558</v>
      </c>
      <c r="X30" s="34">
        <v>0.68055555555555558</v>
      </c>
      <c r="Y30" s="34">
        <v>0.68055555555555558</v>
      </c>
      <c r="Z30" s="34">
        <v>0.69444444444444442</v>
      </c>
      <c r="AA30" s="28">
        <f>IF(Tracker_BD[[#This Row],[Fault Acknowledgement Time ]]="NA","",(Tracker_BD[[#This Row],[Fault Acknowledgement Time ]]-Tracker_BD[[#This Row],[Fault Time]])*24)</f>
        <v>0</v>
      </c>
      <c r="AB30" s="28">
        <f>IFERROR((Tracker_BD[[#This Row],[Work Start time on Fault]]-Tracker_BD[[#This Row],[Fault Time]])*24,"")</f>
        <v>0</v>
      </c>
      <c r="AC30" s="28">
        <f>IFERROR((Tracker_BD[[#This Row],[Work Completion time on fault]]-Tracker_BD[[#This Row],[Fault Time]])*24,"")</f>
        <v>0.33333333333333215</v>
      </c>
      <c r="AD30" s="28">
        <f>IFERROR((Tracker_BD[[#This Row],[Work Completion time on fault]]-Tracker_BD[[#This Row],[Fault Time]])*24,"")</f>
        <v>0.33333333333333215</v>
      </c>
      <c r="AE30" s="199" t="s">
        <v>334</v>
      </c>
      <c r="AF30" t="s">
        <v>266</v>
      </c>
      <c r="AG30" s="2"/>
      <c r="AH30" s="89"/>
      <c r="AI30" s="28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198" t="s">
        <v>4</v>
      </c>
      <c r="C31" s="2">
        <v>2025</v>
      </c>
      <c r="D31" s="2" t="s">
        <v>211</v>
      </c>
      <c r="E31" s="2" t="s">
        <v>211</v>
      </c>
      <c r="F31" s="31">
        <v>45748</v>
      </c>
      <c r="G31" s="2">
        <f>DAY(EOMONTH(Tracker_BD[[#This Row],[Month Year]],0))</f>
        <v>30</v>
      </c>
      <c r="H31" s="32">
        <v>45758</v>
      </c>
      <c r="I31" s="34">
        <f>IFERROR(VLOOKUP(Tracker_BD[[#This Row],[Date]],Raw_Data[[Date]:[Sunset Time (POA&lt;20 W/m2)]],3,0),"")</f>
        <v>0.2638888888888889</v>
      </c>
      <c r="J31" s="34">
        <f>IFERROR(VLOOKUP(Tracker_BD[[#This Row],[Date]],Raw_Data[[Date]:[Sunset Time (POA&lt;20 W/m2)]],4,0),"")</f>
        <v>0.75902777777777775</v>
      </c>
      <c r="K31" s="28">
        <f>IFERROR((Tracker_BD[[#This Row],[Sunset Time (POA&lt;20 W/m2)]]-Tracker_BD[[#This Row],[Sunrise Time (POA&gt;20 W/m2)]])*24,"")</f>
        <v>11.883333333333333</v>
      </c>
      <c r="L31" s="2" t="s">
        <v>267</v>
      </c>
      <c r="M31" s="165"/>
      <c r="N31">
        <v>0</v>
      </c>
      <c r="O31" s="199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4">
        <v>0.60416666666666663</v>
      </c>
      <c r="X31" s="34">
        <v>0.60416666666666663</v>
      </c>
      <c r="Y31" s="34">
        <v>0.60416666666666663</v>
      </c>
      <c r="Z31" s="34">
        <v>0.63194444444444442</v>
      </c>
      <c r="AA31" s="28">
        <f>IF(Tracker_BD[[#This Row],[Fault Acknowledgement Time ]]="NA","",(Tracker_BD[[#This Row],[Fault Acknowledgement Time ]]-Tracker_BD[[#This Row],[Fault Time]])*24)</f>
        <v>0</v>
      </c>
      <c r="AB31" s="28">
        <f>IFERROR((Tracker_BD[[#This Row],[Work Start time on Fault]]-Tracker_BD[[#This Row],[Fault Time]])*24,"")</f>
        <v>0</v>
      </c>
      <c r="AC31" s="28">
        <f>IFERROR((Tracker_BD[[#This Row],[Work Completion time on fault]]-Tracker_BD[[#This Row],[Fault Time]])*24,"")</f>
        <v>0.66666666666666696</v>
      </c>
      <c r="AD31" s="28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89"/>
      <c r="AI31" s="28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198" t="s">
        <v>4</v>
      </c>
      <c r="C32" s="2">
        <v>2025</v>
      </c>
      <c r="D32" s="2" t="s">
        <v>211</v>
      </c>
      <c r="E32" s="2" t="s">
        <v>211</v>
      </c>
      <c r="F32" s="31">
        <v>45748</v>
      </c>
      <c r="G32" s="2">
        <f>DAY(EOMONTH(Tracker_BD[[#This Row],[Month Year]],0))</f>
        <v>30</v>
      </c>
      <c r="H32" s="32">
        <v>45758</v>
      </c>
      <c r="I32" s="34">
        <f>IFERROR(VLOOKUP(Tracker_BD[[#This Row],[Date]],Raw_Data[[Date]:[Sunset Time (POA&lt;20 W/m2)]],3,0),"")</f>
        <v>0.2638888888888889</v>
      </c>
      <c r="J32" s="34">
        <f>IFERROR(VLOOKUP(Tracker_BD[[#This Row],[Date]],Raw_Data[[Date]:[Sunset Time (POA&lt;20 W/m2)]],4,0),"")</f>
        <v>0.75902777777777775</v>
      </c>
      <c r="K32" s="28">
        <f>IFERROR((Tracker_BD[[#This Row],[Sunset Time (POA&lt;20 W/m2)]]-Tracker_BD[[#This Row],[Sunrise Time (POA&gt;20 W/m2)]])*24,"")</f>
        <v>11.883333333333333</v>
      </c>
      <c r="L32" s="2" t="s">
        <v>267</v>
      </c>
      <c r="M32" s="165"/>
      <c r="N32">
        <v>0</v>
      </c>
      <c r="O32" s="199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4">
        <v>0.61805555555555558</v>
      </c>
      <c r="X32" s="34">
        <v>0.61805555555555558</v>
      </c>
      <c r="Y32" s="34">
        <v>0.61805555555555558</v>
      </c>
      <c r="Z32" s="34">
        <v>0.63888888888888884</v>
      </c>
      <c r="AA32" s="28">
        <f>IF(Tracker_BD[[#This Row],[Fault Acknowledgement Time ]]="NA","",(Tracker_BD[[#This Row],[Fault Acknowledgement Time ]]-Tracker_BD[[#This Row],[Fault Time]])*24)</f>
        <v>0</v>
      </c>
      <c r="AB32" s="28">
        <f>IFERROR((Tracker_BD[[#This Row],[Work Start time on Fault]]-Tracker_BD[[#This Row],[Fault Time]])*24,"")</f>
        <v>0</v>
      </c>
      <c r="AC32" s="28">
        <f>IFERROR((Tracker_BD[[#This Row],[Work Completion time on fault]]-Tracker_BD[[#This Row],[Fault Time]])*24,"")</f>
        <v>0.49999999999999822</v>
      </c>
      <c r="AD32" s="28">
        <f>IFERROR((Tracker_BD[[#This Row],[Work Completion time on fault]]-Tracker_BD[[#This Row],[Fault Time]])*24,"")</f>
        <v>0.49999999999999822</v>
      </c>
      <c r="AE32" s="199" t="s">
        <v>334</v>
      </c>
      <c r="AF32" t="s">
        <v>266</v>
      </c>
      <c r="AG32" s="2"/>
      <c r="AH32" s="89"/>
      <c r="AI32" s="28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198" t="s">
        <v>4</v>
      </c>
      <c r="C33" s="2">
        <v>2025</v>
      </c>
      <c r="D33" s="2" t="s">
        <v>211</v>
      </c>
      <c r="E33" s="2" t="s">
        <v>211</v>
      </c>
      <c r="F33" s="31">
        <v>45748</v>
      </c>
      <c r="G33" s="2">
        <f>DAY(EOMONTH(Tracker_BD[[#This Row],[Month Year]],0))</f>
        <v>30</v>
      </c>
      <c r="H33" s="32">
        <v>45758</v>
      </c>
      <c r="I33" s="34">
        <f>IFERROR(VLOOKUP(Tracker_BD[[#This Row],[Date]],Raw_Data[[Date]:[Sunset Time (POA&lt;20 W/m2)]],3,0),"")</f>
        <v>0.2638888888888889</v>
      </c>
      <c r="J33" s="34">
        <f>IFERROR(VLOOKUP(Tracker_BD[[#This Row],[Date]],Raw_Data[[Date]:[Sunset Time (POA&lt;20 W/m2)]],4,0),"")</f>
        <v>0.75902777777777775</v>
      </c>
      <c r="K33" s="28">
        <f>IFERROR((Tracker_BD[[#This Row],[Sunset Time (POA&lt;20 W/m2)]]-Tracker_BD[[#This Row],[Sunrise Time (POA&gt;20 W/m2)]])*24,"")</f>
        <v>11.883333333333333</v>
      </c>
      <c r="L33" s="2" t="s">
        <v>267</v>
      </c>
      <c r="M33" s="165"/>
      <c r="N33">
        <v>0</v>
      </c>
      <c r="O33" s="199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4">
        <v>0.65277777777777779</v>
      </c>
      <c r="X33" s="34">
        <v>0.65277777777777779</v>
      </c>
      <c r="Y33" s="34">
        <v>0.65277777777777779</v>
      </c>
      <c r="Z33" s="34">
        <v>0.6875</v>
      </c>
      <c r="AA33" s="28">
        <f>IF(Tracker_BD[[#This Row],[Fault Acknowledgement Time ]]="NA","",(Tracker_BD[[#This Row],[Fault Acknowledgement Time ]]-Tracker_BD[[#This Row],[Fault Time]])*24)</f>
        <v>0</v>
      </c>
      <c r="AB33" s="28">
        <f>IFERROR((Tracker_BD[[#This Row],[Work Start time on Fault]]-Tracker_BD[[#This Row],[Fault Time]])*24,"")</f>
        <v>0</v>
      </c>
      <c r="AC33" s="28">
        <f>IFERROR((Tracker_BD[[#This Row],[Work Completion time on fault]]-Tracker_BD[[#This Row],[Fault Time]])*24,"")</f>
        <v>0.83333333333333304</v>
      </c>
      <c r="AD33" s="28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89"/>
      <c r="AI33" s="28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198" t="s">
        <v>4</v>
      </c>
      <c r="C34" s="2">
        <v>2025</v>
      </c>
      <c r="D34" s="2" t="s">
        <v>211</v>
      </c>
      <c r="E34" s="2" t="s">
        <v>211</v>
      </c>
      <c r="F34" s="31">
        <v>45748</v>
      </c>
      <c r="G34" s="2">
        <f>DAY(EOMONTH(Tracker_BD[[#This Row],[Month Year]],0))</f>
        <v>30</v>
      </c>
      <c r="H34" s="32">
        <v>45758</v>
      </c>
      <c r="I34" s="34">
        <f>IFERROR(VLOOKUP(Tracker_BD[[#This Row],[Date]],Raw_Data[[Date]:[Sunset Time (POA&lt;20 W/m2)]],3,0),"")</f>
        <v>0.2638888888888889</v>
      </c>
      <c r="J34" s="34">
        <f>IFERROR(VLOOKUP(Tracker_BD[[#This Row],[Date]],Raw_Data[[Date]:[Sunset Time (POA&lt;20 W/m2)]],4,0),"")</f>
        <v>0.75902777777777775</v>
      </c>
      <c r="K34" s="28">
        <f>IFERROR((Tracker_BD[[#This Row],[Sunset Time (POA&lt;20 W/m2)]]-Tracker_BD[[#This Row],[Sunrise Time (POA&gt;20 W/m2)]])*24,"")</f>
        <v>11.883333333333333</v>
      </c>
      <c r="L34" s="2" t="s">
        <v>278</v>
      </c>
      <c r="M34" s="165"/>
      <c r="N34">
        <v>0</v>
      </c>
      <c r="O34" s="199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199" t="s">
        <v>346</v>
      </c>
      <c r="V34" s="199" t="s">
        <v>346</v>
      </c>
      <c r="W34" s="34">
        <v>0.70138888888888884</v>
      </c>
      <c r="X34" s="34">
        <v>0.70138888888888884</v>
      </c>
      <c r="Y34" s="34">
        <v>0.70138888888888884</v>
      </c>
      <c r="Z34" s="34">
        <v>0.71527777777777779</v>
      </c>
      <c r="AA34" s="28">
        <f>IF(Tracker_BD[[#This Row],[Fault Acknowledgement Time ]]="NA","",(Tracker_BD[[#This Row],[Fault Acknowledgement Time ]]-Tracker_BD[[#This Row],[Fault Time]])*24)</f>
        <v>0</v>
      </c>
      <c r="AB34" s="28">
        <f>IFERROR((Tracker_BD[[#This Row],[Work Start time on Fault]]-Tracker_BD[[#This Row],[Fault Time]])*24,"")</f>
        <v>0</v>
      </c>
      <c r="AC34" s="28">
        <f>IFERROR((Tracker_BD[[#This Row],[Work Completion time on fault]]-Tracker_BD[[#This Row],[Fault Time]])*24,"")</f>
        <v>0.33333333333333481</v>
      </c>
      <c r="AD34" s="28">
        <f>IFERROR((Tracker_BD[[#This Row],[Work Completion time on fault]]-Tracker_BD[[#This Row],[Fault Time]])*24,"")</f>
        <v>0.33333333333333481</v>
      </c>
      <c r="AE34" s="199" t="s">
        <v>395</v>
      </c>
      <c r="AF34" t="s">
        <v>266</v>
      </c>
      <c r="AG34" s="2"/>
      <c r="AH34" s="89"/>
      <c r="AI34" s="28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198" t="s">
        <v>4</v>
      </c>
      <c r="C35" s="2">
        <v>2025</v>
      </c>
      <c r="D35" s="2" t="s">
        <v>211</v>
      </c>
      <c r="E35" s="2" t="s">
        <v>211</v>
      </c>
      <c r="F35" s="31">
        <v>45748</v>
      </c>
      <c r="G35" s="2">
        <f>DAY(EOMONTH(Tracker_BD[[#This Row],[Month Year]],0))</f>
        <v>30</v>
      </c>
      <c r="H35" s="32">
        <v>45759</v>
      </c>
      <c r="I35" s="34">
        <f>IFERROR(VLOOKUP(Tracker_BD[[#This Row],[Date]],Raw_Data[[Date]:[Sunset Time (POA&lt;20 W/m2)]],3,0),"")</f>
        <v>0.26458333333333334</v>
      </c>
      <c r="J35" s="34">
        <f>IFERROR(VLOOKUP(Tracker_BD[[#This Row],[Date]],Raw_Data[[Date]:[Sunset Time (POA&lt;20 W/m2)]],4,0),"")</f>
        <v>0.76458333333333328</v>
      </c>
      <c r="K35" s="28">
        <f>IFERROR((Tracker_BD[[#This Row],[Sunset Time (POA&lt;20 W/m2)]]-Tracker_BD[[#This Row],[Sunrise Time (POA&gt;20 W/m2)]])*24,"")</f>
        <v>11.999999999999998</v>
      </c>
      <c r="L35" s="2" t="s">
        <v>267</v>
      </c>
      <c r="M35" s="165"/>
      <c r="N35">
        <v>0</v>
      </c>
      <c r="O35" s="199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4">
        <v>0.64236111111111116</v>
      </c>
      <c r="X35" s="34">
        <v>0.64236111111111116</v>
      </c>
      <c r="Y35" s="34">
        <v>0.64236111111111116</v>
      </c>
      <c r="Z35" s="34">
        <v>0.65972222222222221</v>
      </c>
      <c r="AA35" s="28">
        <f>IF(Tracker_BD[[#This Row],[Fault Acknowledgement Time ]]="NA","",(Tracker_BD[[#This Row],[Fault Acknowledgement Time ]]-Tracker_BD[[#This Row],[Fault Time]])*24)</f>
        <v>0</v>
      </c>
      <c r="AB35" s="28">
        <f>IFERROR((Tracker_BD[[#This Row],[Work Start time on Fault]]-Tracker_BD[[#This Row],[Fault Time]])*24,"")</f>
        <v>0</v>
      </c>
      <c r="AC35" s="28">
        <f>IFERROR((Tracker_BD[[#This Row],[Work Completion time on fault]]-Tracker_BD[[#This Row],[Fault Time]])*24,"")</f>
        <v>0.41666666666666519</v>
      </c>
      <c r="AD35" s="28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89"/>
      <c r="AI35" s="28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198" t="s">
        <v>4</v>
      </c>
      <c r="C36" s="2">
        <v>2025</v>
      </c>
      <c r="D36" s="2" t="s">
        <v>211</v>
      </c>
      <c r="E36" s="2" t="s">
        <v>211</v>
      </c>
      <c r="F36" s="31">
        <v>45748</v>
      </c>
      <c r="G36" s="2">
        <f>DAY(EOMONTH(Tracker_BD[[#This Row],[Month Year]],0))</f>
        <v>30</v>
      </c>
      <c r="H36" s="32">
        <v>45761</v>
      </c>
      <c r="I36" s="34">
        <f>IFERROR(VLOOKUP(Tracker_BD[[#This Row],[Date]],Raw_Data[[Date]:[Sunset Time (POA&lt;20 W/m2)]],3,0),"")</f>
        <v>0.2638888888888889</v>
      </c>
      <c r="J36" s="34">
        <f>IFERROR(VLOOKUP(Tracker_BD[[#This Row],[Date]],Raw_Data[[Date]:[Sunset Time (POA&lt;20 W/m2)]],4,0),"")</f>
        <v>0.76458333333333328</v>
      </c>
      <c r="K36" s="28">
        <f>IFERROR((Tracker_BD[[#This Row],[Sunset Time (POA&lt;20 W/m2)]]-Tracker_BD[[#This Row],[Sunrise Time (POA&gt;20 W/m2)]])*24,"")</f>
        <v>12.016666666666664</v>
      </c>
      <c r="L36" s="2" t="s">
        <v>267</v>
      </c>
      <c r="M36" s="165"/>
      <c r="N36">
        <v>0</v>
      </c>
      <c r="O36" s="199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4">
        <v>0.45833333333333331</v>
      </c>
      <c r="X36" s="34">
        <v>0.45833333333333331</v>
      </c>
      <c r="Y36" s="34">
        <v>0.45833333333333331</v>
      </c>
      <c r="Z36" s="34">
        <v>0.4861111111111111</v>
      </c>
      <c r="AA36" s="28">
        <f>IF(Tracker_BD[[#This Row],[Fault Acknowledgement Time ]]="NA","",(Tracker_BD[[#This Row],[Fault Acknowledgement Time ]]-Tracker_BD[[#This Row],[Fault Time]])*24)</f>
        <v>0</v>
      </c>
      <c r="AB36" s="28">
        <f>IFERROR((Tracker_BD[[#This Row],[Work Start time on Fault]]-Tracker_BD[[#This Row],[Fault Time]])*24,"")</f>
        <v>0</v>
      </c>
      <c r="AC36" s="28">
        <f>IFERROR((Tracker_BD[[#This Row],[Work Completion time on fault]]-Tracker_BD[[#This Row],[Fault Time]])*24,"")</f>
        <v>0.66666666666666696</v>
      </c>
      <c r="AD36" s="28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89"/>
      <c r="AI36" s="28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198" t="s">
        <v>4</v>
      </c>
      <c r="C37" s="2">
        <v>2025</v>
      </c>
      <c r="D37" s="2" t="s">
        <v>211</v>
      </c>
      <c r="E37" s="2" t="s">
        <v>211</v>
      </c>
      <c r="F37" s="31">
        <v>45748</v>
      </c>
      <c r="G37" s="2">
        <f>DAY(EOMONTH(Tracker_BD[[#This Row],[Month Year]],0))</f>
        <v>30</v>
      </c>
      <c r="H37" s="32">
        <v>45761</v>
      </c>
      <c r="I37" s="34">
        <f>IFERROR(VLOOKUP(Tracker_BD[[#This Row],[Date]],Raw_Data[[Date]:[Sunset Time (POA&lt;20 W/m2)]],3,0),"")</f>
        <v>0.2638888888888889</v>
      </c>
      <c r="J37" s="34">
        <f>IFERROR(VLOOKUP(Tracker_BD[[#This Row],[Date]],Raw_Data[[Date]:[Sunset Time (POA&lt;20 W/m2)]],4,0),"")</f>
        <v>0.76458333333333328</v>
      </c>
      <c r="K37" s="28">
        <f>IFERROR((Tracker_BD[[#This Row],[Sunset Time (POA&lt;20 W/m2)]]-Tracker_BD[[#This Row],[Sunrise Time (POA&gt;20 W/m2)]])*24,"")</f>
        <v>12.016666666666664</v>
      </c>
      <c r="L37" s="2" t="s">
        <v>267</v>
      </c>
      <c r="M37" s="165"/>
      <c r="N37">
        <v>0</v>
      </c>
      <c r="O37" s="199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4">
        <v>0.47222222222222221</v>
      </c>
      <c r="X37" s="34">
        <v>0.47222222222222221</v>
      </c>
      <c r="Y37" s="34">
        <v>0.47222222222222221</v>
      </c>
      <c r="Z37" s="34">
        <v>0.50694444444444442</v>
      </c>
      <c r="AA37" s="28">
        <f>IF(Tracker_BD[[#This Row],[Fault Acknowledgement Time ]]="NA","",(Tracker_BD[[#This Row],[Fault Acknowledgement Time ]]-Tracker_BD[[#This Row],[Fault Time]])*24)</f>
        <v>0</v>
      </c>
      <c r="AB37" s="28">
        <f>IFERROR((Tracker_BD[[#This Row],[Work Start time on Fault]]-Tracker_BD[[#This Row],[Fault Time]])*24,"")</f>
        <v>0</v>
      </c>
      <c r="AC37" s="28">
        <f>IFERROR((Tracker_BD[[#This Row],[Work Completion time on fault]]-Tracker_BD[[#This Row],[Fault Time]])*24,"")</f>
        <v>0.83333333333333304</v>
      </c>
      <c r="AD37" s="28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89"/>
      <c r="AI37" s="28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198" t="s">
        <v>4</v>
      </c>
      <c r="C38" s="2">
        <v>2025</v>
      </c>
      <c r="D38" s="2" t="s">
        <v>211</v>
      </c>
      <c r="E38" s="2" t="s">
        <v>211</v>
      </c>
      <c r="F38" s="31">
        <v>45748</v>
      </c>
      <c r="G38" s="2">
        <f>DAY(EOMONTH(Tracker_BD[[#This Row],[Month Year]],0))</f>
        <v>30</v>
      </c>
      <c r="H38" s="32">
        <v>45762</v>
      </c>
      <c r="I38" s="34">
        <f>IFERROR(VLOOKUP(Tracker_BD[[#This Row],[Date]],Raw_Data[[Date]:[Sunset Time (POA&lt;20 W/m2)]],3,0),"")</f>
        <v>0.26527777777777778</v>
      </c>
      <c r="J38" s="34">
        <f>IFERROR(VLOOKUP(Tracker_BD[[#This Row],[Date]],Raw_Data[[Date]:[Sunset Time (POA&lt;20 W/m2)]],4,0),"")</f>
        <v>0.76458333333333328</v>
      </c>
      <c r="K38" s="28">
        <f>IFERROR((Tracker_BD[[#This Row],[Sunset Time (POA&lt;20 W/m2)]]-Tracker_BD[[#This Row],[Sunrise Time (POA&gt;20 W/m2)]])*24,"")</f>
        <v>11.983333333333333</v>
      </c>
      <c r="L38" s="2" t="s">
        <v>267</v>
      </c>
      <c r="M38" s="165"/>
      <c r="N38">
        <v>0</v>
      </c>
      <c r="O38" s="199" t="s">
        <v>186</v>
      </c>
      <c r="P38" s="97" t="s">
        <v>268</v>
      </c>
      <c r="Q38" s="97" t="s">
        <v>270</v>
      </c>
      <c r="R38">
        <v>32</v>
      </c>
      <c r="S38" s="97" t="s">
        <v>349</v>
      </c>
      <c r="T38" t="s">
        <v>269</v>
      </c>
      <c r="U38" t="s">
        <v>293</v>
      </c>
      <c r="V38" t="s">
        <v>293</v>
      </c>
      <c r="W38" s="34">
        <v>0.65625</v>
      </c>
      <c r="X38" s="34">
        <v>0.65625</v>
      </c>
      <c r="Y38" s="34">
        <v>0.65625</v>
      </c>
      <c r="Z38" s="34">
        <v>0.72222222222222221</v>
      </c>
      <c r="AA38" s="28">
        <f>IF(Tracker_BD[[#This Row],[Fault Acknowledgement Time ]]="NA","",(Tracker_BD[[#This Row],[Fault Acknowledgement Time ]]-Tracker_BD[[#This Row],[Fault Time]])*24)</f>
        <v>0</v>
      </c>
      <c r="AB38" s="28">
        <f>IFERROR((Tracker_BD[[#This Row],[Work Start time on Fault]]-Tracker_BD[[#This Row],[Fault Time]])*24,"")</f>
        <v>0</v>
      </c>
      <c r="AC38" s="28">
        <f>IFERROR((Tracker_BD[[#This Row],[Work Completion time on fault]]-Tracker_BD[[#This Row],[Fault Time]])*24,"")</f>
        <v>1.583333333333333</v>
      </c>
      <c r="AD38" s="28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89"/>
      <c r="AI38" s="28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1">
        <v>45748</v>
      </c>
      <c r="G39" s="2">
        <v>30</v>
      </c>
      <c r="H39" s="32">
        <v>45764</v>
      </c>
      <c r="I39" s="34">
        <f>IFERROR(VLOOKUP(Tracker_BD[[#This Row],[Date]],Raw_Data[[Date]:[Sunset Time (POA&lt;20 W/m2)]],3,0),"")</f>
        <v>0.2638888888888889</v>
      </c>
      <c r="J39" s="34">
        <f>IFERROR(VLOOKUP(Tracker_BD[[#This Row],[Date]],Raw_Data[[Date]:[Sunset Time (POA&lt;20 W/m2)]],4,0),"")</f>
        <v>0.76388888888888884</v>
      </c>
      <c r="K39" s="28">
        <f>IFERROR((Tracker_BD[[#This Row],[Sunset Time (POA&lt;20 W/m2)]]-Tracker_BD[[#This Row],[Sunrise Time (POA&gt;20 W/m2)]])*24,"")</f>
        <v>11.999999999999998</v>
      </c>
      <c r="L39" s="2" t="s">
        <v>267</v>
      </c>
      <c r="M39" s="165"/>
      <c r="N39">
        <v>0</v>
      </c>
      <c r="O39" s="199" t="s">
        <v>185</v>
      </c>
      <c r="P39" s="97" t="s">
        <v>263</v>
      </c>
      <c r="Q39" s="97" t="s">
        <v>271</v>
      </c>
      <c r="R39">
        <v>90</v>
      </c>
      <c r="S39" s="97" t="s">
        <v>351</v>
      </c>
      <c r="T39" t="s">
        <v>269</v>
      </c>
      <c r="U39" t="s">
        <v>293</v>
      </c>
      <c r="V39" t="s">
        <v>293</v>
      </c>
      <c r="W39" s="34">
        <v>0.35416666666666669</v>
      </c>
      <c r="X39" s="34">
        <v>0.35416666666666669</v>
      </c>
      <c r="Y39" s="34">
        <v>0.35416666666666669</v>
      </c>
      <c r="Z39" s="34">
        <v>0.40625</v>
      </c>
      <c r="AA39" s="28">
        <f>IF(Tracker_BD[[#This Row],[Fault Acknowledgement Time ]]="NA","",(Tracker_BD[[#This Row],[Fault Acknowledgement Time ]]-Tracker_BD[[#This Row],[Fault Time]])*24)</f>
        <v>0</v>
      </c>
      <c r="AB39" s="28">
        <f>IFERROR((Tracker_BD[[#This Row],[Work Start time on Fault]]-Tracker_BD[[#This Row],[Fault Time]])*24,"")</f>
        <v>0</v>
      </c>
      <c r="AC39" s="28">
        <f>IFERROR((Tracker_BD[[#This Row],[Work Completion time on fault]]-Tracker_BD[[#This Row],[Fault Time]])*24,"")</f>
        <v>1.2499999999999996</v>
      </c>
      <c r="AD39" s="28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89"/>
      <c r="AI39" s="28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1">
        <v>45748</v>
      </c>
      <c r="G40" s="2">
        <v>30</v>
      </c>
      <c r="H40" s="32">
        <v>45766</v>
      </c>
      <c r="I40" s="34">
        <f>IFERROR(VLOOKUP(Tracker_BD[[#This Row],[Date]],Raw_Data[[Date]:[Sunset Time (POA&lt;20 W/m2)]],3,0),"")</f>
        <v>0.26597222222222222</v>
      </c>
      <c r="J40" s="34">
        <f>IFERROR(VLOOKUP(Tracker_BD[[#This Row],[Date]],Raw_Data[[Date]:[Sunset Time (POA&lt;20 W/m2)]],4,0),"")</f>
        <v>0.7583333333333333</v>
      </c>
      <c r="K40" s="28">
        <f>IFERROR((Tracker_BD[[#This Row],[Sunset Time (POA&lt;20 W/m2)]]-Tracker_BD[[#This Row],[Sunrise Time (POA&gt;20 W/m2)]])*24,"")</f>
        <v>11.816666666666666</v>
      </c>
      <c r="L40" s="2" t="s">
        <v>267</v>
      </c>
      <c r="M40" s="165"/>
      <c r="N40">
        <v>0</v>
      </c>
      <c r="O40" s="199" t="s">
        <v>187</v>
      </c>
      <c r="P40" s="97" t="s">
        <v>268</v>
      </c>
      <c r="Q40" s="97" t="s">
        <v>270</v>
      </c>
      <c r="R40">
        <v>73</v>
      </c>
      <c r="S40" s="97" t="s">
        <v>406</v>
      </c>
      <c r="T40" t="s">
        <v>269</v>
      </c>
      <c r="U40" t="s">
        <v>293</v>
      </c>
      <c r="V40" t="s">
        <v>293</v>
      </c>
      <c r="W40" s="34">
        <v>0.36458333333333331</v>
      </c>
      <c r="X40" s="34">
        <v>0.36458333333333331</v>
      </c>
      <c r="Y40" s="34">
        <v>0.36458333333333331</v>
      </c>
      <c r="Z40" s="34">
        <v>0.40972222222222221</v>
      </c>
      <c r="AA40" s="28">
        <f>IF(Tracker_BD[[#This Row],[Fault Acknowledgement Time ]]="NA","",(Tracker_BD[[#This Row],[Fault Acknowledgement Time ]]-Tracker_BD[[#This Row],[Fault Time]])*24)</f>
        <v>0</v>
      </c>
      <c r="AB40" s="28">
        <f>IFERROR((Tracker_BD[[#This Row],[Work Start time on Fault]]-Tracker_BD[[#This Row],[Fault Time]])*24,"")</f>
        <v>0</v>
      </c>
      <c r="AC40" s="28">
        <f>IFERROR((Tracker_BD[[#This Row],[Work Completion time on fault]]-Tracker_BD[[#This Row],[Fault Time]])*24,"")</f>
        <v>1.0833333333333335</v>
      </c>
      <c r="AD40" s="28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89"/>
      <c r="AI40" s="28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1">
        <v>45748</v>
      </c>
      <c r="G41" s="2">
        <f>DAY(EOMONTH(Tracker_BD[[#This Row],[Month Year]],0))</f>
        <v>30</v>
      </c>
      <c r="H41" s="32">
        <v>45766</v>
      </c>
      <c r="I41" s="34">
        <f>IFERROR(VLOOKUP(Tracker_BD[[#This Row],[Date]],Raw_Data[[Date]:[Sunset Time (POA&lt;20 W/m2)]],3,0),"")</f>
        <v>0.26597222222222222</v>
      </c>
      <c r="J41" s="34">
        <f>IFERROR(VLOOKUP(Tracker_BD[[#This Row],[Date]],Raw_Data[[Date]:[Sunset Time (POA&lt;20 W/m2)]],4,0),"")</f>
        <v>0.7583333333333333</v>
      </c>
      <c r="K41" s="28">
        <f>IFERROR((Tracker_BD[[#This Row],[Sunset Time (POA&lt;20 W/m2)]]-Tracker_BD[[#This Row],[Sunrise Time (POA&gt;20 W/m2)]])*24,"")</f>
        <v>11.816666666666666</v>
      </c>
      <c r="L41" s="2" t="s">
        <v>267</v>
      </c>
      <c r="M41" s="165"/>
      <c r="N41">
        <v>0</v>
      </c>
      <c r="O41" s="199" t="s">
        <v>187</v>
      </c>
      <c r="P41" s="97" t="s">
        <v>268</v>
      </c>
      <c r="Q41" s="97" t="s">
        <v>270</v>
      </c>
      <c r="R41">
        <v>67</v>
      </c>
      <c r="S41" s="97" t="s">
        <v>424</v>
      </c>
      <c r="T41" t="s">
        <v>269</v>
      </c>
      <c r="U41" t="s">
        <v>293</v>
      </c>
      <c r="V41" t="s">
        <v>293</v>
      </c>
      <c r="W41" s="34">
        <v>0.39930555555555558</v>
      </c>
      <c r="X41" s="34">
        <v>0.39930555555555558</v>
      </c>
      <c r="Y41" s="34">
        <v>0.39930555555555558</v>
      </c>
      <c r="Z41" s="34">
        <v>0.44791666666666669</v>
      </c>
      <c r="AA41" s="28">
        <f>IF(Tracker_BD[[#This Row],[Fault Acknowledgement Time ]]="NA","",(Tracker_BD[[#This Row],[Fault Acknowledgement Time ]]-Tracker_BD[[#This Row],[Fault Time]])*24)</f>
        <v>0</v>
      </c>
      <c r="AB41" s="28">
        <f>IFERROR((Tracker_BD[[#This Row],[Work Start time on Fault]]-Tracker_BD[[#This Row],[Fault Time]])*24,"")</f>
        <v>0</v>
      </c>
      <c r="AC41" s="28">
        <f>IFERROR((Tracker_BD[[#This Row],[Work Completion time on fault]]-Tracker_BD[[#This Row],[Fault Time]])*24,"")</f>
        <v>1.1666666666666665</v>
      </c>
      <c r="AD41" s="28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89"/>
      <c r="AI41" s="28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1">
        <v>45748</v>
      </c>
      <c r="G42" s="2">
        <f>DAY(EOMONTH(Tracker_BD[[#This Row],[Month Year]],0))</f>
        <v>30</v>
      </c>
      <c r="H42" s="32">
        <v>45766</v>
      </c>
      <c r="I42" s="34">
        <f>IFERROR(VLOOKUP(Tracker_BD[[#This Row],[Date]],Raw_Data[[Date]:[Sunset Time (POA&lt;20 W/m2)]],3,0),"")</f>
        <v>0.26597222222222222</v>
      </c>
      <c r="J42" s="34">
        <f>IFERROR(VLOOKUP(Tracker_BD[[#This Row],[Date]],Raw_Data[[Date]:[Sunset Time (POA&lt;20 W/m2)]],4,0),"")</f>
        <v>0.7583333333333333</v>
      </c>
      <c r="K42" s="28">
        <f>IFERROR((Tracker_BD[[#This Row],[Sunset Time (POA&lt;20 W/m2)]]-Tracker_BD[[#This Row],[Sunrise Time (POA&gt;20 W/m2)]])*24,"")</f>
        <v>11.816666666666666</v>
      </c>
      <c r="L42" s="2" t="s">
        <v>267</v>
      </c>
      <c r="M42" s="165"/>
      <c r="N42">
        <v>0</v>
      </c>
      <c r="O42" s="199" t="s">
        <v>186</v>
      </c>
      <c r="P42" s="97" t="s">
        <v>268</v>
      </c>
      <c r="Q42" s="97" t="s">
        <v>270</v>
      </c>
      <c r="R42">
        <v>64</v>
      </c>
      <c r="S42" s="97" t="s">
        <v>408</v>
      </c>
      <c r="T42" t="s">
        <v>269</v>
      </c>
      <c r="U42" t="s">
        <v>293</v>
      </c>
      <c r="V42" t="s">
        <v>293</v>
      </c>
      <c r="W42" s="34">
        <v>0.41666666666666669</v>
      </c>
      <c r="X42" s="34">
        <v>0.41666666666666669</v>
      </c>
      <c r="Y42" s="34">
        <v>0.41666666666666669</v>
      </c>
      <c r="Z42" s="34">
        <v>0.45833333333333331</v>
      </c>
      <c r="AA42" s="28">
        <f>IF(Tracker_BD[[#This Row],[Fault Acknowledgement Time ]]="NA","",(Tracker_BD[[#This Row],[Fault Acknowledgement Time ]]-Tracker_BD[[#This Row],[Fault Time]])*24)</f>
        <v>0</v>
      </c>
      <c r="AB42" s="28">
        <f>IFERROR((Tracker_BD[[#This Row],[Work Start time on Fault]]-Tracker_BD[[#This Row],[Fault Time]])*24,"")</f>
        <v>0</v>
      </c>
      <c r="AC42" s="28">
        <f>IFERROR((Tracker_BD[[#This Row],[Work Completion time on fault]]-Tracker_BD[[#This Row],[Fault Time]])*24,"")</f>
        <v>0.99999999999999911</v>
      </c>
      <c r="AD42" s="28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89"/>
      <c r="AI42" s="28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1">
        <v>45748</v>
      </c>
      <c r="G43" s="2">
        <f>DAY(EOMONTH(Tracker_BD[[#This Row],[Month Year]],0))</f>
        <v>30</v>
      </c>
      <c r="H43" s="32">
        <v>45767</v>
      </c>
      <c r="I43" s="34">
        <f>IFERROR(VLOOKUP(Tracker_BD[[#This Row],[Date]],Raw_Data[[Date]:[Sunset Time (POA&lt;20 W/m2)]],3,0),"")</f>
        <v>0.2673611111111111</v>
      </c>
      <c r="J43" s="34">
        <f>IFERROR(VLOOKUP(Tracker_BD[[#This Row],[Date]],Raw_Data[[Date]:[Sunset Time (POA&lt;20 W/m2)]],4,0),"")</f>
        <v>0.75347222222222221</v>
      </c>
      <c r="K43" s="28">
        <f>IFERROR((Tracker_BD[[#This Row],[Sunset Time (POA&lt;20 W/m2)]]-Tracker_BD[[#This Row],[Sunrise Time (POA&gt;20 W/m2)]])*24,"")</f>
        <v>11.666666666666666</v>
      </c>
      <c r="L43" s="2" t="s">
        <v>267</v>
      </c>
      <c r="M43" s="165"/>
      <c r="N43">
        <v>0</v>
      </c>
      <c r="O43" s="199" t="s">
        <v>185</v>
      </c>
      <c r="P43" s="97" t="s">
        <v>268</v>
      </c>
      <c r="Q43" s="97" t="s">
        <v>270</v>
      </c>
      <c r="R43" s="128">
        <v>120</v>
      </c>
      <c r="S43" s="97" t="s">
        <v>355</v>
      </c>
      <c r="T43" t="s">
        <v>269</v>
      </c>
      <c r="U43" t="s">
        <v>293</v>
      </c>
      <c r="V43" t="s">
        <v>293</v>
      </c>
      <c r="W43" s="34">
        <v>0.40625</v>
      </c>
      <c r="X43" s="34">
        <v>0.40625</v>
      </c>
      <c r="Y43" s="34">
        <v>0.40625</v>
      </c>
      <c r="Z43" s="34">
        <v>0.46875</v>
      </c>
      <c r="AA43" s="28">
        <f>IF(Tracker_BD[[#This Row],[Fault Acknowledgement Time ]]="NA","",(Tracker_BD[[#This Row],[Fault Acknowledgement Time ]]-Tracker_BD[[#This Row],[Fault Time]])*24)</f>
        <v>0</v>
      </c>
      <c r="AB43" s="28">
        <f>IFERROR((Tracker_BD[[#This Row],[Work Start time on Fault]]-Tracker_BD[[#This Row],[Fault Time]])*24,"")</f>
        <v>0</v>
      </c>
      <c r="AC43" s="28">
        <f>IFERROR((Tracker_BD[[#This Row],[Work Completion time on fault]]-Tracker_BD[[#This Row],[Fault Time]])*24,"")</f>
        <v>1.5</v>
      </c>
      <c r="AD43" s="28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89"/>
      <c r="AI43" s="28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1">
        <v>45748</v>
      </c>
      <c r="G44" s="2">
        <f>DAY(EOMONTH(Tracker_BD[[#This Row],[Month Year]],0))</f>
        <v>30</v>
      </c>
      <c r="H44" s="32">
        <v>45768</v>
      </c>
      <c r="I44" s="34">
        <f>IFERROR(VLOOKUP(Tracker_BD[[#This Row],[Date]],Raw_Data[[Date]:[Sunset Time (POA&lt;20 W/m2)]],3,0),"")</f>
        <v>0.26319444444444445</v>
      </c>
      <c r="J44" s="34">
        <f>IFERROR(VLOOKUP(Tracker_BD[[#This Row],[Date]],Raw_Data[[Date]:[Sunset Time (POA&lt;20 W/m2)]],4,0),"")</f>
        <v>0.76666666666666672</v>
      </c>
      <c r="K44" s="28">
        <f>IFERROR((Tracker_BD[[#This Row],[Sunset Time (POA&lt;20 W/m2)]]-Tracker_BD[[#This Row],[Sunrise Time (POA&gt;20 W/m2)]])*24,"")</f>
        <v>12.083333333333336</v>
      </c>
      <c r="L44" s="2" t="s">
        <v>267</v>
      </c>
      <c r="M44" s="165"/>
      <c r="N44">
        <v>0</v>
      </c>
      <c r="O44" s="199" t="s">
        <v>186</v>
      </c>
      <c r="P44" s="97" t="s">
        <v>272</v>
      </c>
      <c r="Q44" s="97" t="s">
        <v>268</v>
      </c>
      <c r="R44" s="128">
        <v>12</v>
      </c>
      <c r="S44" s="97" t="s">
        <v>377</v>
      </c>
      <c r="T44" t="s">
        <v>269</v>
      </c>
      <c r="U44" t="s">
        <v>293</v>
      </c>
      <c r="V44" t="s">
        <v>293</v>
      </c>
      <c r="W44" s="34">
        <v>0.59027777777777779</v>
      </c>
      <c r="X44" s="34">
        <v>0.59027777777777779</v>
      </c>
      <c r="Y44" s="34">
        <v>0.59027777777777779</v>
      </c>
      <c r="Z44" s="34">
        <v>0.61805555555555558</v>
      </c>
      <c r="AA44" s="28">
        <f>IF(Tracker_BD[[#This Row],[Fault Acknowledgement Time ]]="NA","",(Tracker_BD[[#This Row],[Fault Acknowledgement Time ]]-Tracker_BD[[#This Row],[Fault Time]])*24)</f>
        <v>0</v>
      </c>
      <c r="AB44" s="28">
        <f>IFERROR((Tracker_BD[[#This Row],[Work Start time on Fault]]-Tracker_BD[[#This Row],[Fault Time]])*24,"")</f>
        <v>0</v>
      </c>
      <c r="AC44" s="28">
        <f>IFERROR((Tracker_BD[[#This Row],[Work Completion time on fault]]-Tracker_BD[[#This Row],[Fault Time]])*24,"")</f>
        <v>0.66666666666666696</v>
      </c>
      <c r="AD44" s="28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89"/>
      <c r="AI44" s="28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1">
        <v>45748</v>
      </c>
      <c r="G45" s="2">
        <f>DAY(EOMONTH(Tracker_BD[[#This Row],[Month Year]],0))</f>
        <v>30</v>
      </c>
      <c r="H45" s="32">
        <v>45768</v>
      </c>
      <c r="I45" s="34">
        <f>IFERROR(VLOOKUP(Tracker_BD[[#This Row],[Date]],Raw_Data[[Date]:[Sunset Time (POA&lt;20 W/m2)]],3,0),"")</f>
        <v>0.26319444444444445</v>
      </c>
      <c r="J45" s="34">
        <f>IFERROR(VLOOKUP(Tracker_BD[[#This Row],[Date]],Raw_Data[[Date]:[Sunset Time (POA&lt;20 W/m2)]],4,0),"")</f>
        <v>0.76666666666666672</v>
      </c>
      <c r="K45" s="28">
        <f>IFERROR((Tracker_BD[[#This Row],[Sunset Time (POA&lt;20 W/m2)]]-Tracker_BD[[#This Row],[Sunrise Time (POA&gt;20 W/m2)]])*24,"")</f>
        <v>12.083333333333336</v>
      </c>
      <c r="L45" s="2" t="s">
        <v>267</v>
      </c>
      <c r="M45" s="165"/>
      <c r="N45">
        <v>0</v>
      </c>
      <c r="O45" s="199" t="s">
        <v>184</v>
      </c>
      <c r="P45" s="97" t="s">
        <v>263</v>
      </c>
      <c r="Q45" s="97" t="s">
        <v>271</v>
      </c>
      <c r="R45" s="128">
        <v>86</v>
      </c>
      <c r="S45" s="97" t="s">
        <v>375</v>
      </c>
      <c r="T45" t="s">
        <v>269</v>
      </c>
      <c r="U45" t="s">
        <v>293</v>
      </c>
      <c r="V45" t="s">
        <v>293</v>
      </c>
      <c r="W45" s="34">
        <v>0.61111111111111116</v>
      </c>
      <c r="X45" s="34">
        <v>0.61111111111111116</v>
      </c>
      <c r="Y45" s="34">
        <v>0.61111111111111116</v>
      </c>
      <c r="Z45" s="34">
        <v>0.65277777777777779</v>
      </c>
      <c r="AA45" s="28">
        <f>IF(Tracker_BD[[#This Row],[Fault Acknowledgement Time ]]="NA","",(Tracker_BD[[#This Row],[Fault Acknowledgement Time ]]-Tracker_BD[[#This Row],[Fault Time]])*24)</f>
        <v>0</v>
      </c>
      <c r="AB45" s="28">
        <f>IFERROR((Tracker_BD[[#This Row],[Work Start time on Fault]]-Tracker_BD[[#This Row],[Fault Time]])*24,"")</f>
        <v>0</v>
      </c>
      <c r="AC45" s="28">
        <f>IFERROR((Tracker_BD[[#This Row],[Work Completion time on fault]]-Tracker_BD[[#This Row],[Fault Time]])*24,"")</f>
        <v>0.99999999999999911</v>
      </c>
      <c r="AD45" s="28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89"/>
      <c r="AI45" s="28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1">
        <v>45748</v>
      </c>
      <c r="G46" s="2">
        <f>DAY(EOMONTH(Tracker_BD[[#This Row],[Month Year]],0))</f>
        <v>30</v>
      </c>
      <c r="H46" s="32">
        <v>45768</v>
      </c>
      <c r="I46" s="34">
        <f>IFERROR(VLOOKUP(Tracker_BD[[#This Row],[Date]],Raw_Data[[Date]:[Sunset Time (POA&lt;20 W/m2)]],3,0),"")</f>
        <v>0.26319444444444445</v>
      </c>
      <c r="J46" s="34">
        <f>IFERROR(VLOOKUP(Tracker_BD[[#This Row],[Date]],Raw_Data[[Date]:[Sunset Time (POA&lt;20 W/m2)]],4,0),"")</f>
        <v>0.76666666666666672</v>
      </c>
      <c r="K46" s="28">
        <f>IFERROR((Tracker_BD[[#This Row],[Sunset Time (POA&lt;20 W/m2)]]-Tracker_BD[[#This Row],[Sunrise Time (POA&gt;20 W/m2)]])*24,"")</f>
        <v>12.083333333333336</v>
      </c>
      <c r="L46" s="2" t="s">
        <v>267</v>
      </c>
      <c r="M46" s="165"/>
      <c r="N46">
        <v>0</v>
      </c>
      <c r="O46" s="199" t="s">
        <v>184</v>
      </c>
      <c r="P46" s="97" t="s">
        <v>263</v>
      </c>
      <c r="Q46" s="97" t="s">
        <v>271</v>
      </c>
      <c r="R46" s="128">
        <v>86</v>
      </c>
      <c r="S46" s="97" t="s">
        <v>310</v>
      </c>
      <c r="T46" t="s">
        <v>269</v>
      </c>
      <c r="U46" t="s">
        <v>293</v>
      </c>
      <c r="V46" t="s">
        <v>293</v>
      </c>
      <c r="W46" s="34">
        <v>0.64930555555555558</v>
      </c>
      <c r="X46" s="34">
        <v>0.64930555555555558</v>
      </c>
      <c r="Y46" s="34">
        <v>0.64930555555555558</v>
      </c>
      <c r="Z46" s="34">
        <v>0.67361111111111116</v>
      </c>
      <c r="AA46" s="28">
        <f>IF(Tracker_BD[[#This Row],[Fault Acknowledgement Time ]]="NA","",(Tracker_BD[[#This Row],[Fault Acknowledgement Time ]]-Tracker_BD[[#This Row],[Fault Time]])*24)</f>
        <v>0</v>
      </c>
      <c r="AB46" s="28">
        <f>IFERROR((Tracker_BD[[#This Row],[Work Start time on Fault]]-Tracker_BD[[#This Row],[Fault Time]])*24,"")</f>
        <v>0</v>
      </c>
      <c r="AC46" s="28">
        <f>IFERROR((Tracker_BD[[#This Row],[Work Completion time on fault]]-Tracker_BD[[#This Row],[Fault Time]])*24,"")</f>
        <v>0.58333333333333393</v>
      </c>
      <c r="AD46" s="28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89"/>
      <c r="AI46" s="28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1">
        <v>45748</v>
      </c>
      <c r="G47" s="2">
        <f>DAY(EOMONTH(Tracker_BD[[#This Row],[Month Year]],0))</f>
        <v>30</v>
      </c>
      <c r="H47" s="32">
        <v>45769</v>
      </c>
      <c r="I47" s="34">
        <f>IFERROR(VLOOKUP(Tracker_BD[[#This Row],[Date]],Raw_Data[[Date]:[Sunset Time (POA&lt;20 W/m2)]],3,0),"")</f>
        <v>0.26041666666666669</v>
      </c>
      <c r="J47" s="34">
        <f>IFERROR(VLOOKUP(Tracker_BD[[#This Row],[Date]],Raw_Data[[Date]:[Sunset Time (POA&lt;20 W/m2)]],4,0),"")</f>
        <v>0.76736111111111116</v>
      </c>
      <c r="K47" s="28">
        <f>IFERROR((Tracker_BD[[#This Row],[Sunset Time (POA&lt;20 W/m2)]]-Tracker_BD[[#This Row],[Sunrise Time (POA&gt;20 W/m2)]])*24,"")</f>
        <v>12.166666666666666</v>
      </c>
      <c r="L47" s="2" t="s">
        <v>267</v>
      </c>
      <c r="M47" s="165"/>
      <c r="N47">
        <v>0</v>
      </c>
      <c r="O47" s="199" t="s">
        <v>187</v>
      </c>
      <c r="P47" s="97" t="s">
        <v>263</v>
      </c>
      <c r="Q47" s="97" t="s">
        <v>271</v>
      </c>
      <c r="R47" s="128">
        <v>116</v>
      </c>
      <c r="S47" s="97" t="s">
        <v>343</v>
      </c>
      <c r="T47" t="s">
        <v>269</v>
      </c>
      <c r="U47" t="s">
        <v>293</v>
      </c>
      <c r="V47" t="s">
        <v>293</v>
      </c>
      <c r="W47" s="34">
        <v>0.67361111111111116</v>
      </c>
      <c r="X47" s="34">
        <v>0.67361111111111116</v>
      </c>
      <c r="Y47" s="34">
        <v>0.67361111111111116</v>
      </c>
      <c r="Z47" s="34">
        <v>0.69444444444444442</v>
      </c>
      <c r="AA47" s="28">
        <f>IF(Tracker_BD[[#This Row],[Fault Acknowledgement Time ]]="NA","",(Tracker_BD[[#This Row],[Fault Acknowledgement Time ]]-Tracker_BD[[#This Row],[Fault Time]])*24)</f>
        <v>0</v>
      </c>
      <c r="AB47" s="28">
        <f>IFERROR((Tracker_BD[[#This Row],[Work Start time on Fault]]-Tracker_BD[[#This Row],[Fault Time]])*24,"")</f>
        <v>0</v>
      </c>
      <c r="AC47" s="28">
        <f>IFERROR((Tracker_BD[[#This Row],[Work Completion time on fault]]-Tracker_BD[[#This Row],[Fault Time]])*24,"")</f>
        <v>0.49999999999999822</v>
      </c>
      <c r="AD47" s="28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89"/>
      <c r="AI47" s="28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1">
        <v>45748</v>
      </c>
      <c r="G48" s="2">
        <f>DAY(EOMONTH(Tracker_BD[[#This Row],[Month Year]],0))</f>
        <v>30</v>
      </c>
      <c r="H48" s="32">
        <v>45769</v>
      </c>
      <c r="I48" s="34">
        <f>IFERROR(VLOOKUP(Tracker_BD[[#This Row],[Date]],Raw_Data[[Date]:[Sunset Time (POA&lt;20 W/m2)]],3,0),"")</f>
        <v>0.26041666666666669</v>
      </c>
      <c r="J48" s="34">
        <f>IFERROR(VLOOKUP(Tracker_BD[[#This Row],[Date]],Raw_Data[[Date]:[Sunset Time (POA&lt;20 W/m2)]],4,0),"")</f>
        <v>0.76736111111111116</v>
      </c>
      <c r="K48" s="28">
        <f>IFERROR((Tracker_BD[[#This Row],[Sunset Time (POA&lt;20 W/m2)]]-Tracker_BD[[#This Row],[Sunrise Time (POA&gt;20 W/m2)]])*24,"")</f>
        <v>12.166666666666666</v>
      </c>
      <c r="L48" s="2" t="s">
        <v>267</v>
      </c>
      <c r="M48" s="165"/>
      <c r="N48">
        <v>0</v>
      </c>
      <c r="O48" s="199" t="s">
        <v>188</v>
      </c>
      <c r="P48" s="97" t="s">
        <v>270</v>
      </c>
      <c r="Q48" s="97" t="s">
        <v>263</v>
      </c>
      <c r="R48" s="128">
        <v>19</v>
      </c>
      <c r="S48" s="97" t="s">
        <v>354</v>
      </c>
      <c r="T48" t="s">
        <v>269</v>
      </c>
      <c r="U48" t="s">
        <v>293</v>
      </c>
      <c r="V48" t="s">
        <v>293</v>
      </c>
      <c r="W48" s="34">
        <v>0.72222222222222221</v>
      </c>
      <c r="X48" s="34">
        <v>0.72222222222222221</v>
      </c>
      <c r="Y48" s="34">
        <v>0.72222222222222221</v>
      </c>
      <c r="Z48" s="34">
        <v>0.74305555555555558</v>
      </c>
      <c r="AA48" s="28">
        <f>IF(Tracker_BD[[#This Row],[Fault Acknowledgement Time ]]="NA","",(Tracker_BD[[#This Row],[Fault Acknowledgement Time ]]-Tracker_BD[[#This Row],[Fault Time]])*24)</f>
        <v>0</v>
      </c>
      <c r="AB48" s="28">
        <f>IFERROR((Tracker_BD[[#This Row],[Work Start time on Fault]]-Tracker_BD[[#This Row],[Fault Time]])*24,"")</f>
        <v>0</v>
      </c>
      <c r="AC48" s="28">
        <f>IFERROR((Tracker_BD[[#This Row],[Work Completion time on fault]]-Tracker_BD[[#This Row],[Fault Time]])*24,"")</f>
        <v>0.50000000000000089</v>
      </c>
      <c r="AD48" s="28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89"/>
      <c r="AI48" s="28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1">
        <v>45748</v>
      </c>
      <c r="G49" s="2">
        <f>DAY(EOMONTH(Tracker_BD[[#This Row],[Month Year]],0))</f>
        <v>30</v>
      </c>
      <c r="H49" s="32">
        <v>45771</v>
      </c>
      <c r="I49" s="34">
        <f>IFERROR(VLOOKUP(Tracker_BD[[#This Row],[Date]],Raw_Data[[Date]:[Sunset Time (POA&lt;20 W/m2)]],3,0),"")</f>
        <v>0.26041666666666669</v>
      </c>
      <c r="J49" s="34">
        <f>IFERROR(VLOOKUP(Tracker_BD[[#This Row],[Date]],Raw_Data[[Date]:[Sunset Time (POA&lt;20 W/m2)]],4,0),"")</f>
        <v>0.76944444444444449</v>
      </c>
      <c r="K49" s="28">
        <f>IFERROR((Tracker_BD[[#This Row],[Sunset Time (POA&lt;20 W/m2)]]-Tracker_BD[[#This Row],[Sunrise Time (POA&gt;20 W/m2)]])*24,"")</f>
        <v>12.216666666666669</v>
      </c>
      <c r="L49" s="2" t="s">
        <v>267</v>
      </c>
      <c r="M49" s="165"/>
      <c r="N49">
        <v>0</v>
      </c>
      <c r="O49" s="199" t="s">
        <v>189</v>
      </c>
      <c r="P49" s="97" t="s">
        <v>268</v>
      </c>
      <c r="Q49" s="97" t="s">
        <v>270</v>
      </c>
      <c r="R49" s="128">
        <v>45</v>
      </c>
      <c r="S49" s="97" t="s">
        <v>379</v>
      </c>
      <c r="T49" t="s">
        <v>269</v>
      </c>
      <c r="U49" t="s">
        <v>293</v>
      </c>
      <c r="V49" t="s">
        <v>293</v>
      </c>
      <c r="W49" s="34">
        <v>0.60416666666666663</v>
      </c>
      <c r="X49" s="34">
        <v>0.60416666666666663</v>
      </c>
      <c r="Y49" s="34">
        <v>0.60416666666666663</v>
      </c>
      <c r="Z49" s="34">
        <v>0.63194444444444442</v>
      </c>
      <c r="AA49" s="28">
        <f>IF(Tracker_BD[[#This Row],[Fault Acknowledgement Time ]]="NA","",(Tracker_BD[[#This Row],[Fault Acknowledgement Time ]]-Tracker_BD[[#This Row],[Fault Time]])*24)</f>
        <v>0</v>
      </c>
      <c r="AB49" s="28">
        <f>IFERROR((Tracker_BD[[#This Row],[Work Start time on Fault]]-Tracker_BD[[#This Row],[Fault Time]])*24,"")</f>
        <v>0</v>
      </c>
      <c r="AC49" s="28">
        <f>IFERROR((Tracker_BD[[#This Row],[Work Completion time on fault]]-Tracker_BD[[#This Row],[Fault Time]])*24,"")</f>
        <v>0.66666666666666696</v>
      </c>
      <c r="AD49" s="28">
        <f>IFERROR((Tracker_BD[[#This Row],[Work Completion time on fault]]-Tracker_BD[[#This Row],[Fault Time]])*24,"")</f>
        <v>0.66666666666666696</v>
      </c>
      <c r="AE49" s="199" t="s">
        <v>334</v>
      </c>
      <c r="AF49" t="s">
        <v>266</v>
      </c>
      <c r="AG49" s="2"/>
      <c r="AH49" s="89"/>
      <c r="AI49" s="28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1">
        <v>45748</v>
      </c>
      <c r="G50" s="2">
        <f>DAY(EOMONTH(Tracker_BD[[#This Row],[Month Year]],0))</f>
        <v>30</v>
      </c>
      <c r="H50" s="32">
        <v>45771</v>
      </c>
      <c r="I50" s="34">
        <f>IFERROR(VLOOKUP(Tracker_BD[[#This Row],[Date]],Raw_Data[[Date]:[Sunset Time (POA&lt;20 W/m2)]],3,0),"")</f>
        <v>0.26041666666666669</v>
      </c>
      <c r="J50" s="34">
        <f>IFERROR(VLOOKUP(Tracker_BD[[#This Row],[Date]],Raw_Data[[Date]:[Sunset Time (POA&lt;20 W/m2)]],4,0),"")</f>
        <v>0.76944444444444449</v>
      </c>
      <c r="K50" s="28">
        <f>IFERROR((Tracker_BD[[#This Row],[Sunset Time (POA&lt;20 W/m2)]]-Tracker_BD[[#This Row],[Sunrise Time (POA&gt;20 W/m2)]])*24,"")</f>
        <v>12.216666666666669</v>
      </c>
      <c r="L50" s="2" t="s">
        <v>267</v>
      </c>
      <c r="M50" s="165"/>
      <c r="N50">
        <v>0</v>
      </c>
      <c r="O50" s="199" t="s">
        <v>189</v>
      </c>
      <c r="P50" s="97" t="s">
        <v>268</v>
      </c>
      <c r="Q50" s="97" t="s">
        <v>270</v>
      </c>
      <c r="R50" s="128">
        <v>47</v>
      </c>
      <c r="S50" s="97" t="s">
        <v>392</v>
      </c>
      <c r="T50" t="s">
        <v>269</v>
      </c>
      <c r="U50" t="s">
        <v>293</v>
      </c>
      <c r="V50" t="s">
        <v>293</v>
      </c>
      <c r="W50" s="34">
        <v>0.63888888888888884</v>
      </c>
      <c r="X50" s="34">
        <v>0.63888888888888884</v>
      </c>
      <c r="Y50" s="34">
        <v>0.63888888888888884</v>
      </c>
      <c r="Z50" s="34">
        <v>0.65277777777777779</v>
      </c>
      <c r="AA50" s="28">
        <f>IF(Tracker_BD[[#This Row],[Fault Acknowledgement Time ]]="NA","",(Tracker_BD[[#This Row],[Fault Acknowledgement Time ]]-Tracker_BD[[#This Row],[Fault Time]])*24)</f>
        <v>0</v>
      </c>
      <c r="AB50" s="28">
        <f>IFERROR((Tracker_BD[[#This Row],[Work Start time on Fault]]-Tracker_BD[[#This Row],[Fault Time]])*24,"")</f>
        <v>0</v>
      </c>
      <c r="AC50" s="28">
        <f>IFERROR((Tracker_BD[[#This Row],[Work Completion time on fault]]-Tracker_BD[[#This Row],[Fault Time]])*24,"")</f>
        <v>0.33333333333333481</v>
      </c>
      <c r="AD50" s="28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89"/>
      <c r="AI50" s="28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1">
        <v>45748</v>
      </c>
      <c r="G51" s="2">
        <f>DAY(EOMONTH(Tracker_BD[[#This Row],[Month Year]],0))</f>
        <v>30</v>
      </c>
      <c r="H51" s="32">
        <v>45773</v>
      </c>
      <c r="I51" s="34">
        <f>IFERROR(VLOOKUP(Tracker_BD[[#This Row],[Date]],Raw_Data[[Date]:[Sunset Time (POA&lt;20 W/m2)]],3,0),"")</f>
        <v>0.25624999999999998</v>
      </c>
      <c r="J51" s="34">
        <f>IFERROR(VLOOKUP(Tracker_BD[[#This Row],[Date]],Raw_Data[[Date]:[Sunset Time (POA&lt;20 W/m2)]],4,0),"")</f>
        <v>0.76666666666666672</v>
      </c>
      <c r="K51" s="28">
        <f>IFERROR((Tracker_BD[[#This Row],[Sunset Time (POA&lt;20 W/m2)]]-Tracker_BD[[#This Row],[Sunrise Time (POA&gt;20 W/m2)]])*24,"")</f>
        <v>12.250000000000002</v>
      </c>
      <c r="L51" s="2" t="s">
        <v>267</v>
      </c>
      <c r="M51" s="165"/>
      <c r="N51">
        <v>0</v>
      </c>
      <c r="O51" s="199" t="s">
        <v>189</v>
      </c>
      <c r="P51" s="97" t="s">
        <v>268</v>
      </c>
      <c r="Q51" s="97" t="s">
        <v>270</v>
      </c>
      <c r="R51" s="128">
        <v>45</v>
      </c>
      <c r="S51" s="97" t="s">
        <v>316</v>
      </c>
      <c r="T51" t="s">
        <v>269</v>
      </c>
      <c r="U51" t="s">
        <v>293</v>
      </c>
      <c r="V51" t="s">
        <v>293</v>
      </c>
      <c r="W51" s="34">
        <v>0.38194444444444442</v>
      </c>
      <c r="X51" s="34">
        <v>0.38194444444444442</v>
      </c>
      <c r="Y51" s="34">
        <v>0.38194444444444442</v>
      </c>
      <c r="Z51" s="34">
        <v>0.4375</v>
      </c>
      <c r="AA51" s="28">
        <f>IF(Tracker_BD[[#This Row],[Fault Acknowledgement Time ]]="NA","",(Tracker_BD[[#This Row],[Fault Acknowledgement Time ]]-Tracker_BD[[#This Row],[Fault Time]])*24)</f>
        <v>0</v>
      </c>
      <c r="AB51" s="28">
        <f>IFERROR((Tracker_BD[[#This Row],[Work Start time on Fault]]-Tracker_BD[[#This Row],[Fault Time]])*24,"")</f>
        <v>0</v>
      </c>
      <c r="AC51" s="28">
        <f>IFERROR((Tracker_BD[[#This Row],[Work Completion time on fault]]-Tracker_BD[[#This Row],[Fault Time]])*24,"")</f>
        <v>1.3333333333333339</v>
      </c>
      <c r="AD51" s="28">
        <f>IFERROR((Tracker_BD[[#This Row],[Work Completion time on fault]]-Tracker_BD[[#This Row],[Fault Time]])*24,"")</f>
        <v>1.3333333333333339</v>
      </c>
      <c r="AE51" s="199" t="s">
        <v>334</v>
      </c>
      <c r="AF51" t="s">
        <v>266</v>
      </c>
      <c r="AG51" s="2"/>
      <c r="AH51" s="89"/>
      <c r="AI51" s="28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1">
        <v>45748</v>
      </c>
      <c r="G52" s="2">
        <f>DAY(EOMONTH(Tracker_BD[[#This Row],[Month Year]],0))</f>
        <v>30</v>
      </c>
      <c r="H52" s="32">
        <v>45773</v>
      </c>
      <c r="I52" s="34">
        <f>IFERROR(VLOOKUP(Tracker_BD[[#This Row],[Date]],Raw_Data[[Date]:[Sunset Time (POA&lt;20 W/m2)]],3,0),"")</f>
        <v>0.25624999999999998</v>
      </c>
      <c r="J52" s="34">
        <f>IFERROR(VLOOKUP(Tracker_BD[[#This Row],[Date]],Raw_Data[[Date]:[Sunset Time (POA&lt;20 W/m2)]],4,0),"")</f>
        <v>0.76666666666666672</v>
      </c>
      <c r="K52" s="28">
        <f>IFERROR((Tracker_BD[[#This Row],[Sunset Time (POA&lt;20 W/m2)]]-Tracker_BD[[#This Row],[Sunrise Time (POA&gt;20 W/m2)]])*24,"")</f>
        <v>12.250000000000002</v>
      </c>
      <c r="L52" s="2" t="s">
        <v>267</v>
      </c>
      <c r="M52" s="165"/>
      <c r="N52">
        <v>0</v>
      </c>
      <c r="O52" s="199" t="s">
        <v>189</v>
      </c>
      <c r="P52" s="97" t="s">
        <v>268</v>
      </c>
      <c r="Q52" s="97" t="s">
        <v>270</v>
      </c>
      <c r="R52" s="128">
        <v>53</v>
      </c>
      <c r="S52" s="97" t="s">
        <v>374</v>
      </c>
      <c r="T52" t="s">
        <v>269</v>
      </c>
      <c r="U52" t="s">
        <v>293</v>
      </c>
      <c r="V52" t="s">
        <v>293</v>
      </c>
      <c r="W52" s="34">
        <v>0.59722222222222221</v>
      </c>
      <c r="X52" s="34">
        <v>0.59722222222222221</v>
      </c>
      <c r="Y52" s="34">
        <v>0.59722222222222221</v>
      </c>
      <c r="Z52" s="34">
        <v>0.65277777777777779</v>
      </c>
      <c r="AA52" s="28">
        <f>IF(Tracker_BD[[#This Row],[Fault Acknowledgement Time ]]="NA","",(Tracker_BD[[#This Row],[Fault Acknowledgement Time ]]-Tracker_BD[[#This Row],[Fault Time]])*24)</f>
        <v>0</v>
      </c>
      <c r="AB52" s="28">
        <f>IFERROR((Tracker_BD[[#This Row],[Work Start time on Fault]]-Tracker_BD[[#This Row],[Fault Time]])*24,"")</f>
        <v>0</v>
      </c>
      <c r="AC52" s="28">
        <f>IFERROR((Tracker_BD[[#This Row],[Work Completion time on fault]]-Tracker_BD[[#This Row],[Fault Time]])*24,"")</f>
        <v>1.3333333333333339</v>
      </c>
      <c r="AD52" s="28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89"/>
      <c r="AI52" s="28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1">
        <v>45748</v>
      </c>
      <c r="G53" s="2">
        <f>DAY(EOMONTH(Tracker_BD[[#This Row],[Month Year]],0))</f>
        <v>30</v>
      </c>
      <c r="H53" s="32">
        <v>45775</v>
      </c>
      <c r="I53" s="34">
        <f>IFERROR(VLOOKUP(Tracker_BD[[#This Row],[Date]],Raw_Data[[Date]:[Sunset Time (POA&lt;20 W/m2)]],3,0),"")</f>
        <v>0.26041666666666669</v>
      </c>
      <c r="J53" s="34">
        <f>IFERROR(VLOOKUP(Tracker_BD[[#This Row],[Date]],Raw_Data[[Date]:[Sunset Time (POA&lt;20 W/m2)]],4,0),"")</f>
        <v>0.75486111111111109</v>
      </c>
      <c r="K53" s="28">
        <f>IFERROR((Tracker_BD[[#This Row],[Sunset Time (POA&lt;20 W/m2)]]-Tracker_BD[[#This Row],[Sunrise Time (POA&gt;20 W/m2)]])*24,"")</f>
        <v>11.866666666666665</v>
      </c>
      <c r="L53" s="2" t="s">
        <v>267</v>
      </c>
      <c r="M53" s="165"/>
      <c r="N53">
        <v>0</v>
      </c>
      <c r="O53" s="199" t="s">
        <v>189</v>
      </c>
      <c r="P53" s="97" t="s">
        <v>268</v>
      </c>
      <c r="Q53" s="97" t="s">
        <v>270</v>
      </c>
      <c r="R53" s="128">
        <v>41</v>
      </c>
      <c r="S53" s="97" t="s">
        <v>374</v>
      </c>
      <c r="T53" t="s">
        <v>269</v>
      </c>
      <c r="U53" t="s">
        <v>293</v>
      </c>
      <c r="V53" t="s">
        <v>293</v>
      </c>
      <c r="W53" s="34">
        <v>0.63194444444444442</v>
      </c>
      <c r="X53" s="34">
        <v>0.63194444444444442</v>
      </c>
      <c r="Y53" s="34">
        <v>0.63194444444444442</v>
      </c>
      <c r="Z53" s="34">
        <v>0.65972222222222221</v>
      </c>
      <c r="AA53" s="28">
        <f>IF(Tracker_BD[[#This Row],[Fault Acknowledgement Time ]]="NA","",(Tracker_BD[[#This Row],[Fault Acknowledgement Time ]]-Tracker_BD[[#This Row],[Fault Time]])*24)</f>
        <v>0</v>
      </c>
      <c r="AB53" s="28">
        <f>IFERROR((Tracker_BD[[#This Row],[Work Start time on Fault]]-Tracker_BD[[#This Row],[Fault Time]])*24,"")</f>
        <v>0</v>
      </c>
      <c r="AC53" s="28">
        <f>IFERROR((Tracker_BD[[#This Row],[Work Completion time on fault]]-Tracker_BD[[#This Row],[Fault Time]])*24,"")</f>
        <v>0.66666666666666696</v>
      </c>
      <c r="AD53" s="28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89"/>
      <c r="AI53" s="28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1">
        <v>45748</v>
      </c>
      <c r="G54" s="2">
        <f>DAY(EOMONTH(Tracker_BD[[#This Row],[Month Year]],0))</f>
        <v>30</v>
      </c>
      <c r="H54" s="32">
        <v>45775</v>
      </c>
      <c r="I54" s="34">
        <f>IFERROR(VLOOKUP(Tracker_BD[[#This Row],[Date]],Raw_Data[[Date]:[Sunset Time (POA&lt;20 W/m2)]],3,0),"")</f>
        <v>0.26041666666666669</v>
      </c>
      <c r="J54" s="34">
        <f>IFERROR(VLOOKUP(Tracker_BD[[#This Row],[Date]],Raw_Data[[Date]:[Sunset Time (POA&lt;20 W/m2)]],4,0),"")</f>
        <v>0.75486111111111109</v>
      </c>
      <c r="K54" s="28">
        <f>IFERROR((Tracker_BD[[#This Row],[Sunset Time (POA&lt;20 W/m2)]]-Tracker_BD[[#This Row],[Sunrise Time (POA&gt;20 W/m2)]])*24,"")</f>
        <v>11.866666666666665</v>
      </c>
      <c r="L54" s="2" t="s">
        <v>267</v>
      </c>
      <c r="M54" s="165"/>
      <c r="N54">
        <v>0</v>
      </c>
      <c r="O54" s="199" t="s">
        <v>189</v>
      </c>
      <c r="P54" s="97" t="s">
        <v>268</v>
      </c>
      <c r="Q54" s="97" t="s">
        <v>270</v>
      </c>
      <c r="R54" s="128">
        <v>41</v>
      </c>
      <c r="S54" s="97" t="s">
        <v>369</v>
      </c>
      <c r="T54" t="s">
        <v>269</v>
      </c>
      <c r="U54" t="s">
        <v>293</v>
      </c>
      <c r="V54" t="s">
        <v>293</v>
      </c>
      <c r="W54" s="34">
        <v>0.68055555555555558</v>
      </c>
      <c r="X54" s="34">
        <v>0.68055555555555558</v>
      </c>
      <c r="Y54" s="34">
        <v>0.68055555555555558</v>
      </c>
      <c r="Z54" s="34">
        <v>0.72222222222222221</v>
      </c>
      <c r="AA54" s="28">
        <f>IF(Tracker_BD[[#This Row],[Fault Acknowledgement Time ]]="NA","",(Tracker_BD[[#This Row],[Fault Acknowledgement Time ]]-Tracker_BD[[#This Row],[Fault Time]])*24)</f>
        <v>0</v>
      </c>
      <c r="AB54" s="28">
        <f>IFERROR((Tracker_BD[[#This Row],[Work Start time on Fault]]-Tracker_BD[[#This Row],[Fault Time]])*24,"")</f>
        <v>0</v>
      </c>
      <c r="AC54" s="28">
        <f>IFERROR((Tracker_BD[[#This Row],[Work Completion time on fault]]-Tracker_BD[[#This Row],[Fault Time]])*24,"")</f>
        <v>0.99999999999999911</v>
      </c>
      <c r="AD54" s="28">
        <f>IFERROR((Tracker_BD[[#This Row],[Work Completion time on fault]]-Tracker_BD[[#This Row],[Fault Time]])*24,"")</f>
        <v>0.99999999999999911</v>
      </c>
      <c r="AE54" s="199" t="s">
        <v>334</v>
      </c>
      <c r="AF54" t="s">
        <v>266</v>
      </c>
      <c r="AG54" s="2"/>
      <c r="AH54" s="89"/>
      <c r="AI54" s="28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1">
        <v>45748</v>
      </c>
      <c r="G55" s="2">
        <f>DAY(EOMONTH(Tracker_BD[[#This Row],[Month Year]],0))</f>
        <v>30</v>
      </c>
      <c r="H55" s="32">
        <v>45776</v>
      </c>
      <c r="I55" s="34">
        <f>IFERROR(VLOOKUP(Tracker_BD[[#This Row],[Date]],Raw_Data[[Date]:[Sunset Time (POA&lt;20 W/m2)]],3,0),"")</f>
        <v>0.25486111111111109</v>
      </c>
      <c r="J55" s="34">
        <f>IFERROR(VLOOKUP(Tracker_BD[[#This Row],[Date]],Raw_Data[[Date]:[Sunset Time (POA&lt;20 W/m2)]],4,0),"")</f>
        <v>0.7680555555555556</v>
      </c>
      <c r="K55" s="28">
        <f>IFERROR((Tracker_BD[[#This Row],[Sunset Time (POA&lt;20 W/m2)]]-Tracker_BD[[#This Row],[Sunrise Time (POA&gt;20 W/m2)]])*24,"")</f>
        <v>12.316666666666668</v>
      </c>
      <c r="L55" s="2" t="s">
        <v>267</v>
      </c>
      <c r="M55" s="165"/>
      <c r="N55">
        <v>0</v>
      </c>
      <c r="O55" s="199" t="s">
        <v>184</v>
      </c>
      <c r="P55" s="97" t="s">
        <v>270</v>
      </c>
      <c r="Q55" s="97" t="s">
        <v>263</v>
      </c>
      <c r="R55" s="128">
        <v>27</v>
      </c>
      <c r="S55" s="97" t="s">
        <v>336</v>
      </c>
      <c r="T55" t="s">
        <v>269</v>
      </c>
      <c r="U55" t="s">
        <v>293</v>
      </c>
      <c r="V55" t="s">
        <v>293</v>
      </c>
      <c r="W55" s="34">
        <v>0.55555555555555558</v>
      </c>
      <c r="X55" s="34">
        <v>0.55555555555555558</v>
      </c>
      <c r="Y55" s="34">
        <v>0.55555555555555558</v>
      </c>
      <c r="Z55" s="34">
        <v>0.59722222222222221</v>
      </c>
      <c r="AA55" s="28">
        <f>IF(Tracker_BD[[#This Row],[Fault Acknowledgement Time ]]="NA","",(Tracker_BD[[#This Row],[Fault Acknowledgement Time ]]-Tracker_BD[[#This Row],[Fault Time]])*24)</f>
        <v>0</v>
      </c>
      <c r="AB55" s="28">
        <f>IFERROR((Tracker_BD[[#This Row],[Work Start time on Fault]]-Tracker_BD[[#This Row],[Fault Time]])*24,"")</f>
        <v>0</v>
      </c>
      <c r="AC55" s="28">
        <f>IFERROR((Tracker_BD[[#This Row],[Work Completion time on fault]]-Tracker_BD[[#This Row],[Fault Time]])*24,"")</f>
        <v>0.99999999999999911</v>
      </c>
      <c r="AD55" s="28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89"/>
      <c r="AI55" s="28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1">
        <v>45748</v>
      </c>
      <c r="G56" s="2">
        <f>DAY(EOMONTH(Tracker_BD[[#This Row],[Month Year]],0))</f>
        <v>30</v>
      </c>
      <c r="H56" s="32">
        <v>45777</v>
      </c>
      <c r="I56" s="34">
        <f>IFERROR(VLOOKUP(Tracker_BD[[#This Row],[Date]],Raw_Data[[Date]:[Sunset Time (POA&lt;20 W/m2)]],3,0),"")</f>
        <v>0.25694444444444442</v>
      </c>
      <c r="J56" s="34">
        <f>IFERROR(VLOOKUP(Tracker_BD[[#This Row],[Date]],Raw_Data[[Date]:[Sunset Time (POA&lt;20 W/m2)]],4,0),"")</f>
        <v>0.76597222222222228</v>
      </c>
      <c r="K56" s="28">
        <f>IFERROR((Tracker_BD[[#This Row],[Sunset Time (POA&lt;20 W/m2)]]-Tracker_BD[[#This Row],[Sunrise Time (POA&gt;20 W/m2)]])*24,"")</f>
        <v>12.216666666666669</v>
      </c>
      <c r="L56" s="2" t="s">
        <v>267</v>
      </c>
      <c r="M56" s="165"/>
      <c r="N56">
        <v>0</v>
      </c>
      <c r="O56" s="199" t="s">
        <v>184</v>
      </c>
      <c r="P56" s="97" t="s">
        <v>270</v>
      </c>
      <c r="Q56" s="97" t="s">
        <v>263</v>
      </c>
      <c r="R56" s="128">
        <v>23</v>
      </c>
      <c r="S56" s="97" t="s">
        <v>369</v>
      </c>
      <c r="T56" t="s">
        <v>269</v>
      </c>
      <c r="U56" t="s">
        <v>293</v>
      </c>
      <c r="V56" t="s">
        <v>293</v>
      </c>
      <c r="W56" s="34">
        <v>0.38194444444444442</v>
      </c>
      <c r="X56" s="34">
        <v>0.38194444444444442</v>
      </c>
      <c r="Y56" s="34">
        <v>0.38194444444444442</v>
      </c>
      <c r="Z56" s="34">
        <v>0.43055555555555558</v>
      </c>
      <c r="AA56" s="28">
        <f>IF(Tracker_BD[[#This Row],[Fault Acknowledgement Time ]]="NA","",(Tracker_BD[[#This Row],[Fault Acknowledgement Time ]]-Tracker_BD[[#This Row],[Fault Time]])*24)</f>
        <v>0</v>
      </c>
      <c r="AB56" s="28">
        <f>IFERROR((Tracker_BD[[#This Row],[Work Start time on Fault]]-Tracker_BD[[#This Row],[Fault Time]])*24,"")</f>
        <v>0</v>
      </c>
      <c r="AC56" s="28">
        <f>IFERROR((Tracker_BD[[#This Row],[Work Completion time on fault]]-Tracker_BD[[#This Row],[Fault Time]])*24,"")</f>
        <v>1.1666666666666679</v>
      </c>
      <c r="AD56" s="28">
        <f>IFERROR((Tracker_BD[[#This Row],[Work Completion time on fault]]-Tracker_BD[[#This Row],[Fault Time]])*24,"")</f>
        <v>1.1666666666666679</v>
      </c>
      <c r="AE56" s="199" t="s">
        <v>334</v>
      </c>
      <c r="AF56" t="s">
        <v>266</v>
      </c>
      <c r="AG56" s="2"/>
      <c r="AH56" s="89"/>
      <c r="AI56" s="28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1">
        <v>45748</v>
      </c>
      <c r="G57" s="2">
        <f>DAY(EOMONTH(Tracker_BD[[#This Row],[Month Year]],0))</f>
        <v>30</v>
      </c>
      <c r="H57" s="32">
        <v>45777</v>
      </c>
      <c r="I57" s="34">
        <f>IFERROR(VLOOKUP(Tracker_BD[[#This Row],[Date]],Raw_Data[[Date]:[Sunset Time (POA&lt;20 W/m2)]],3,0),"")</f>
        <v>0.25694444444444442</v>
      </c>
      <c r="J57" s="34">
        <f>IFERROR(VLOOKUP(Tracker_BD[[#This Row],[Date]],Raw_Data[[Date]:[Sunset Time (POA&lt;20 W/m2)]],4,0),"")</f>
        <v>0.76597222222222228</v>
      </c>
      <c r="K57" s="28">
        <f>IFERROR((Tracker_BD[[#This Row],[Sunset Time (POA&lt;20 W/m2)]]-Tracker_BD[[#This Row],[Sunrise Time (POA&gt;20 W/m2)]])*24,"")</f>
        <v>12.216666666666669</v>
      </c>
      <c r="L57" s="2" t="s">
        <v>267</v>
      </c>
      <c r="M57" s="165"/>
      <c r="N57">
        <v>0</v>
      </c>
      <c r="O57" s="199" t="s">
        <v>185</v>
      </c>
      <c r="P57" s="97" t="s">
        <v>263</v>
      </c>
      <c r="Q57" s="97" t="s">
        <v>271</v>
      </c>
      <c r="R57" s="128">
        <v>84</v>
      </c>
      <c r="S57" s="97" t="s">
        <v>350</v>
      </c>
      <c r="T57" t="s">
        <v>269</v>
      </c>
      <c r="U57" t="s">
        <v>293</v>
      </c>
      <c r="V57" t="s">
        <v>293</v>
      </c>
      <c r="W57" s="34">
        <v>0.43055555555555558</v>
      </c>
      <c r="X57" s="34">
        <v>0.43055555555555558</v>
      </c>
      <c r="Y57" s="34">
        <v>0.43055555555555558</v>
      </c>
      <c r="Z57" s="34">
        <v>0.46527777777777779</v>
      </c>
      <c r="AA57" s="28">
        <f>IF(Tracker_BD[[#This Row],[Fault Acknowledgement Time ]]="NA","",(Tracker_BD[[#This Row],[Fault Acknowledgement Time ]]-Tracker_BD[[#This Row],[Fault Time]])*24)</f>
        <v>0</v>
      </c>
      <c r="AB57" s="28">
        <f>IFERROR((Tracker_BD[[#This Row],[Work Start time on Fault]]-Tracker_BD[[#This Row],[Fault Time]])*24,"")</f>
        <v>0</v>
      </c>
      <c r="AC57" s="28">
        <f>IFERROR((Tracker_BD[[#This Row],[Work Completion time on fault]]-Tracker_BD[[#This Row],[Fault Time]])*24,"")</f>
        <v>0.83333333333333304</v>
      </c>
      <c r="AD57" s="28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89"/>
      <c r="AI57" s="28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1">
        <v>45748</v>
      </c>
      <c r="G58" s="2">
        <f>DAY(EOMONTH(Tracker_BD[[#This Row],[Month Year]],0))</f>
        <v>30</v>
      </c>
      <c r="H58" s="32">
        <v>45777</v>
      </c>
      <c r="I58" s="34">
        <f>IFERROR(VLOOKUP(Tracker_BD[[#This Row],[Date]],Raw_Data[[Date]:[Sunset Time (POA&lt;20 W/m2)]],3,0),"")</f>
        <v>0.25694444444444442</v>
      </c>
      <c r="J58" s="34">
        <f>IFERROR(VLOOKUP(Tracker_BD[[#This Row],[Date]],Raw_Data[[Date]:[Sunset Time (POA&lt;20 W/m2)]],4,0),"")</f>
        <v>0.76597222222222228</v>
      </c>
      <c r="K58" s="28">
        <f>IFERROR((Tracker_BD[[#This Row],[Sunset Time (POA&lt;20 W/m2)]]-Tracker_BD[[#This Row],[Sunrise Time (POA&gt;20 W/m2)]])*24,"")</f>
        <v>12.216666666666669</v>
      </c>
      <c r="L58" s="2" t="s">
        <v>267</v>
      </c>
      <c r="M58" s="165"/>
      <c r="N58">
        <v>0</v>
      </c>
      <c r="O58" s="199" t="s">
        <v>185</v>
      </c>
      <c r="P58" s="97" t="s">
        <v>263</v>
      </c>
      <c r="Q58" s="97" t="s">
        <v>271</v>
      </c>
      <c r="R58" s="128">
        <v>89</v>
      </c>
      <c r="S58" s="97" t="s">
        <v>412</v>
      </c>
      <c r="T58" t="s">
        <v>269</v>
      </c>
      <c r="U58" t="s">
        <v>293</v>
      </c>
      <c r="V58" t="s">
        <v>293</v>
      </c>
      <c r="W58" s="34">
        <v>0.46527777777777779</v>
      </c>
      <c r="X58" s="34">
        <v>0.46527777777777779</v>
      </c>
      <c r="Y58" s="34">
        <v>0.46527777777777779</v>
      </c>
      <c r="Z58" s="34">
        <v>0.52083333333333337</v>
      </c>
      <c r="AA58" s="28">
        <f>IF(Tracker_BD[[#This Row],[Fault Acknowledgement Time ]]="NA","",(Tracker_BD[[#This Row],[Fault Acknowledgement Time ]]-Tracker_BD[[#This Row],[Fault Time]])*24)</f>
        <v>0</v>
      </c>
      <c r="AB58" s="28">
        <f>IFERROR((Tracker_BD[[#This Row],[Work Start time on Fault]]-Tracker_BD[[#This Row],[Fault Time]])*24,"")</f>
        <v>0</v>
      </c>
      <c r="AC58" s="28">
        <f>IFERROR((Tracker_BD[[#This Row],[Work Completion time on fault]]-Tracker_BD[[#This Row],[Fault Time]])*24,"")</f>
        <v>1.3333333333333339</v>
      </c>
      <c r="AD58" s="28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89"/>
      <c r="AI58" s="28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1">
        <v>45778</v>
      </c>
      <c r="G59" s="2">
        <f>DAY(EOMONTH(Tracker_BD[[#This Row],[Month Year]],0))</f>
        <v>31</v>
      </c>
      <c r="H59" s="32">
        <v>45780</v>
      </c>
      <c r="I59" s="34">
        <f>IFERROR(VLOOKUP(Tracker_BD[[#This Row],[Date]],Raw_Data[[Date]:[Sunset Time (POA&lt;20 W/m2)]],3,0),"")</f>
        <v>0.25624999999999998</v>
      </c>
      <c r="J59" s="34">
        <f>IFERROR(VLOOKUP(Tracker_BD[[#This Row],[Date]],Raw_Data[[Date]:[Sunset Time (POA&lt;20 W/m2)]],4,0),"")</f>
        <v>0.77013888888888893</v>
      </c>
      <c r="K59" s="28">
        <f>IFERROR((Tracker_BD[[#This Row],[Sunset Time (POA&lt;20 W/m2)]]-Tracker_BD[[#This Row],[Sunrise Time (POA&gt;20 W/m2)]])*24,"")</f>
        <v>12.333333333333336</v>
      </c>
      <c r="L59" s="2" t="s">
        <v>267</v>
      </c>
      <c r="M59" s="165"/>
      <c r="N59">
        <v>0</v>
      </c>
      <c r="O59" s="199" t="s">
        <v>184</v>
      </c>
      <c r="P59" s="97" t="s">
        <v>268</v>
      </c>
      <c r="Q59" s="97" t="s">
        <v>270</v>
      </c>
      <c r="R59" s="128">
        <v>118</v>
      </c>
      <c r="S59" s="97" t="s">
        <v>1606</v>
      </c>
      <c r="T59" t="s">
        <v>269</v>
      </c>
      <c r="U59" t="s">
        <v>293</v>
      </c>
      <c r="V59" t="s">
        <v>293</v>
      </c>
      <c r="W59" s="34">
        <v>0.34722222222222221</v>
      </c>
      <c r="X59" s="34">
        <v>0.34722222222222221</v>
      </c>
      <c r="Y59" s="34">
        <v>0.34722222222222221</v>
      </c>
      <c r="Z59" s="34">
        <v>0.40277777777777779</v>
      </c>
      <c r="AA59" s="28">
        <f>IF(Tracker_BD[[#This Row],[Fault Acknowledgement Time ]]="NA","",(Tracker_BD[[#This Row],[Fault Acknowledgement Time ]]-Tracker_BD[[#This Row],[Fault Time]])*24)</f>
        <v>0</v>
      </c>
      <c r="AB59" s="28">
        <f>IFERROR((Tracker_BD[[#This Row],[Work Start time on Fault]]-Tracker_BD[[#This Row],[Fault Time]])*24,"")</f>
        <v>0</v>
      </c>
      <c r="AC59" s="28">
        <f>IFERROR((Tracker_BD[[#This Row],[Work Completion time on fault]]-Tracker_BD[[#This Row],[Fault Time]])*24,"")</f>
        <v>1.3333333333333339</v>
      </c>
      <c r="AD59" s="28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89"/>
      <c r="AI59" s="28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1">
        <v>45778</v>
      </c>
      <c r="G60" s="2">
        <f>DAY(EOMONTH(Tracker_BD[[#This Row],[Month Year]],0))</f>
        <v>31</v>
      </c>
      <c r="H60" s="32">
        <v>45780</v>
      </c>
      <c r="I60" s="34">
        <f>IFERROR(VLOOKUP(Tracker_BD[[#This Row],[Date]],Raw_Data[[Date]:[Sunset Time (POA&lt;20 W/m2)]],3,0),"")</f>
        <v>0.25624999999999998</v>
      </c>
      <c r="J60" s="34">
        <f>IFERROR(VLOOKUP(Tracker_BD[[#This Row],[Date]],Raw_Data[[Date]:[Sunset Time (POA&lt;20 W/m2)]],4,0),"")</f>
        <v>0.77013888888888893</v>
      </c>
      <c r="K60" s="28">
        <f>IFERROR((Tracker_BD[[#This Row],[Sunset Time (POA&lt;20 W/m2)]]-Tracker_BD[[#This Row],[Sunrise Time (POA&gt;20 W/m2)]])*24,"")</f>
        <v>12.333333333333336</v>
      </c>
      <c r="L60" s="2" t="s">
        <v>267</v>
      </c>
      <c r="M60" s="165"/>
      <c r="N60">
        <v>0</v>
      </c>
      <c r="O60" s="205" t="s">
        <v>185</v>
      </c>
      <c r="P60" s="97" t="s">
        <v>268</v>
      </c>
      <c r="Q60" s="97" t="s">
        <v>270</v>
      </c>
      <c r="R60" s="128">
        <v>58</v>
      </c>
      <c r="S60" s="97" t="s">
        <v>405</v>
      </c>
      <c r="T60" t="s">
        <v>269</v>
      </c>
      <c r="U60" t="s">
        <v>293</v>
      </c>
      <c r="V60" t="s">
        <v>293</v>
      </c>
      <c r="W60" s="34">
        <v>0.51388888888888884</v>
      </c>
      <c r="X60" s="34">
        <v>0.51388888888888884</v>
      </c>
      <c r="Y60" s="34">
        <v>0.51388888888888884</v>
      </c>
      <c r="Z60" s="34">
        <v>0.56944444444444442</v>
      </c>
      <c r="AA60" s="28">
        <f>IF(Tracker_BD[[#This Row],[Fault Acknowledgement Time ]]="NA","",(Tracker_BD[[#This Row],[Fault Acknowledgement Time ]]-Tracker_BD[[#This Row],[Fault Time]])*24)</f>
        <v>0</v>
      </c>
      <c r="AB60" s="28">
        <f>IFERROR((Tracker_BD[[#This Row],[Work Start time on Fault]]-Tracker_BD[[#This Row],[Fault Time]])*24,"")</f>
        <v>0</v>
      </c>
      <c r="AC60" s="28">
        <f>IFERROR((Tracker_BD[[#This Row],[Work Completion time on fault]]-Tracker_BD[[#This Row],[Fault Time]])*24,"")</f>
        <v>1.3333333333333339</v>
      </c>
      <c r="AD60" s="28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89"/>
      <c r="AI60" s="28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1">
        <v>45778</v>
      </c>
      <c r="G61" s="2">
        <f>DAY(EOMONTH(Tracker_BD[[#This Row],[Month Year]],0))</f>
        <v>31</v>
      </c>
      <c r="H61" s="32">
        <v>45784</v>
      </c>
      <c r="I61" s="34">
        <f>IFERROR(VLOOKUP(Tracker_BD[[#This Row],[Date]],Raw_Data[[Date]:[Sunset Time (POA&lt;20 W/m2)]],3,0),"")</f>
        <v>0.25555555555555554</v>
      </c>
      <c r="J61" s="34">
        <f>IFERROR(VLOOKUP(Tracker_BD[[#This Row],[Date]],Raw_Data[[Date]:[Sunset Time (POA&lt;20 W/m2)]],4,0),"")</f>
        <v>0.77083333333333337</v>
      </c>
      <c r="K61" s="28">
        <f>IFERROR((Tracker_BD[[#This Row],[Sunset Time (POA&lt;20 W/m2)]]-Tracker_BD[[#This Row],[Sunrise Time (POA&gt;20 W/m2)]])*24,"")</f>
        <v>12.366666666666667</v>
      </c>
      <c r="L61" s="2" t="s">
        <v>267</v>
      </c>
      <c r="M61" s="165"/>
      <c r="N61">
        <v>0</v>
      </c>
      <c r="O61" s="207" t="s">
        <v>184</v>
      </c>
      <c r="P61" s="97" t="s">
        <v>272</v>
      </c>
      <c r="Q61" s="97" t="s">
        <v>268</v>
      </c>
      <c r="R61" s="128">
        <v>2</v>
      </c>
      <c r="S61" s="97" t="s">
        <v>393</v>
      </c>
      <c r="T61" t="s">
        <v>269</v>
      </c>
      <c r="U61" t="s">
        <v>293</v>
      </c>
      <c r="V61" t="s">
        <v>293</v>
      </c>
      <c r="W61" s="34">
        <v>0.47916666666666669</v>
      </c>
      <c r="X61" s="34">
        <v>0.47916666666666669</v>
      </c>
      <c r="Y61" s="34">
        <v>0.47916666666666669</v>
      </c>
      <c r="Z61" s="34">
        <v>0.52083333333333337</v>
      </c>
      <c r="AA61" s="28">
        <f>IF(Tracker_BD[[#This Row],[Fault Acknowledgement Time ]]="NA","",(Tracker_BD[[#This Row],[Fault Acknowledgement Time ]]-Tracker_BD[[#This Row],[Fault Time]])*24)</f>
        <v>0</v>
      </c>
      <c r="AB61" s="28">
        <f>IFERROR((Tracker_BD[[#This Row],[Work Start time on Fault]]-Tracker_BD[[#This Row],[Fault Time]])*24,"")</f>
        <v>0</v>
      </c>
      <c r="AC61" s="28">
        <f>IFERROR((Tracker_BD[[#This Row],[Work Completion time on fault]]-Tracker_BD[[#This Row],[Fault Time]])*24,"")</f>
        <v>1.0000000000000004</v>
      </c>
      <c r="AD61" s="28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89"/>
      <c r="AI61" s="28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1">
        <v>45778</v>
      </c>
      <c r="G62" s="2">
        <f>DAY(EOMONTH(Tracker_BD[[#This Row],[Month Year]],0))</f>
        <v>31</v>
      </c>
      <c r="H62" s="32">
        <v>45787</v>
      </c>
      <c r="I62" s="34">
        <f>IFERROR(VLOOKUP(Tracker_BD[[#This Row],[Date]],Raw_Data[[Date]:[Sunset Time (POA&lt;20 W/m2)]],3,0),"")</f>
        <v>0.25208333333333333</v>
      </c>
      <c r="J62" s="34">
        <f>IFERROR(VLOOKUP(Tracker_BD[[#This Row],[Date]],Raw_Data[[Date]:[Sunset Time (POA&lt;20 W/m2)]],4,0),"")</f>
        <v>0.77430555555555558</v>
      </c>
      <c r="K62" s="28">
        <f>IFERROR((Tracker_BD[[#This Row],[Sunset Time (POA&lt;20 W/m2)]]-Tracker_BD[[#This Row],[Sunrise Time (POA&gt;20 W/m2)]])*24,"")</f>
        <v>12.533333333333335</v>
      </c>
      <c r="L62" s="2" t="s">
        <v>267</v>
      </c>
      <c r="M62" s="165"/>
      <c r="N62">
        <v>0</v>
      </c>
      <c r="O62" s="207" t="s">
        <v>184</v>
      </c>
      <c r="P62" s="97" t="s">
        <v>272</v>
      </c>
      <c r="Q62" s="97" t="s">
        <v>268</v>
      </c>
      <c r="R62" s="128">
        <v>4</v>
      </c>
      <c r="S62" s="97" t="s">
        <v>355</v>
      </c>
      <c r="T62" t="s">
        <v>269</v>
      </c>
      <c r="U62" t="s">
        <v>293</v>
      </c>
      <c r="V62" t="s">
        <v>293</v>
      </c>
      <c r="W62" s="34">
        <v>0.34027777777777779</v>
      </c>
      <c r="X62" s="34">
        <v>0.34027777777777779</v>
      </c>
      <c r="Y62" s="34">
        <v>0.34027777777777779</v>
      </c>
      <c r="Z62" s="34">
        <v>0.39583333333333331</v>
      </c>
      <c r="AA62" s="28">
        <f>IF(Tracker_BD[[#This Row],[Fault Acknowledgement Time ]]="NA","",(Tracker_BD[[#This Row],[Fault Acknowledgement Time ]]-Tracker_BD[[#This Row],[Fault Time]])*24)</f>
        <v>0</v>
      </c>
      <c r="AB62" s="28">
        <f>IFERROR((Tracker_BD[[#This Row],[Work Start time on Fault]]-Tracker_BD[[#This Row],[Fault Time]])*24,"")</f>
        <v>0</v>
      </c>
      <c r="AC62" s="28">
        <f>IFERROR((Tracker_BD[[#This Row],[Work Completion time on fault]]-Tracker_BD[[#This Row],[Fault Time]])*24,"")</f>
        <v>1.3333333333333326</v>
      </c>
      <c r="AD62" s="28">
        <f>IFERROR((Tracker_BD[[#This Row],[Work Completion time on fault]]-Tracker_BD[[#This Row],[Fault Time]])*24,"")</f>
        <v>1.3333333333333326</v>
      </c>
      <c r="AE62" s="199" t="s">
        <v>334</v>
      </c>
      <c r="AF62" t="s">
        <v>266</v>
      </c>
      <c r="AG62" s="2"/>
      <c r="AH62" s="89"/>
      <c r="AI62" s="28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1">
        <v>45778</v>
      </c>
      <c r="G63" s="2">
        <f>DAY(EOMONTH(Tracker_BD[[#This Row],[Month Year]],0))</f>
        <v>31</v>
      </c>
      <c r="H63" s="32">
        <v>45787</v>
      </c>
      <c r="I63" s="34">
        <f>IFERROR(VLOOKUP(Tracker_BD[[#This Row],[Date]],Raw_Data[[Date]:[Sunset Time (POA&lt;20 W/m2)]],3,0),"")</f>
        <v>0.25208333333333333</v>
      </c>
      <c r="J63" s="34">
        <f>IFERROR(VLOOKUP(Tracker_BD[[#This Row],[Date]],Raw_Data[[Date]:[Sunset Time (POA&lt;20 W/m2)]],4,0),"")</f>
        <v>0.77430555555555558</v>
      </c>
      <c r="K63" s="28">
        <f>IFERROR((Tracker_BD[[#This Row],[Sunset Time (POA&lt;20 W/m2)]]-Tracker_BD[[#This Row],[Sunrise Time (POA&gt;20 W/m2)]])*24,"")</f>
        <v>12.533333333333335</v>
      </c>
      <c r="L63" s="2" t="s">
        <v>267</v>
      </c>
      <c r="M63" s="165"/>
      <c r="N63">
        <v>0</v>
      </c>
      <c r="O63" s="205" t="s">
        <v>185</v>
      </c>
      <c r="P63" s="97" t="s">
        <v>272</v>
      </c>
      <c r="Q63" s="97" t="s">
        <v>268</v>
      </c>
      <c r="R63" s="128">
        <v>11</v>
      </c>
      <c r="S63" s="97" t="s">
        <v>348</v>
      </c>
      <c r="T63" t="s">
        <v>269</v>
      </c>
      <c r="U63" t="s">
        <v>293</v>
      </c>
      <c r="V63" t="s">
        <v>293</v>
      </c>
      <c r="W63" s="34">
        <v>0.3888888888888889</v>
      </c>
      <c r="X63" s="34">
        <v>0.3888888888888889</v>
      </c>
      <c r="Y63" s="34">
        <v>0.3888888888888889</v>
      </c>
      <c r="Z63" s="34">
        <v>0.4236111111111111</v>
      </c>
      <c r="AA63" s="28">
        <f>IF(Tracker_BD[[#This Row],[Fault Acknowledgement Time ]]="NA","",(Tracker_BD[[#This Row],[Fault Acknowledgement Time ]]-Tracker_BD[[#This Row],[Fault Time]])*24)</f>
        <v>0</v>
      </c>
      <c r="AB63" s="28">
        <f>IFERROR((Tracker_BD[[#This Row],[Work Start time on Fault]]-Tracker_BD[[#This Row],[Fault Time]])*24,"")</f>
        <v>0</v>
      </c>
      <c r="AC63" s="28">
        <f>IFERROR((Tracker_BD[[#This Row],[Work Completion time on fault]]-Tracker_BD[[#This Row],[Fault Time]])*24,"")</f>
        <v>0.83333333333333304</v>
      </c>
      <c r="AD63" s="28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89"/>
      <c r="AI63" s="28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1">
        <v>45778</v>
      </c>
      <c r="G64" s="2">
        <f>DAY(EOMONTH(Tracker_BD[[#This Row],[Month Year]],0))</f>
        <v>31</v>
      </c>
      <c r="H64" s="32">
        <v>45788</v>
      </c>
      <c r="I64" s="34">
        <f>IFERROR(VLOOKUP(Tracker_BD[[#This Row],[Date]],Raw_Data[[Date]:[Sunset Time (POA&lt;20 W/m2)]],3,0),"")</f>
        <v>0.25347222222222221</v>
      </c>
      <c r="J64" s="34">
        <f>IFERROR(VLOOKUP(Tracker_BD[[#This Row],[Date]],Raw_Data[[Date]:[Sunset Time (POA&lt;20 W/m2)]],4,0),"")</f>
        <v>0.7729166666666667</v>
      </c>
      <c r="K64" s="28">
        <f>IFERROR((Tracker_BD[[#This Row],[Sunset Time (POA&lt;20 W/m2)]]-Tracker_BD[[#This Row],[Sunrise Time (POA&gt;20 W/m2)]])*24,"")</f>
        <v>12.466666666666669</v>
      </c>
      <c r="L64" s="2" t="s">
        <v>267</v>
      </c>
      <c r="M64" s="165"/>
      <c r="N64">
        <v>0</v>
      </c>
      <c r="O64" s="207" t="s">
        <v>184</v>
      </c>
      <c r="P64" s="97" t="s">
        <v>270</v>
      </c>
      <c r="Q64" s="97" t="s">
        <v>263</v>
      </c>
      <c r="R64" s="128">
        <v>25</v>
      </c>
      <c r="S64" s="97" t="s">
        <v>348</v>
      </c>
      <c r="T64" t="s">
        <v>269</v>
      </c>
      <c r="U64" t="s">
        <v>293</v>
      </c>
      <c r="V64" t="s">
        <v>293</v>
      </c>
      <c r="W64" s="34">
        <v>0.59722222222222221</v>
      </c>
      <c r="X64" s="34">
        <v>0.59722222222222221</v>
      </c>
      <c r="Y64" s="34">
        <v>0.59722222222222221</v>
      </c>
      <c r="Z64" s="34">
        <v>0.64236111111111116</v>
      </c>
      <c r="AA64" s="28">
        <f>IF(Tracker_BD[[#This Row],[Fault Acknowledgement Time ]]="NA","",(Tracker_BD[[#This Row],[Fault Acknowledgement Time ]]-Tracker_BD[[#This Row],[Fault Time]])*24)</f>
        <v>0</v>
      </c>
      <c r="AB64" s="28">
        <f>IFERROR((Tracker_BD[[#This Row],[Work Start time on Fault]]-Tracker_BD[[#This Row],[Fault Time]])*24,"")</f>
        <v>0</v>
      </c>
      <c r="AC64" s="28">
        <f>IFERROR((Tracker_BD[[#This Row],[Work Completion time on fault]]-Tracker_BD[[#This Row],[Fault Time]])*24,"")</f>
        <v>1.0833333333333348</v>
      </c>
      <c r="AD64" s="28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89"/>
      <c r="AI64" s="28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1">
        <v>45778</v>
      </c>
      <c r="G65" s="2">
        <f>DAY(EOMONTH(Tracker_BD[[#This Row],[Month Year]],0))</f>
        <v>31</v>
      </c>
      <c r="H65" s="32">
        <v>45788</v>
      </c>
      <c r="I65" s="34">
        <f>IFERROR(VLOOKUP(Tracker_BD[[#This Row],[Date]],Raw_Data[[Date]:[Sunset Time (POA&lt;20 W/m2)]],3,0),"")</f>
        <v>0.25347222222222221</v>
      </c>
      <c r="J65" s="34">
        <f>IFERROR(VLOOKUP(Tracker_BD[[#This Row],[Date]],Raw_Data[[Date]:[Sunset Time (POA&lt;20 W/m2)]],4,0),"")</f>
        <v>0.7729166666666667</v>
      </c>
      <c r="K65" s="28">
        <f>IFERROR((Tracker_BD[[#This Row],[Sunset Time (POA&lt;20 W/m2)]]-Tracker_BD[[#This Row],[Sunrise Time (POA&gt;20 W/m2)]])*24,"")</f>
        <v>12.466666666666669</v>
      </c>
      <c r="L65" s="2" t="s">
        <v>267</v>
      </c>
      <c r="M65" s="165"/>
      <c r="N65">
        <v>0</v>
      </c>
      <c r="O65" s="205" t="s">
        <v>185</v>
      </c>
      <c r="P65" s="97" t="s">
        <v>268</v>
      </c>
      <c r="Q65" s="97" t="s">
        <v>270</v>
      </c>
      <c r="R65" s="128">
        <v>55</v>
      </c>
      <c r="S65" s="97" t="s">
        <v>383</v>
      </c>
      <c r="T65" t="s">
        <v>269</v>
      </c>
      <c r="U65" t="s">
        <v>293</v>
      </c>
      <c r="V65" t="s">
        <v>293</v>
      </c>
      <c r="W65" s="34">
        <v>0.64583333333333337</v>
      </c>
      <c r="X65" s="34">
        <v>0.64583333333333337</v>
      </c>
      <c r="Y65" s="34">
        <v>0.64583333333333337</v>
      </c>
      <c r="Z65" s="34">
        <v>0.67361111111111116</v>
      </c>
      <c r="AA65" s="28">
        <f>IF(Tracker_BD[[#This Row],[Fault Acknowledgement Time ]]="NA","",(Tracker_BD[[#This Row],[Fault Acknowledgement Time ]]-Tracker_BD[[#This Row],[Fault Time]])*24)</f>
        <v>0</v>
      </c>
      <c r="AB65" s="28">
        <f>IFERROR((Tracker_BD[[#This Row],[Work Start time on Fault]]-Tracker_BD[[#This Row],[Fault Time]])*24,"")</f>
        <v>0</v>
      </c>
      <c r="AC65" s="28">
        <f>IFERROR((Tracker_BD[[#This Row],[Work Completion time on fault]]-Tracker_BD[[#This Row],[Fault Time]])*24,"")</f>
        <v>0.66666666666666696</v>
      </c>
      <c r="AD65" s="28">
        <f>IFERROR((Tracker_BD[[#This Row],[Work Completion time on fault]]-Tracker_BD[[#This Row],[Fault Time]])*24,"")</f>
        <v>0.66666666666666696</v>
      </c>
      <c r="AE65" s="199" t="s">
        <v>334</v>
      </c>
      <c r="AF65" t="s">
        <v>266</v>
      </c>
      <c r="AG65" s="2"/>
      <c r="AH65" s="89"/>
      <c r="AI65" s="28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1">
        <v>45778</v>
      </c>
      <c r="G66" s="2">
        <f>DAY(EOMONTH(Tracker_BD[[#This Row],[Month Year]],0))</f>
        <v>31</v>
      </c>
      <c r="H66" s="32">
        <v>45789</v>
      </c>
      <c r="I66" s="34">
        <f>IFERROR(VLOOKUP(Tracker_BD[[#This Row],[Date]],Raw_Data[[Date]:[Sunset Time (POA&lt;20 W/m2)]],3,0),"")</f>
        <v>0.25138888888888888</v>
      </c>
      <c r="J66" s="34">
        <f>IFERROR(VLOOKUP(Tracker_BD[[#This Row],[Date]],Raw_Data[[Date]:[Sunset Time (POA&lt;20 W/m2)]],4,0),"")</f>
        <v>0.76180555555555551</v>
      </c>
      <c r="K66" s="28">
        <f>IFERROR((Tracker_BD[[#This Row],[Sunset Time (POA&lt;20 W/m2)]]-Tracker_BD[[#This Row],[Sunrise Time (POA&gt;20 W/m2)]])*24,"")</f>
        <v>12.25</v>
      </c>
      <c r="L66" s="2" t="s">
        <v>267</v>
      </c>
      <c r="M66" s="165"/>
      <c r="N66">
        <v>0</v>
      </c>
      <c r="O66" s="199" t="s">
        <v>184</v>
      </c>
      <c r="P66" s="97" t="s">
        <v>270</v>
      </c>
      <c r="Q66" s="97" t="s">
        <v>263</v>
      </c>
      <c r="R66" s="128">
        <v>23</v>
      </c>
      <c r="S66" s="97" t="s">
        <v>374</v>
      </c>
      <c r="T66" t="s">
        <v>269</v>
      </c>
      <c r="U66" t="s">
        <v>293</v>
      </c>
      <c r="V66" t="s">
        <v>293</v>
      </c>
      <c r="W66" s="34">
        <v>0.5</v>
      </c>
      <c r="X66" s="34">
        <v>0.5</v>
      </c>
      <c r="Y66" s="34">
        <v>0.5</v>
      </c>
      <c r="Z66" s="34">
        <v>0.53472222222222221</v>
      </c>
      <c r="AA66" s="28">
        <f>IF(Tracker_BD[[#This Row],[Fault Acknowledgement Time ]]="NA","",(Tracker_BD[[#This Row],[Fault Acknowledgement Time ]]-Tracker_BD[[#This Row],[Fault Time]])*24)</f>
        <v>0</v>
      </c>
      <c r="AB66" s="28">
        <f>IFERROR((Tracker_BD[[#This Row],[Work Start time on Fault]]-Tracker_BD[[#This Row],[Fault Time]])*24,"")</f>
        <v>0</v>
      </c>
      <c r="AC66" s="28">
        <f>IFERROR((Tracker_BD[[#This Row],[Work Completion time on fault]]-Tracker_BD[[#This Row],[Fault Time]])*24,"")</f>
        <v>0.83333333333333304</v>
      </c>
      <c r="AD66" s="28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89"/>
      <c r="AI66" s="28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1">
        <v>45778</v>
      </c>
      <c r="G67" s="2">
        <f>DAY(EOMONTH(Tracker_BD[[#This Row],[Month Year]],0))</f>
        <v>31</v>
      </c>
      <c r="H67" s="32">
        <v>45790</v>
      </c>
      <c r="I67" s="34">
        <f>IFERROR(VLOOKUP(Tracker_BD[[#This Row],[Date]],Raw_Data[[Date]:[Sunset Time (POA&lt;20 W/m2)]],3,0),"")</f>
        <v>0.25624999999999998</v>
      </c>
      <c r="J67" s="34">
        <f>IFERROR(VLOOKUP(Tracker_BD[[#This Row],[Date]],Raw_Data[[Date]:[Sunset Time (POA&lt;20 W/m2)]],4,0),"")</f>
        <v>0.7631944444444444</v>
      </c>
      <c r="K67" s="28">
        <f>IFERROR((Tracker_BD[[#This Row],[Sunset Time (POA&lt;20 W/m2)]]-Tracker_BD[[#This Row],[Sunrise Time (POA&gt;20 W/m2)]])*24,"")</f>
        <v>12.166666666666666</v>
      </c>
      <c r="L67" s="2" t="s">
        <v>267</v>
      </c>
      <c r="M67" s="165"/>
      <c r="N67">
        <v>0</v>
      </c>
      <c r="O67" s="199" t="s">
        <v>185</v>
      </c>
      <c r="P67" s="97" t="s">
        <v>263</v>
      </c>
      <c r="Q67" s="97" t="s">
        <v>271</v>
      </c>
      <c r="R67" s="128">
        <v>90</v>
      </c>
      <c r="S67" s="97" t="s">
        <v>342</v>
      </c>
      <c r="T67" t="s">
        <v>269</v>
      </c>
      <c r="U67" t="s">
        <v>293</v>
      </c>
      <c r="V67" t="s">
        <v>293</v>
      </c>
      <c r="W67" s="34">
        <v>0.38194444444444442</v>
      </c>
      <c r="X67" s="34">
        <v>0.38194444444444442</v>
      </c>
      <c r="Y67" s="34">
        <v>0.38194444444444442</v>
      </c>
      <c r="Z67" s="34">
        <v>0.43402777777777779</v>
      </c>
      <c r="AA67" s="28">
        <f>IF(Tracker_BD[[#This Row],[Fault Acknowledgement Time ]]="NA","",(Tracker_BD[[#This Row],[Fault Acknowledgement Time ]]-Tracker_BD[[#This Row],[Fault Time]])*24)</f>
        <v>0</v>
      </c>
      <c r="AB67" s="28">
        <f>IFERROR((Tracker_BD[[#This Row],[Work Start time on Fault]]-Tracker_BD[[#This Row],[Fault Time]])*24,"")</f>
        <v>0</v>
      </c>
      <c r="AC67" s="28">
        <f>IFERROR((Tracker_BD[[#This Row],[Work Completion time on fault]]-Tracker_BD[[#This Row],[Fault Time]])*24,"")</f>
        <v>1.2500000000000009</v>
      </c>
      <c r="AD67" s="28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89"/>
      <c r="AI67" s="28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1">
        <v>45778</v>
      </c>
      <c r="G68" s="2">
        <f>DAY(EOMONTH(Tracker_BD[[#This Row],[Month Year]],0))</f>
        <v>31</v>
      </c>
      <c r="H68" s="32">
        <v>45790</v>
      </c>
      <c r="I68" s="34">
        <f>IFERROR(VLOOKUP(Tracker_BD[[#This Row],[Date]],Raw_Data[[Date]:[Sunset Time (POA&lt;20 W/m2)]],3,0),"")</f>
        <v>0.25624999999999998</v>
      </c>
      <c r="J68" s="34">
        <f>IFERROR(VLOOKUP(Tracker_BD[[#This Row],[Date]],Raw_Data[[Date]:[Sunset Time (POA&lt;20 W/m2)]],4,0),"")</f>
        <v>0.7631944444444444</v>
      </c>
      <c r="K68" s="28">
        <f>IFERROR((Tracker_BD[[#This Row],[Sunset Time (POA&lt;20 W/m2)]]-Tracker_BD[[#This Row],[Sunrise Time (POA&gt;20 W/m2)]])*24,"")</f>
        <v>12.166666666666666</v>
      </c>
      <c r="L68" s="2" t="s">
        <v>267</v>
      </c>
      <c r="M68" s="165"/>
      <c r="N68">
        <v>0</v>
      </c>
      <c r="O68" s="208" t="s">
        <v>184</v>
      </c>
      <c r="P68" s="97" t="s">
        <v>263</v>
      </c>
      <c r="Q68" s="97" t="s">
        <v>271</v>
      </c>
      <c r="R68" s="128">
        <v>86</v>
      </c>
      <c r="S68" s="97" t="s">
        <v>310</v>
      </c>
      <c r="T68" t="s">
        <v>269</v>
      </c>
      <c r="U68" t="s">
        <v>293</v>
      </c>
      <c r="V68" t="s">
        <v>293</v>
      </c>
      <c r="W68" s="34">
        <v>0.43055555555555558</v>
      </c>
      <c r="X68" s="34">
        <v>0.43055555555555558</v>
      </c>
      <c r="Y68" s="34">
        <v>0.43055555555555558</v>
      </c>
      <c r="Z68" s="34">
        <v>0.46527777777777779</v>
      </c>
      <c r="AA68" s="28">
        <f>IF(Tracker_BD[[#This Row],[Fault Acknowledgement Time ]]="NA","",(Tracker_BD[[#This Row],[Fault Acknowledgement Time ]]-Tracker_BD[[#This Row],[Fault Time]])*24)</f>
        <v>0</v>
      </c>
      <c r="AB68" s="28">
        <f>IFERROR((Tracker_BD[[#This Row],[Work Start time on Fault]]-Tracker_BD[[#This Row],[Fault Time]])*24,"")</f>
        <v>0</v>
      </c>
      <c r="AC68" s="28">
        <f>IFERROR((Tracker_BD[[#This Row],[Work Completion time on fault]]-Tracker_BD[[#This Row],[Fault Time]])*24,"")</f>
        <v>0.83333333333333304</v>
      </c>
      <c r="AD68" s="28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89"/>
      <c r="AI68" s="28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1">
        <v>45778</v>
      </c>
      <c r="G69" s="2">
        <f>DAY(EOMONTH(Tracker_BD[[#This Row],[Month Year]],0))</f>
        <v>31</v>
      </c>
      <c r="H69" s="32">
        <v>45791</v>
      </c>
      <c r="I69" s="34">
        <f>IFERROR(VLOOKUP(Tracker_BD[[#This Row],[Date]],Raw_Data[[Date]:[Sunset Time (POA&lt;20 W/m2)]],3,0),"")</f>
        <v>0.25208333333333333</v>
      </c>
      <c r="J69" s="34">
        <f>IFERROR(VLOOKUP(Tracker_BD[[#This Row],[Date]],Raw_Data[[Date]:[Sunset Time (POA&lt;20 W/m2)]],4,0),"")</f>
        <v>0.77222222222222225</v>
      </c>
      <c r="K69" s="28">
        <f>IFERROR((Tracker_BD[[#This Row],[Sunset Time (POA&lt;20 W/m2)]]-Tracker_BD[[#This Row],[Sunrise Time (POA&gt;20 W/m2)]])*24,"")</f>
        <v>12.483333333333334</v>
      </c>
      <c r="L69" s="2" t="s">
        <v>267</v>
      </c>
      <c r="M69" s="165"/>
      <c r="N69">
        <v>0</v>
      </c>
      <c r="O69" s="209" t="s">
        <v>189</v>
      </c>
      <c r="P69" s="97" t="s">
        <v>263</v>
      </c>
      <c r="Q69" s="97" t="s">
        <v>271</v>
      </c>
      <c r="R69" s="128">
        <v>83</v>
      </c>
      <c r="S69" s="97" t="s">
        <v>350</v>
      </c>
      <c r="T69" t="s">
        <v>269</v>
      </c>
      <c r="U69" t="s">
        <v>293</v>
      </c>
      <c r="V69" t="s">
        <v>293</v>
      </c>
      <c r="W69" s="34">
        <v>0.43055555555555558</v>
      </c>
      <c r="X69" s="34">
        <v>0.43055555555555558</v>
      </c>
      <c r="Y69" s="34">
        <v>0.43055555555555558</v>
      </c>
      <c r="Z69" s="34">
        <v>0.47916666666666669</v>
      </c>
      <c r="AA69" s="28">
        <f>IF(Tracker_BD[[#This Row],[Fault Acknowledgement Time ]]="NA","",(Tracker_BD[[#This Row],[Fault Acknowledgement Time ]]-Tracker_BD[[#This Row],[Fault Time]])*24)</f>
        <v>0</v>
      </c>
      <c r="AB69" s="28">
        <f>IFERROR((Tracker_BD[[#This Row],[Work Start time on Fault]]-Tracker_BD[[#This Row],[Fault Time]])*24,"")</f>
        <v>0</v>
      </c>
      <c r="AC69" s="28">
        <f>IFERROR((Tracker_BD[[#This Row],[Work Completion time on fault]]-Tracker_BD[[#This Row],[Fault Time]])*24,"")</f>
        <v>1.1666666666666665</v>
      </c>
      <c r="AD69" s="28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89"/>
      <c r="AI69" s="28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1">
        <v>45778</v>
      </c>
      <c r="G70" s="2">
        <f>DAY(EOMONTH(Tracker_BD[[#This Row],[Month Year]],0))</f>
        <v>31</v>
      </c>
      <c r="H70" s="32">
        <v>45795</v>
      </c>
      <c r="I70" s="34">
        <f>IFERROR(VLOOKUP(Tracker_BD[[#This Row],[Date]],Raw_Data[[Date]:[Sunset Time (POA&lt;20 W/m2)]],3,0),"")</f>
        <v>0.2590277777777778</v>
      </c>
      <c r="J70" s="34">
        <f>IFERROR(VLOOKUP(Tracker_BD[[#This Row],[Date]],Raw_Data[[Date]:[Sunset Time (POA&lt;20 W/m2)]],4,0),"")</f>
        <v>0.7729166666666667</v>
      </c>
      <c r="K70" s="28">
        <f>IFERROR((Tracker_BD[[#This Row],[Sunset Time (POA&lt;20 W/m2)]]-Tracker_BD[[#This Row],[Sunrise Time (POA&gt;20 W/m2)]])*24,"")</f>
        <v>12.333333333333332</v>
      </c>
      <c r="L70" s="2" t="s">
        <v>267</v>
      </c>
      <c r="M70" s="165"/>
      <c r="N70">
        <v>0</v>
      </c>
      <c r="O70" s="205" t="s">
        <v>185</v>
      </c>
      <c r="P70" s="97" t="s">
        <v>268</v>
      </c>
      <c r="Q70" s="97" t="s">
        <v>270</v>
      </c>
      <c r="R70" s="128">
        <v>56</v>
      </c>
      <c r="S70" s="97" t="s">
        <v>362</v>
      </c>
      <c r="T70" t="s">
        <v>269</v>
      </c>
      <c r="U70" t="s">
        <v>293</v>
      </c>
      <c r="V70" t="s">
        <v>293</v>
      </c>
      <c r="W70" s="34">
        <v>0.61111111111111116</v>
      </c>
      <c r="X70" s="34">
        <v>0.61111111111111116</v>
      </c>
      <c r="Y70" s="34">
        <v>0.61111111111111116</v>
      </c>
      <c r="Z70" s="34">
        <v>0.63888888888888884</v>
      </c>
      <c r="AA70" s="28">
        <f>IF(Tracker_BD[[#This Row],[Fault Acknowledgement Time ]]="NA","",(Tracker_BD[[#This Row],[Fault Acknowledgement Time ]]-Tracker_BD[[#This Row],[Fault Time]])*24)</f>
        <v>0</v>
      </c>
      <c r="AB70" s="28">
        <f>IFERROR((Tracker_BD[[#This Row],[Work Start time on Fault]]-Tracker_BD[[#This Row],[Fault Time]])*24,"")</f>
        <v>0</v>
      </c>
      <c r="AC70" s="28">
        <f>IFERROR((Tracker_BD[[#This Row],[Work Completion time on fault]]-Tracker_BD[[#This Row],[Fault Time]])*24,"")</f>
        <v>0.6666666666666643</v>
      </c>
      <c r="AD70" s="28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89"/>
      <c r="AI70" s="28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1">
        <v>45778</v>
      </c>
      <c r="G71" s="2">
        <f>DAY(EOMONTH(Tracker_BD[[#This Row],[Month Year]],0))</f>
        <v>31</v>
      </c>
      <c r="H71" s="32">
        <v>45797</v>
      </c>
      <c r="I71" s="34">
        <f>IFERROR(VLOOKUP(Tracker_BD[[#This Row],[Date]],Raw_Data[[Date]:[Sunset Time (POA&lt;20 W/m2)]],3,0),"")</f>
        <v>0.28888888888888886</v>
      </c>
      <c r="J71" s="34">
        <f>IFERROR(VLOOKUP(Tracker_BD[[#This Row],[Date]],Raw_Data[[Date]:[Sunset Time (POA&lt;20 W/m2)]],4,0),"")</f>
        <v>0.77152777777777781</v>
      </c>
      <c r="K71" s="28">
        <f>IFERROR((Tracker_BD[[#This Row],[Sunset Time (POA&lt;20 W/m2)]]-Tracker_BD[[#This Row],[Sunrise Time (POA&gt;20 W/m2)]])*24,"")</f>
        <v>11.583333333333336</v>
      </c>
      <c r="L71" s="2" t="s">
        <v>267</v>
      </c>
      <c r="M71" s="165"/>
      <c r="N71">
        <v>0</v>
      </c>
      <c r="O71" s="214" t="s">
        <v>186</v>
      </c>
      <c r="P71" s="97" t="s">
        <v>268</v>
      </c>
      <c r="Q71" s="97" t="s">
        <v>270</v>
      </c>
      <c r="R71" s="128"/>
      <c r="S71" s="97" t="s">
        <v>324</v>
      </c>
      <c r="T71" t="s">
        <v>269</v>
      </c>
      <c r="U71" t="s">
        <v>293</v>
      </c>
      <c r="V71" t="s">
        <v>293</v>
      </c>
      <c r="W71" s="34">
        <v>0.43055555555555558</v>
      </c>
      <c r="X71" s="34">
        <v>0.43055555555555558</v>
      </c>
      <c r="Y71" s="34">
        <v>0.43055555555555558</v>
      </c>
      <c r="Z71" s="34">
        <v>0.4826388888888889</v>
      </c>
      <c r="AA71" s="28">
        <f>IF(Tracker_BD[[#This Row],[Fault Acknowledgement Time ]]="NA","",(Tracker_BD[[#This Row],[Fault Acknowledgement Time ]]-Tracker_BD[[#This Row],[Fault Time]])*24)</f>
        <v>0</v>
      </c>
      <c r="AB71" s="28">
        <f>IFERROR((Tracker_BD[[#This Row],[Work Start time on Fault]]-Tracker_BD[[#This Row],[Fault Time]])*24,"")</f>
        <v>0</v>
      </c>
      <c r="AC71" s="28">
        <f>IFERROR((Tracker_BD[[#This Row],[Work Completion time on fault]]-Tracker_BD[[#This Row],[Fault Time]])*24,"")</f>
        <v>1.2499999999999996</v>
      </c>
      <c r="AD71" s="28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89"/>
      <c r="AI71" s="28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1">
        <v>45778</v>
      </c>
      <c r="G72" s="2">
        <f>DAY(EOMONTH(Tracker_BD[[#This Row],[Month Year]],0))</f>
        <v>31</v>
      </c>
      <c r="H72" s="32">
        <v>45797</v>
      </c>
      <c r="I72" s="34">
        <f>IFERROR(VLOOKUP(Tracker_BD[[#This Row],[Date]],Raw_Data[[Date]:[Sunset Time (POA&lt;20 W/m2)]],3,0),"")</f>
        <v>0.28888888888888886</v>
      </c>
      <c r="J72" s="34">
        <f>IFERROR(VLOOKUP(Tracker_BD[[#This Row],[Date]],Raw_Data[[Date]:[Sunset Time (POA&lt;20 W/m2)]],4,0),"")</f>
        <v>0.77152777777777781</v>
      </c>
      <c r="K72" s="28">
        <f>IFERROR((Tracker_BD[[#This Row],[Sunset Time (POA&lt;20 W/m2)]]-Tracker_BD[[#This Row],[Sunrise Time (POA&gt;20 W/m2)]])*24,"")</f>
        <v>11.583333333333336</v>
      </c>
      <c r="L72" s="2" t="s">
        <v>267</v>
      </c>
      <c r="M72" s="165"/>
      <c r="N72">
        <v>0</v>
      </c>
      <c r="O72" s="214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4">
        <v>0.47222222222222221</v>
      </c>
      <c r="X72" s="34">
        <v>0.47222222222222221</v>
      </c>
      <c r="Y72" s="34">
        <v>0.47222222222222221</v>
      </c>
      <c r="Z72" s="34">
        <v>0.49305555555555558</v>
      </c>
      <c r="AA72" s="28">
        <f>IF(Tracker_BD[[#This Row],[Fault Acknowledgement Time ]]="NA","",(Tracker_BD[[#This Row],[Fault Acknowledgement Time ]]-Tracker_BD[[#This Row],[Fault Time]])*24)</f>
        <v>0</v>
      </c>
      <c r="AB72" s="28">
        <f>IFERROR((Tracker_BD[[#This Row],[Work Start time on Fault]]-Tracker_BD[[#This Row],[Fault Time]])*24,"")</f>
        <v>0</v>
      </c>
      <c r="AC72" s="28">
        <f>IFERROR((Tracker_BD[[#This Row],[Work Completion time on fault]]-Tracker_BD[[#This Row],[Fault Time]])*24,"")</f>
        <v>0.50000000000000089</v>
      </c>
      <c r="AD72" s="28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89"/>
      <c r="AI72" s="28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1">
        <v>45778</v>
      </c>
      <c r="G73" s="2">
        <f>DAY(EOMONTH(Tracker_BD[[#This Row],[Month Year]],0))</f>
        <v>31</v>
      </c>
      <c r="H73" s="32">
        <v>45798</v>
      </c>
      <c r="I73" s="34">
        <f>IFERROR(VLOOKUP(Tracker_BD[[#This Row],[Date]],Raw_Data[[Date]:[Sunset Time (POA&lt;20 W/m2)]],3,0),"")</f>
        <v>0.25277777777777777</v>
      </c>
      <c r="J73" s="34">
        <f>IFERROR(VLOOKUP(Tracker_BD[[#This Row],[Date]],Raw_Data[[Date]:[Sunset Time (POA&lt;20 W/m2)]],4,0),"")</f>
        <v>0.77500000000000002</v>
      </c>
      <c r="K73" s="28">
        <f>IFERROR((Tracker_BD[[#This Row],[Sunset Time (POA&lt;20 W/m2)]]-Tracker_BD[[#This Row],[Sunrise Time (POA&gt;20 W/m2)]])*24,"")</f>
        <v>12.533333333333335</v>
      </c>
      <c r="L73" s="2" t="s">
        <v>267</v>
      </c>
      <c r="M73" s="165"/>
      <c r="N73">
        <v>0</v>
      </c>
      <c r="O73" s="215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4">
        <v>0.38194444444444442</v>
      </c>
      <c r="X73" s="34">
        <v>0.38194444444444442</v>
      </c>
      <c r="Y73" s="34">
        <v>0.38194444444444442</v>
      </c>
      <c r="Z73" s="34">
        <v>0.43055555555555558</v>
      </c>
      <c r="AA73" s="28">
        <f>IF(Tracker_BD[[#This Row],[Fault Acknowledgement Time ]]="NA","",(Tracker_BD[[#This Row],[Fault Acknowledgement Time ]]-Tracker_BD[[#This Row],[Fault Time]])*24)</f>
        <v>0</v>
      </c>
      <c r="AB73" s="28">
        <f>IFERROR((Tracker_BD[[#This Row],[Work Start time on Fault]]-Tracker_BD[[#This Row],[Fault Time]])*24,"")</f>
        <v>0</v>
      </c>
      <c r="AC73" s="28">
        <f>IFERROR((Tracker_BD[[#This Row],[Work Completion time on fault]]-Tracker_BD[[#This Row],[Fault Time]])*24,"")</f>
        <v>1.1666666666666679</v>
      </c>
      <c r="AD73" s="28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89"/>
      <c r="AI73" s="28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1">
        <v>45778</v>
      </c>
      <c r="G74" s="2">
        <f>DAY(EOMONTH(Tracker_BD[[#This Row],[Month Year]],0))</f>
        <v>31</v>
      </c>
      <c r="H74" s="32">
        <v>45799</v>
      </c>
      <c r="I74" s="34">
        <f>IFERROR(VLOOKUP(Tracker_BD[[#This Row],[Date]],Raw_Data[[Date]:[Sunset Time (POA&lt;20 W/m2)]],3,0),"")</f>
        <v>0.25555555555555554</v>
      </c>
      <c r="J74" s="34">
        <f>IFERROR(VLOOKUP(Tracker_BD[[#This Row],[Date]],Raw_Data[[Date]:[Sunset Time (POA&lt;20 W/m2)]],4,0),"")</f>
        <v>0.77500000000000002</v>
      </c>
      <c r="K74" s="28">
        <f>IFERROR((Tracker_BD[[#This Row],[Sunset Time (POA&lt;20 W/m2)]]-Tracker_BD[[#This Row],[Sunrise Time (POA&gt;20 W/m2)]])*24,"")</f>
        <v>12.466666666666669</v>
      </c>
      <c r="L74" s="2" t="s">
        <v>267</v>
      </c>
      <c r="M74" s="165"/>
      <c r="N74">
        <v>0</v>
      </c>
      <c r="O74" s="214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4">
        <v>0.35416666666666669</v>
      </c>
      <c r="X74" s="34">
        <v>0.35416666666666669</v>
      </c>
      <c r="Y74" s="34">
        <v>0.35416666666666669</v>
      </c>
      <c r="Z74" s="34">
        <v>0.40625</v>
      </c>
      <c r="AA74" s="28">
        <f>IF(Tracker_BD[[#This Row],[Fault Acknowledgement Time ]]="NA","",(Tracker_BD[[#This Row],[Fault Acknowledgement Time ]]-Tracker_BD[[#This Row],[Fault Time]])*24)</f>
        <v>0</v>
      </c>
      <c r="AB74" s="28">
        <f>IFERROR((Tracker_BD[[#This Row],[Work Start time on Fault]]-Tracker_BD[[#This Row],[Fault Time]])*24,"")</f>
        <v>0</v>
      </c>
      <c r="AC74" s="28">
        <f>IFERROR((Tracker_BD[[#This Row],[Work Completion time on fault]]-Tracker_BD[[#This Row],[Fault Time]])*24,"")</f>
        <v>1.2499999999999996</v>
      </c>
      <c r="AD74" s="28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89"/>
      <c r="AI74" s="28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1">
        <v>45778</v>
      </c>
      <c r="G75" s="2">
        <f>DAY(EOMONTH(Tracker_BD[[#This Row],[Month Year]],0))</f>
        <v>31</v>
      </c>
      <c r="H75" s="32">
        <v>45800</v>
      </c>
      <c r="I75" s="34">
        <f>IFERROR(VLOOKUP(Tracker_BD[[#This Row],[Date]],Raw_Data[[Date]:[Sunset Time (POA&lt;20 W/m2)]],3,0),"")</f>
        <v>0.25277777777777777</v>
      </c>
      <c r="J75" s="34">
        <f>IFERROR(VLOOKUP(Tracker_BD[[#This Row],[Date]],Raw_Data[[Date]:[Sunset Time (POA&lt;20 W/m2)]],4,0),"")</f>
        <v>0.77569444444444446</v>
      </c>
      <c r="K75" s="28">
        <f>IFERROR((Tracker_BD[[#This Row],[Sunset Time (POA&lt;20 W/m2)]]-Tracker_BD[[#This Row],[Sunrise Time (POA&gt;20 W/m2)]])*24,"")</f>
        <v>12.55</v>
      </c>
      <c r="L75" s="2" t="s">
        <v>267</v>
      </c>
      <c r="M75" s="165"/>
      <c r="N75">
        <v>0</v>
      </c>
      <c r="O75" s="218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4">
        <v>0.59722222222222221</v>
      </c>
      <c r="X75" s="34">
        <v>0.59722222222222221</v>
      </c>
      <c r="Y75" s="34">
        <v>0.59722222222222221</v>
      </c>
      <c r="Z75" s="34">
        <v>0.63194444444444442</v>
      </c>
      <c r="AA75" s="28">
        <f>IF(Tracker_BD[[#This Row],[Fault Acknowledgement Time ]]="NA","",(Tracker_BD[[#This Row],[Fault Acknowledgement Time ]]-Tracker_BD[[#This Row],[Fault Time]])*24)</f>
        <v>0</v>
      </c>
      <c r="AB75" s="28">
        <f>IFERROR((Tracker_BD[[#This Row],[Work Start time on Fault]]-Tracker_BD[[#This Row],[Fault Time]])*24,"")</f>
        <v>0</v>
      </c>
      <c r="AC75" s="28">
        <f>IFERROR((Tracker_BD[[#This Row],[Work Completion time on fault]]-Tracker_BD[[#This Row],[Fault Time]])*24,"")</f>
        <v>0.83333333333333304</v>
      </c>
      <c r="AD75" s="28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89"/>
      <c r="AI75" s="28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1">
        <v>45778</v>
      </c>
      <c r="G76" s="2">
        <f>DAY(EOMONTH(Tracker_BD[[#This Row],[Month Year]],0))</f>
        <v>31</v>
      </c>
      <c r="H76" s="32">
        <v>45800</v>
      </c>
      <c r="I76" s="34">
        <f>IFERROR(VLOOKUP(Tracker_BD[[#This Row],[Date]],Raw_Data[[Date]:[Sunset Time (POA&lt;20 W/m2)]],3,0),"")</f>
        <v>0.25277777777777777</v>
      </c>
      <c r="J76" s="34">
        <f>IFERROR(VLOOKUP(Tracker_BD[[#This Row],[Date]],Raw_Data[[Date]:[Sunset Time (POA&lt;20 W/m2)]],4,0),"")</f>
        <v>0.77569444444444446</v>
      </c>
      <c r="K76" s="28">
        <f>IFERROR((Tracker_BD[[#This Row],[Sunset Time (POA&lt;20 W/m2)]]-Tracker_BD[[#This Row],[Sunrise Time (POA&gt;20 W/m2)]])*24,"")</f>
        <v>12.55</v>
      </c>
      <c r="L76" s="2" t="s">
        <v>267</v>
      </c>
      <c r="M76" s="165"/>
      <c r="N76">
        <v>0</v>
      </c>
      <c r="O76" s="209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4">
        <v>0.61805555555555558</v>
      </c>
      <c r="X76" s="34">
        <v>0.61805555555555558</v>
      </c>
      <c r="Y76" s="34">
        <v>0.61805555555555558</v>
      </c>
      <c r="Z76" s="34">
        <v>0.65972222222222221</v>
      </c>
      <c r="AA76" s="28">
        <f>IF(Tracker_BD[[#This Row],[Fault Acknowledgement Time ]]="NA","",(Tracker_BD[[#This Row],[Fault Acknowledgement Time ]]-Tracker_BD[[#This Row],[Fault Time]])*24)</f>
        <v>0</v>
      </c>
      <c r="AB76" s="28">
        <f>IFERROR((Tracker_BD[[#This Row],[Work Start time on Fault]]-Tracker_BD[[#This Row],[Fault Time]])*24,"")</f>
        <v>0</v>
      </c>
      <c r="AC76" s="28">
        <f>IFERROR((Tracker_BD[[#This Row],[Work Completion time on fault]]-Tracker_BD[[#This Row],[Fault Time]])*24,"")</f>
        <v>0.99999999999999911</v>
      </c>
      <c r="AD76" s="28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89"/>
      <c r="AI76" s="28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1">
        <v>45778</v>
      </c>
      <c r="G77" s="2">
        <f>DAY(EOMONTH(Tracker_BD[[#This Row],[Month Year]],0))</f>
        <v>31</v>
      </c>
      <c r="H77" s="32">
        <v>45803</v>
      </c>
      <c r="I77" s="34">
        <f>IFERROR(VLOOKUP(Tracker_BD[[#This Row],[Date]],Raw_Data[[Date]:[Sunset Time (POA&lt;20 W/m2)]],3,0),"")</f>
        <v>0.25694444444444442</v>
      </c>
      <c r="J77" s="34">
        <f>IFERROR(VLOOKUP(Tracker_BD[[#This Row],[Date]],Raw_Data[[Date]:[Sunset Time (POA&lt;20 W/m2)]],4,0),"")</f>
        <v>0.77152777777777781</v>
      </c>
      <c r="K77" s="28">
        <f>IFERROR((Tracker_BD[[#This Row],[Sunset Time (POA&lt;20 W/m2)]]-Tracker_BD[[#This Row],[Sunrise Time (POA&gt;20 W/m2)]])*24,"")</f>
        <v>12.350000000000001</v>
      </c>
      <c r="L77" s="2" t="s">
        <v>267</v>
      </c>
      <c r="M77" s="165"/>
      <c r="N77">
        <v>0</v>
      </c>
      <c r="O77" s="205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4">
        <v>0.63194444444444442</v>
      </c>
      <c r="X77" s="34">
        <v>0.63194444444444442</v>
      </c>
      <c r="Y77" s="34">
        <v>0.63194444444444442</v>
      </c>
      <c r="Z77" s="34">
        <v>0.68055555555555558</v>
      </c>
      <c r="AA77" s="28">
        <f>IF(Tracker_BD[[#This Row],[Fault Acknowledgement Time ]]="NA","",(Tracker_BD[[#This Row],[Fault Acknowledgement Time ]]-Tracker_BD[[#This Row],[Fault Time]])*24)</f>
        <v>0</v>
      </c>
      <c r="AB77" s="28">
        <f>IFERROR((Tracker_BD[[#This Row],[Work Start time on Fault]]-Tracker_BD[[#This Row],[Fault Time]])*24,"")</f>
        <v>0</v>
      </c>
      <c r="AC77" s="28">
        <f>IFERROR((Tracker_BD[[#This Row],[Work Completion time on fault]]-Tracker_BD[[#This Row],[Fault Time]])*24,"")</f>
        <v>1.1666666666666679</v>
      </c>
      <c r="AD77" s="28">
        <f>IFERROR((Tracker_BD[[#This Row],[Work Completion time on fault]]-Tracker_BD[[#This Row],[Fault Time]])*24,"")</f>
        <v>1.1666666666666679</v>
      </c>
      <c r="AE77" s="199" t="s">
        <v>334</v>
      </c>
      <c r="AF77" t="s">
        <v>266</v>
      </c>
      <c r="AG77" s="2"/>
      <c r="AH77" s="89"/>
      <c r="AI77" s="28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1">
        <v>45778</v>
      </c>
      <c r="G78" s="2">
        <f>DAY(EOMONTH(Tracker_BD[[#This Row],[Month Year]],0))</f>
        <v>31</v>
      </c>
      <c r="H78" s="32">
        <v>45805</v>
      </c>
      <c r="I78" s="34">
        <f>IFERROR(VLOOKUP(Tracker_BD[[#This Row],[Date]],Raw_Data[[Date]:[Sunset Time (POA&lt;20 W/m2)]],3,0),"")</f>
        <v>0.25416666666666665</v>
      </c>
      <c r="J78" s="34">
        <f>IFERROR(VLOOKUP(Tracker_BD[[#This Row],[Date]],Raw_Data[[Date]:[Sunset Time (POA&lt;20 W/m2)]],4,0),"")</f>
        <v>0.75486111111111109</v>
      </c>
      <c r="K78" s="28">
        <f>IFERROR((Tracker_BD[[#This Row],[Sunset Time (POA&lt;20 W/m2)]]-Tracker_BD[[#This Row],[Sunrise Time (POA&gt;20 W/m2)]])*24,"")</f>
        <v>12.016666666666666</v>
      </c>
      <c r="L78" s="2" t="s">
        <v>267</v>
      </c>
      <c r="M78" s="165"/>
      <c r="N78">
        <v>0</v>
      </c>
      <c r="O78" s="214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4">
        <v>0.4236111111111111</v>
      </c>
      <c r="X78" s="34">
        <v>0.4236111111111111</v>
      </c>
      <c r="Y78" s="34">
        <v>0.4236111111111111</v>
      </c>
      <c r="Z78" s="34">
        <v>0.44444444444444442</v>
      </c>
      <c r="AA78" s="28">
        <f>IF(Tracker_BD[[#This Row],[Fault Acknowledgement Time ]]="NA","",(Tracker_BD[[#This Row],[Fault Acknowledgement Time ]]-Tracker_BD[[#This Row],[Fault Time]])*24)</f>
        <v>0</v>
      </c>
      <c r="AB78" s="28">
        <f>IFERROR((Tracker_BD[[#This Row],[Work Start time on Fault]]-Tracker_BD[[#This Row],[Fault Time]])*24,"")</f>
        <v>0</v>
      </c>
      <c r="AC78" s="28">
        <f>IFERROR((Tracker_BD[[#This Row],[Work Completion time on fault]]-Tracker_BD[[#This Row],[Fault Time]])*24,"")</f>
        <v>0.49999999999999956</v>
      </c>
      <c r="AD78" s="28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89"/>
      <c r="AI78" s="28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1">
        <v>45778</v>
      </c>
      <c r="G79" s="2">
        <f>DAY(EOMONTH(Tracker_BD[[#This Row],[Month Year]],0))</f>
        <v>31</v>
      </c>
      <c r="H79" s="32">
        <v>45805</v>
      </c>
      <c r="I79" s="34">
        <f>IFERROR(VLOOKUP(Tracker_BD[[#This Row],[Date]],Raw_Data[[Date]:[Sunset Time (POA&lt;20 W/m2)]],3,0),"")</f>
        <v>0.25416666666666665</v>
      </c>
      <c r="J79" s="34">
        <f>IFERROR(VLOOKUP(Tracker_BD[[#This Row],[Date]],Raw_Data[[Date]:[Sunset Time (POA&lt;20 W/m2)]],4,0),"")</f>
        <v>0.75486111111111109</v>
      </c>
      <c r="K79" s="28">
        <f>IFERROR((Tracker_BD[[#This Row],[Sunset Time (POA&lt;20 W/m2)]]-Tracker_BD[[#This Row],[Sunrise Time (POA&gt;20 W/m2)]])*24,"")</f>
        <v>12.016666666666666</v>
      </c>
      <c r="L79" s="2" t="s">
        <v>267</v>
      </c>
      <c r="M79" s="165"/>
      <c r="N79">
        <v>0</v>
      </c>
      <c r="O79" s="214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4">
        <v>0.65277777777777779</v>
      </c>
      <c r="X79" s="34">
        <v>0.65277777777777779</v>
      </c>
      <c r="Y79" s="34">
        <v>0.65277777777777779</v>
      </c>
      <c r="Z79" s="34">
        <v>0.68402777777777779</v>
      </c>
      <c r="AA79" s="28">
        <f>IF(Tracker_BD[[#This Row],[Fault Acknowledgement Time ]]="NA","",(Tracker_BD[[#This Row],[Fault Acknowledgement Time ]]-Tracker_BD[[#This Row],[Fault Time]])*24)</f>
        <v>0</v>
      </c>
      <c r="AB79" s="28">
        <f>IFERROR((Tracker_BD[[#This Row],[Work Start time on Fault]]-Tracker_BD[[#This Row],[Fault Time]])*24,"")</f>
        <v>0</v>
      </c>
      <c r="AC79" s="28">
        <f>IFERROR((Tracker_BD[[#This Row],[Work Completion time on fault]]-Tracker_BD[[#This Row],[Fault Time]])*24,"")</f>
        <v>0.75</v>
      </c>
      <c r="AD79" s="28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89"/>
      <c r="AI79" s="28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1">
        <v>45778</v>
      </c>
      <c r="G80" s="2">
        <f>DAY(EOMONTH(Tracker_BD[[#This Row],[Month Year]],0))</f>
        <v>31</v>
      </c>
      <c r="H80" s="32">
        <v>45807</v>
      </c>
      <c r="I80" s="34">
        <f>IFERROR(VLOOKUP(Tracker_BD[[#This Row],[Date]],Raw_Data[[Date]:[Sunset Time (POA&lt;20 W/m2)]],3,0),"")</f>
        <v>0.25138888888888888</v>
      </c>
      <c r="J80" s="34">
        <f>IFERROR(VLOOKUP(Tracker_BD[[#This Row],[Date]],Raw_Data[[Date]:[Sunset Time (POA&lt;20 W/m2)]],4,0),"")</f>
        <v>0.76944444444444449</v>
      </c>
      <c r="K80" s="28">
        <f>IFERROR((Tracker_BD[[#This Row],[Sunset Time (POA&lt;20 W/m2)]]-Tracker_BD[[#This Row],[Sunrise Time (POA&gt;20 W/m2)]])*24,"")</f>
        <v>12.433333333333334</v>
      </c>
      <c r="L80" s="2" t="s">
        <v>267</v>
      </c>
      <c r="M80" s="165"/>
      <c r="N80">
        <v>0</v>
      </c>
      <c r="O80" s="218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4">
        <v>0.34722222222222221</v>
      </c>
      <c r="X80" s="34">
        <v>0.34722222222222221</v>
      </c>
      <c r="Y80" s="34">
        <v>0.34722222222222221</v>
      </c>
      <c r="Z80" s="34">
        <v>0.39930555555555558</v>
      </c>
      <c r="AA80" s="28">
        <f>IF(Tracker_BD[[#This Row],[Fault Acknowledgement Time ]]="NA","",(Tracker_BD[[#This Row],[Fault Acknowledgement Time ]]-Tracker_BD[[#This Row],[Fault Time]])*24)</f>
        <v>0</v>
      </c>
      <c r="AB80" s="28">
        <f>IFERROR((Tracker_BD[[#This Row],[Work Start time on Fault]]-Tracker_BD[[#This Row],[Fault Time]])*24,"")</f>
        <v>0</v>
      </c>
      <c r="AC80" s="28">
        <f>IFERROR((Tracker_BD[[#This Row],[Work Completion time on fault]]-Tracker_BD[[#This Row],[Fault Time]])*24,"")</f>
        <v>1.2500000000000009</v>
      </c>
      <c r="AD80" s="28">
        <f>IFERROR((Tracker_BD[[#This Row],[Work Completion time on fault]]-Tracker_BD[[#This Row],[Fault Time]])*24,"")</f>
        <v>1.2500000000000009</v>
      </c>
      <c r="AE80" s="199" t="s">
        <v>334</v>
      </c>
      <c r="AF80" t="s">
        <v>266</v>
      </c>
      <c r="AG80" s="2"/>
      <c r="AH80" s="89"/>
      <c r="AI80" s="28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1">
        <v>45778</v>
      </c>
      <c r="G81" s="2">
        <f>DAY(EOMONTH(Tracker_BD[[#This Row],[Month Year]],0))</f>
        <v>31</v>
      </c>
      <c r="H81" s="32">
        <v>45807</v>
      </c>
      <c r="I81" s="34">
        <f>IFERROR(VLOOKUP(Tracker_BD[[#This Row],[Date]],Raw_Data[[Date]:[Sunset Time (POA&lt;20 W/m2)]],3,0),"")</f>
        <v>0.25138888888888888</v>
      </c>
      <c r="J81" s="34">
        <f>IFERROR(VLOOKUP(Tracker_BD[[#This Row],[Date]],Raw_Data[[Date]:[Sunset Time (POA&lt;20 W/m2)]],4,0),"")</f>
        <v>0.76944444444444449</v>
      </c>
      <c r="K81" s="28">
        <f>IFERROR((Tracker_BD[[#This Row],[Sunset Time (POA&lt;20 W/m2)]]-Tracker_BD[[#This Row],[Sunrise Time (POA&gt;20 W/m2)]])*24,"")</f>
        <v>12.433333333333334</v>
      </c>
      <c r="L81" s="2" t="s">
        <v>267</v>
      </c>
      <c r="M81" s="165"/>
      <c r="N81">
        <v>0</v>
      </c>
      <c r="O81" s="209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4">
        <v>0.4236111111111111</v>
      </c>
      <c r="X81" s="34">
        <v>0.4236111111111111</v>
      </c>
      <c r="Y81" s="34">
        <v>0.4236111111111111</v>
      </c>
      <c r="Z81" s="34">
        <v>0.47222222222222221</v>
      </c>
      <c r="AA81" s="28">
        <f>IF(Tracker_BD[[#This Row],[Fault Acknowledgement Time ]]="NA","",(Tracker_BD[[#This Row],[Fault Acknowledgement Time ]]-Tracker_BD[[#This Row],[Fault Time]])*24)</f>
        <v>0</v>
      </c>
      <c r="AB81" s="28">
        <f>IFERROR((Tracker_BD[[#This Row],[Work Start time on Fault]]-Tracker_BD[[#This Row],[Fault Time]])*24,"")</f>
        <v>0</v>
      </c>
      <c r="AC81" s="28">
        <f>IFERROR((Tracker_BD[[#This Row],[Work Completion time on fault]]-Tracker_BD[[#This Row],[Fault Time]])*24,"")</f>
        <v>1.1666666666666665</v>
      </c>
      <c r="AD81" s="28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89"/>
      <c r="AI81" s="28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1">
        <v>45809</v>
      </c>
      <c r="G82" s="2">
        <f>DAY(EOMONTH(Tracker_BD[[#This Row],[Month Year]],0))</f>
        <v>30</v>
      </c>
      <c r="H82" s="32">
        <v>45812</v>
      </c>
      <c r="I82" s="34">
        <f>IFERROR(VLOOKUP(Tracker_BD[[#This Row],[Date]],Raw_Data[[Date]:[Sunset Time (POA&lt;20 W/m2)]],3,0),"")</f>
        <v>0.24861111111111112</v>
      </c>
      <c r="J82" s="34">
        <f>IFERROR(VLOOKUP(Tracker_BD[[#This Row],[Date]],Raw_Data[[Date]:[Sunset Time (POA&lt;20 W/m2)]],4,0),"")</f>
        <v>0.77430555555555558</v>
      </c>
      <c r="K82" s="28">
        <f>IFERROR((Tracker_BD[[#This Row],[Sunset Time (POA&lt;20 W/m2)]]-Tracker_BD[[#This Row],[Sunrise Time (POA&gt;20 W/m2)]])*24,"")</f>
        <v>12.616666666666667</v>
      </c>
      <c r="L82" s="2" t="s">
        <v>1621</v>
      </c>
      <c r="M82" s="165"/>
      <c r="N82">
        <v>0</v>
      </c>
      <c r="O82" s="214" t="s">
        <v>186</v>
      </c>
      <c r="P82" s="2" t="s">
        <v>268</v>
      </c>
      <c r="Q82" s="2" t="s">
        <v>270</v>
      </c>
      <c r="R82">
        <v>65</v>
      </c>
      <c r="S82" s="2" t="s">
        <v>1622</v>
      </c>
      <c r="T82" t="s">
        <v>281</v>
      </c>
      <c r="U82" t="s">
        <v>1623</v>
      </c>
      <c r="V82" t="s">
        <v>1623</v>
      </c>
      <c r="W82" s="34">
        <v>0.3888888888888889</v>
      </c>
      <c r="X82" s="34">
        <v>0.3888888888888889</v>
      </c>
      <c r="Y82" s="34">
        <v>0.3888888888888889</v>
      </c>
      <c r="Z82" s="34">
        <v>0.51388888888888884</v>
      </c>
      <c r="AA82" s="28">
        <f>IF(Tracker_BD[[#This Row],[Fault Acknowledgement Time ]]="NA","",(Tracker_BD[[#This Row],[Fault Acknowledgement Time ]]-Tracker_BD[[#This Row],[Fault Time]])*24)</f>
        <v>0</v>
      </c>
      <c r="AB82" s="28">
        <f>IFERROR((Tracker_BD[[#This Row],[Work Start time on Fault]]-Tracker_BD[[#This Row],[Fault Time]])*24,"")</f>
        <v>0</v>
      </c>
      <c r="AC82" s="28">
        <f>IFERROR((Tracker_BD[[#This Row],[Work Completion time on fault]]-Tracker_BD[[#This Row],[Fault Time]])*24,"")</f>
        <v>2.9999999999999987</v>
      </c>
      <c r="AD82" s="28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89"/>
      <c r="AI82" s="28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1">
        <v>45809</v>
      </c>
      <c r="G83" s="2">
        <f>DAY(EOMONTH(Tracker_BD[[#This Row],[Month Year]],0))</f>
        <v>30</v>
      </c>
      <c r="H83" s="32">
        <v>45813</v>
      </c>
      <c r="I83" s="34">
        <f>IFERROR(VLOOKUP(Tracker_BD[[#This Row],[Date]],Raw_Data[[Date]:[Sunset Time (POA&lt;20 W/m2)]],3,0),"")</f>
        <v>0.25</v>
      </c>
      <c r="J83" s="34">
        <f>IFERROR(VLOOKUP(Tracker_BD[[#This Row],[Date]],Raw_Data[[Date]:[Sunset Time (POA&lt;20 W/m2)]],4,0),"")</f>
        <v>0.77430555555555558</v>
      </c>
      <c r="K83" s="28">
        <f>IFERROR((Tracker_BD[[#This Row],[Sunset Time (POA&lt;20 W/m2)]]-Tracker_BD[[#This Row],[Sunrise Time (POA&gt;20 W/m2)]])*24,"")</f>
        <v>12.583333333333334</v>
      </c>
      <c r="L83" s="2" t="s">
        <v>267</v>
      </c>
      <c r="M83" s="165"/>
      <c r="N83">
        <v>0</v>
      </c>
      <c r="O83" s="205" t="s">
        <v>185</v>
      </c>
      <c r="P83" s="2" t="s">
        <v>268</v>
      </c>
      <c r="Q83" s="2" t="s">
        <v>270</v>
      </c>
      <c r="R83">
        <v>56</v>
      </c>
      <c r="S83" s="2" t="s">
        <v>1624</v>
      </c>
      <c r="T83" t="s">
        <v>269</v>
      </c>
      <c r="U83" t="s">
        <v>293</v>
      </c>
      <c r="V83" t="s">
        <v>293</v>
      </c>
      <c r="W83" s="34">
        <v>0.34722222222222221</v>
      </c>
      <c r="X83" s="34">
        <v>0.34722222222222221</v>
      </c>
      <c r="Y83" s="34">
        <v>0.34722222222222221</v>
      </c>
      <c r="Z83" s="34">
        <v>0.4375</v>
      </c>
      <c r="AA83" s="28">
        <f>IF(Tracker_BD[[#This Row],[Fault Acknowledgement Time ]]="NA","",(Tracker_BD[[#This Row],[Fault Acknowledgement Time ]]-Tracker_BD[[#This Row],[Fault Time]])*24)</f>
        <v>0</v>
      </c>
      <c r="AB83" s="28">
        <f>IFERROR((Tracker_BD[[#This Row],[Work Start time on Fault]]-Tracker_BD[[#This Row],[Fault Time]])*24,"")</f>
        <v>0</v>
      </c>
      <c r="AC83" s="28">
        <f>IFERROR((Tracker_BD[[#This Row],[Work Completion time on fault]]-Tracker_BD[[#This Row],[Fault Time]])*24,"")</f>
        <v>2.166666666666667</v>
      </c>
      <c r="AD83" s="28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89"/>
      <c r="AI83" s="28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1">
        <v>45809</v>
      </c>
      <c r="G84" s="2">
        <f>DAY(EOMONTH(Tracker_BD[[#This Row],[Month Year]],0))</f>
        <v>30</v>
      </c>
      <c r="H84" s="32">
        <v>45813</v>
      </c>
      <c r="I84" s="34">
        <f>IFERROR(VLOOKUP(Tracker_BD[[#This Row],[Date]],Raw_Data[[Date]:[Sunset Time (POA&lt;20 W/m2)]],3,0),"")</f>
        <v>0.25</v>
      </c>
      <c r="J84" s="34">
        <f>IFERROR(VLOOKUP(Tracker_BD[[#This Row],[Date]],Raw_Data[[Date]:[Sunset Time (POA&lt;20 W/m2)]],4,0),"")</f>
        <v>0.77430555555555558</v>
      </c>
      <c r="K84" s="28">
        <f>IFERROR((Tracker_BD[[#This Row],[Sunset Time (POA&lt;20 W/m2)]]-Tracker_BD[[#This Row],[Sunrise Time (POA&gt;20 W/m2)]])*24,"")</f>
        <v>12.583333333333334</v>
      </c>
      <c r="L84" s="2" t="s">
        <v>1621</v>
      </c>
      <c r="M84" s="165"/>
      <c r="N84">
        <v>0</v>
      </c>
      <c r="O84" s="218" t="s">
        <v>187</v>
      </c>
      <c r="P84" s="2" t="s">
        <v>270</v>
      </c>
      <c r="Q84" s="2" t="s">
        <v>263</v>
      </c>
      <c r="R84">
        <v>40</v>
      </c>
      <c r="S84" s="2" t="s">
        <v>1625</v>
      </c>
      <c r="T84" t="s">
        <v>281</v>
      </c>
      <c r="U84" t="s">
        <v>1623</v>
      </c>
      <c r="V84" t="s">
        <v>1623</v>
      </c>
      <c r="W84" s="34">
        <v>0.50694444444444442</v>
      </c>
      <c r="X84" s="34">
        <v>0.50694444444444442</v>
      </c>
      <c r="Y84" s="34">
        <v>0.50694444444444442</v>
      </c>
      <c r="Z84" s="34">
        <v>0.55555555555555558</v>
      </c>
      <c r="AA84" s="28">
        <f>IF(Tracker_BD[[#This Row],[Fault Acknowledgement Time ]]="NA","",(Tracker_BD[[#This Row],[Fault Acknowledgement Time ]]-Tracker_BD[[#This Row],[Fault Time]])*24)</f>
        <v>0</v>
      </c>
      <c r="AB84" s="28">
        <f>IFERROR((Tracker_BD[[#This Row],[Work Start time on Fault]]-Tracker_BD[[#This Row],[Fault Time]])*24,"")</f>
        <v>0</v>
      </c>
      <c r="AC84" s="28">
        <f>IFERROR((Tracker_BD[[#This Row],[Work Completion time on fault]]-Tracker_BD[[#This Row],[Fault Time]])*24,"")</f>
        <v>1.1666666666666679</v>
      </c>
      <c r="AD84" s="28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89"/>
      <c r="AI84" s="28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1">
        <v>45809</v>
      </c>
      <c r="G85" s="2">
        <f>DAY(EOMONTH(Tracker_BD[[#This Row],[Month Year]],0))</f>
        <v>30</v>
      </c>
      <c r="H85" s="32">
        <v>45813</v>
      </c>
      <c r="I85" s="34">
        <f>IFERROR(VLOOKUP(Tracker_BD[[#This Row],[Date]],Raw_Data[[Date]:[Sunset Time (POA&lt;20 W/m2)]],3,0),"")</f>
        <v>0.25</v>
      </c>
      <c r="J85" s="34">
        <f>IFERROR(VLOOKUP(Tracker_BD[[#This Row],[Date]],Raw_Data[[Date]:[Sunset Time (POA&lt;20 W/m2)]],4,0),"")</f>
        <v>0.77430555555555558</v>
      </c>
      <c r="K85" s="28">
        <f>IFERROR((Tracker_BD[[#This Row],[Sunset Time (POA&lt;20 W/m2)]]-Tracker_BD[[#This Row],[Sunrise Time (POA&gt;20 W/m2)]])*24,"")</f>
        <v>12.583333333333334</v>
      </c>
      <c r="L85" s="2" t="s">
        <v>1621</v>
      </c>
      <c r="M85" s="165"/>
      <c r="N85">
        <v>0</v>
      </c>
      <c r="O85" s="205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1623</v>
      </c>
      <c r="V85" t="s">
        <v>1623</v>
      </c>
      <c r="W85" s="34">
        <v>0.53125</v>
      </c>
      <c r="X85" s="34">
        <v>0.53125</v>
      </c>
      <c r="Y85" s="34">
        <v>0.53125</v>
      </c>
      <c r="Z85" s="34">
        <v>0.56944444444444442</v>
      </c>
      <c r="AA85" s="28">
        <f>IF(Tracker_BD[[#This Row],[Fault Acknowledgement Time ]]="NA","",(Tracker_BD[[#This Row],[Fault Acknowledgement Time ]]-Tracker_BD[[#This Row],[Fault Time]])*24)</f>
        <v>0</v>
      </c>
      <c r="AB85" s="28">
        <f>IFERROR((Tracker_BD[[#This Row],[Work Start time on Fault]]-Tracker_BD[[#This Row],[Fault Time]])*24,"")</f>
        <v>0</v>
      </c>
      <c r="AC85" s="28">
        <f>IFERROR((Tracker_BD[[#This Row],[Work Completion time on fault]]-Tracker_BD[[#This Row],[Fault Time]])*24,"")</f>
        <v>0.91666666666666607</v>
      </c>
      <c r="AD85" s="28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89"/>
      <c r="AI85" s="28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1">
        <v>45809</v>
      </c>
      <c r="G86" s="2">
        <f>DAY(EOMONTH(Tracker_BD[[#This Row],[Month Year]],0))</f>
        <v>30</v>
      </c>
      <c r="H86" s="32">
        <v>45814</v>
      </c>
      <c r="I86" s="34">
        <f>IFERROR(VLOOKUP(Tracker_BD[[#This Row],[Date]],Raw_Data[[Date]:[Sunset Time (POA&lt;20 W/m2)]],3,0),"")</f>
        <v>0.25069444444444444</v>
      </c>
      <c r="J86" s="34">
        <f>IFERROR(VLOOKUP(Tracker_BD[[#This Row],[Date]],Raw_Data[[Date]:[Sunset Time (POA&lt;20 W/m2)]],4,0),"")</f>
        <v>0.77638888888888891</v>
      </c>
      <c r="K86" s="28">
        <f>IFERROR((Tracker_BD[[#This Row],[Sunset Time (POA&lt;20 W/m2)]]-Tracker_BD[[#This Row],[Sunrise Time (POA&gt;20 W/m2)]])*24,"")</f>
        <v>12.616666666666667</v>
      </c>
      <c r="L86" s="2" t="s">
        <v>1621</v>
      </c>
      <c r="M86" s="165"/>
      <c r="N86">
        <v>0</v>
      </c>
      <c r="O86" s="218" t="s">
        <v>187</v>
      </c>
      <c r="P86" s="2" t="s">
        <v>268</v>
      </c>
      <c r="Q86" s="2" t="s">
        <v>270</v>
      </c>
      <c r="R86">
        <v>71</v>
      </c>
      <c r="S86" s="2" t="s">
        <v>1626</v>
      </c>
      <c r="T86" t="s">
        <v>281</v>
      </c>
      <c r="U86" t="s">
        <v>1623</v>
      </c>
      <c r="V86" t="s">
        <v>1623</v>
      </c>
      <c r="W86" s="34">
        <v>0.39583333333333331</v>
      </c>
      <c r="X86" s="34">
        <v>0.39583333333333331</v>
      </c>
      <c r="Y86" s="34">
        <v>0.39583333333333331</v>
      </c>
      <c r="Z86" s="34">
        <v>0.44444444444444442</v>
      </c>
      <c r="AA86" s="28">
        <f>IF(Tracker_BD[[#This Row],[Fault Acknowledgement Time ]]="NA","",(Tracker_BD[[#This Row],[Fault Acknowledgement Time ]]-Tracker_BD[[#This Row],[Fault Time]])*24)</f>
        <v>0</v>
      </c>
      <c r="AB86" s="28">
        <f>IFERROR((Tracker_BD[[#This Row],[Work Start time on Fault]]-Tracker_BD[[#This Row],[Fault Time]])*24,"")</f>
        <v>0</v>
      </c>
      <c r="AC86" s="28">
        <f>IFERROR((Tracker_BD[[#This Row],[Work Completion time on fault]]-Tracker_BD[[#This Row],[Fault Time]])*24,"")</f>
        <v>1.1666666666666665</v>
      </c>
      <c r="AD86" s="28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89"/>
      <c r="AI86" s="28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1">
        <v>45809</v>
      </c>
      <c r="G87" s="2">
        <f>DAY(EOMONTH(Tracker_BD[[#This Row],[Month Year]],0))</f>
        <v>30</v>
      </c>
      <c r="H87" s="32">
        <v>45814</v>
      </c>
      <c r="I87" s="34">
        <f>IFERROR(VLOOKUP(Tracker_BD[[#This Row],[Date]],Raw_Data[[Date]:[Sunset Time (POA&lt;20 W/m2)]],3,0),"")</f>
        <v>0.25069444444444444</v>
      </c>
      <c r="J87" s="34">
        <f>IFERROR(VLOOKUP(Tracker_BD[[#This Row],[Date]],Raw_Data[[Date]:[Sunset Time (POA&lt;20 W/m2)]],4,0),"")</f>
        <v>0.77638888888888891</v>
      </c>
      <c r="K87" s="28">
        <f>IFERROR((Tracker_BD[[#This Row],[Sunset Time (POA&lt;20 W/m2)]]-Tracker_BD[[#This Row],[Sunrise Time (POA&gt;20 W/m2)]])*24,"")</f>
        <v>12.616666666666667</v>
      </c>
      <c r="L87" s="2" t="s">
        <v>267</v>
      </c>
      <c r="M87" s="165"/>
      <c r="N87">
        <v>0</v>
      </c>
      <c r="O87" s="208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4">
        <v>0.68055555555555558</v>
      </c>
      <c r="X87" s="34">
        <v>0.68055555555555558</v>
      </c>
      <c r="Y87" s="34">
        <v>0.68055555555555558</v>
      </c>
      <c r="Z87" s="34">
        <v>0.71527777777777779</v>
      </c>
      <c r="AA87" s="28">
        <f>IF(Tracker_BD[[#This Row],[Fault Acknowledgement Time ]]="NA","",(Tracker_BD[[#This Row],[Fault Acknowledgement Time ]]-Tracker_BD[[#This Row],[Fault Time]])*24)</f>
        <v>0</v>
      </c>
      <c r="AB87" s="28">
        <f>IFERROR((Tracker_BD[[#This Row],[Work Start time on Fault]]-Tracker_BD[[#This Row],[Fault Time]])*24,"")</f>
        <v>0</v>
      </c>
      <c r="AC87" s="28">
        <f>IFERROR((Tracker_BD[[#This Row],[Work Completion time on fault]]-Tracker_BD[[#This Row],[Fault Time]])*24,"")</f>
        <v>0.83333333333333304</v>
      </c>
      <c r="AD87" s="28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89"/>
      <c r="AI87" s="28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1">
        <v>45809</v>
      </c>
      <c r="G88" s="2">
        <f>DAY(EOMONTH(Tracker_BD[[#This Row],[Month Year]],0))</f>
        <v>30</v>
      </c>
      <c r="H88" s="32">
        <v>45815</v>
      </c>
      <c r="I88" s="34">
        <f>IFERROR(VLOOKUP(Tracker_BD[[#This Row],[Date]],Raw_Data[[Date]:[Sunset Time (POA&lt;20 W/m2)]],3,0),"")</f>
        <v>0.25069444444444444</v>
      </c>
      <c r="J88" s="34">
        <f>IFERROR(VLOOKUP(Tracker_BD[[#This Row],[Date]],Raw_Data[[Date]:[Sunset Time (POA&lt;20 W/m2)]],4,0),"")</f>
        <v>0.77847222222222223</v>
      </c>
      <c r="K88" s="28">
        <f>IFERROR((Tracker_BD[[#This Row],[Sunset Time (POA&lt;20 W/m2)]]-Tracker_BD[[#This Row],[Sunrise Time (POA&gt;20 W/m2)]])*24,"")</f>
        <v>12.666666666666668</v>
      </c>
      <c r="L88" s="2" t="s">
        <v>1621</v>
      </c>
      <c r="M88" s="165"/>
      <c r="N88">
        <v>0</v>
      </c>
      <c r="O88" s="208" t="s">
        <v>184</v>
      </c>
      <c r="P88" s="2" t="s">
        <v>272</v>
      </c>
      <c r="Q88" s="2" t="s">
        <v>268</v>
      </c>
      <c r="R88">
        <v>12</v>
      </c>
      <c r="S88" s="2" t="s">
        <v>1630</v>
      </c>
      <c r="T88" t="s">
        <v>281</v>
      </c>
      <c r="U88" t="s">
        <v>1623</v>
      </c>
      <c r="V88" t="s">
        <v>1623</v>
      </c>
      <c r="W88" s="34">
        <v>0.45833333333333331</v>
      </c>
      <c r="X88" s="34">
        <v>0.45833333333333331</v>
      </c>
      <c r="Y88" s="34">
        <v>0.45833333333333331</v>
      </c>
      <c r="Z88" s="34">
        <v>0.4826388888888889</v>
      </c>
      <c r="AA88" s="28">
        <f>IF(Tracker_BD[[#This Row],[Fault Acknowledgement Time ]]="NA","",(Tracker_BD[[#This Row],[Fault Acknowledgement Time ]]-Tracker_BD[[#This Row],[Fault Time]])*24)</f>
        <v>0</v>
      </c>
      <c r="AB88" s="28">
        <f>IFERROR((Tracker_BD[[#This Row],[Work Start time on Fault]]-Tracker_BD[[#This Row],[Fault Time]])*24,"")</f>
        <v>0</v>
      </c>
      <c r="AC88" s="28">
        <f>IFERROR((Tracker_BD[[#This Row],[Work Completion time on fault]]-Tracker_BD[[#This Row],[Fault Time]])*24,"")</f>
        <v>0.58333333333333393</v>
      </c>
      <c r="AD88" s="28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89"/>
      <c r="AI88" s="28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1">
        <v>45809</v>
      </c>
      <c r="G89" s="2">
        <f>DAY(EOMONTH(Tracker_BD[[#This Row],[Month Year]],0))</f>
        <v>30</v>
      </c>
      <c r="H89" s="32">
        <v>45815</v>
      </c>
      <c r="I89" s="34">
        <f>IFERROR(VLOOKUP(Tracker_BD[[#This Row],[Date]],Raw_Data[[Date]:[Sunset Time (POA&lt;20 W/m2)]],3,0),"")</f>
        <v>0.25069444444444444</v>
      </c>
      <c r="J89" s="34">
        <f>IFERROR(VLOOKUP(Tracker_BD[[#This Row],[Date]],Raw_Data[[Date]:[Sunset Time (POA&lt;20 W/m2)]],4,0),"")</f>
        <v>0.77847222222222223</v>
      </c>
      <c r="K89" s="28">
        <f>IFERROR((Tracker_BD[[#This Row],[Sunset Time (POA&lt;20 W/m2)]]-Tracker_BD[[#This Row],[Sunrise Time (POA&gt;20 W/m2)]])*24,"")</f>
        <v>12.666666666666668</v>
      </c>
      <c r="L89" s="2" t="s">
        <v>267</v>
      </c>
      <c r="M89" s="165"/>
      <c r="N89">
        <v>0</v>
      </c>
      <c r="O89" s="208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4">
        <v>0.51388888888888884</v>
      </c>
      <c r="X89" s="34">
        <v>0.51388888888888884</v>
      </c>
      <c r="Y89" s="34">
        <v>0.51388888888888884</v>
      </c>
      <c r="Z89" s="34">
        <v>0.53472222222222221</v>
      </c>
      <c r="AA89" s="28">
        <f>IF(Tracker_BD[[#This Row],[Fault Acknowledgement Time ]]="NA","",(Tracker_BD[[#This Row],[Fault Acknowledgement Time ]]-Tracker_BD[[#This Row],[Fault Time]])*24)</f>
        <v>0</v>
      </c>
      <c r="AB89" s="28">
        <f>IFERROR((Tracker_BD[[#This Row],[Work Start time on Fault]]-Tracker_BD[[#This Row],[Fault Time]])*24,"")</f>
        <v>0</v>
      </c>
      <c r="AC89" s="28">
        <f>IFERROR((Tracker_BD[[#This Row],[Work Completion time on fault]]-Tracker_BD[[#This Row],[Fault Time]])*24,"")</f>
        <v>0.50000000000000089</v>
      </c>
      <c r="AD89" s="28">
        <f>IFERROR((Tracker_BD[[#This Row],[Work Completion time on fault]]-Tracker_BD[[#This Row],[Fault Time]])*24,"")</f>
        <v>0.50000000000000089</v>
      </c>
      <c r="AE89" s="199" t="s">
        <v>334</v>
      </c>
      <c r="AF89" t="s">
        <v>266</v>
      </c>
      <c r="AG89" s="2"/>
      <c r="AH89" s="89"/>
      <c r="AI89" s="28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1">
        <v>45809</v>
      </c>
      <c r="G90" s="2">
        <f>DAY(EOMONTH(Tracker_BD[[#This Row],[Month Year]],0))</f>
        <v>30</v>
      </c>
      <c r="H90" s="32">
        <v>45817</v>
      </c>
      <c r="I90" s="34">
        <f>IFERROR(VLOOKUP(Tracker_BD[[#This Row],[Date]],Raw_Data[[Date]:[Sunset Time (POA&lt;20 W/m2)]],3,0),"")</f>
        <v>0.25069444444444444</v>
      </c>
      <c r="J90" s="34">
        <f>IFERROR(VLOOKUP(Tracker_BD[[#This Row],[Date]],Raw_Data[[Date]:[Sunset Time (POA&lt;20 W/m2)]],4,0),"")</f>
        <v>0.71666666666666667</v>
      </c>
      <c r="K90" s="28">
        <f>IFERROR((Tracker_BD[[#This Row],[Sunset Time (POA&lt;20 W/m2)]]-Tracker_BD[[#This Row],[Sunrise Time (POA&gt;20 W/m2)]])*24,"")</f>
        <v>11.183333333333334</v>
      </c>
      <c r="L90" s="2" t="s">
        <v>267</v>
      </c>
      <c r="M90" s="165"/>
      <c r="N90">
        <v>0</v>
      </c>
      <c r="O90" s="224" t="s">
        <v>188</v>
      </c>
      <c r="P90" s="97" t="s">
        <v>270</v>
      </c>
      <c r="Q90" s="97" t="s">
        <v>263</v>
      </c>
      <c r="R90">
        <v>15</v>
      </c>
      <c r="S90" s="97" t="s">
        <v>1632</v>
      </c>
      <c r="T90" t="s">
        <v>269</v>
      </c>
      <c r="U90" t="s">
        <v>293</v>
      </c>
      <c r="V90" t="s">
        <v>293</v>
      </c>
      <c r="W90" s="34">
        <v>0.34027777777777779</v>
      </c>
      <c r="X90" s="34">
        <v>0.34027777777777779</v>
      </c>
      <c r="Y90" s="34">
        <v>0.34027777777777779</v>
      </c>
      <c r="Z90" s="34">
        <v>0.3923611111111111</v>
      </c>
      <c r="AA90" s="28">
        <f>IF(Tracker_BD[[#This Row],[Fault Acknowledgement Time ]]="NA","",(Tracker_BD[[#This Row],[Fault Acknowledgement Time ]]-Tracker_BD[[#This Row],[Fault Time]])*24)</f>
        <v>0</v>
      </c>
      <c r="AB90" s="28">
        <f>IFERROR((Tracker_BD[[#This Row],[Work Start time on Fault]]-Tracker_BD[[#This Row],[Fault Time]])*24,"")</f>
        <v>0</v>
      </c>
      <c r="AC90" s="28">
        <f>IFERROR((Tracker_BD[[#This Row],[Work Completion time on fault]]-Tracker_BD[[#This Row],[Fault Time]])*24,"")</f>
        <v>1.2499999999999996</v>
      </c>
      <c r="AD90" s="28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89"/>
      <c r="AI90" s="28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1">
        <v>45809</v>
      </c>
      <c r="G91" s="2">
        <f>DAY(EOMONTH(Tracker_BD[[#This Row],[Month Year]],0))</f>
        <v>30</v>
      </c>
      <c r="H91" s="32">
        <v>45818</v>
      </c>
      <c r="I91" s="34">
        <f>IFERROR(VLOOKUP(Tracker_BD[[#This Row],[Date]],Raw_Data[[Date]:[Sunset Time (POA&lt;20 W/m2)]],3,0),"")</f>
        <v>0.24930555555555556</v>
      </c>
      <c r="J91" s="34">
        <f>IFERROR(VLOOKUP(Tracker_BD[[#This Row],[Date]],Raw_Data[[Date]:[Sunset Time (POA&lt;20 W/m2)]],4,0),"")</f>
        <v>0.77777777777777779</v>
      </c>
      <c r="K91" s="28">
        <f>IFERROR((Tracker_BD[[#This Row],[Sunset Time (POA&lt;20 W/m2)]]-Tracker_BD[[#This Row],[Sunrise Time (POA&gt;20 W/m2)]])*24,"")</f>
        <v>12.683333333333334</v>
      </c>
      <c r="L91" s="2" t="s">
        <v>1621</v>
      </c>
      <c r="M91" s="165"/>
      <c r="N91">
        <v>0</v>
      </c>
      <c r="O91" s="209" t="s">
        <v>189</v>
      </c>
      <c r="P91" s="97" t="s">
        <v>268</v>
      </c>
      <c r="Q91" s="97" t="s">
        <v>270</v>
      </c>
      <c r="R91">
        <v>46</v>
      </c>
      <c r="S91" s="97" t="s">
        <v>429</v>
      </c>
      <c r="T91" t="s">
        <v>281</v>
      </c>
      <c r="U91" t="s">
        <v>1623</v>
      </c>
      <c r="V91" t="s">
        <v>1623</v>
      </c>
      <c r="W91" s="34">
        <v>0.39583333333333331</v>
      </c>
      <c r="X91" s="34">
        <v>0.39583333333333331</v>
      </c>
      <c r="Y91" s="34">
        <v>0.39583333333333331</v>
      </c>
      <c r="Z91" s="34">
        <v>0.44097222222222221</v>
      </c>
      <c r="AA91" s="28">
        <f>IF(Tracker_BD[[#This Row],[Fault Acknowledgement Time ]]="NA","",(Tracker_BD[[#This Row],[Fault Acknowledgement Time ]]-Tracker_BD[[#This Row],[Fault Time]])*24)</f>
        <v>0</v>
      </c>
      <c r="AB91" s="28">
        <f>IFERROR((Tracker_BD[[#This Row],[Work Start time on Fault]]-Tracker_BD[[#This Row],[Fault Time]])*24,"")</f>
        <v>0</v>
      </c>
      <c r="AC91" s="28">
        <f>IFERROR((Tracker_BD[[#This Row],[Work Completion time on fault]]-Tracker_BD[[#This Row],[Fault Time]])*24,"")</f>
        <v>1.0833333333333335</v>
      </c>
      <c r="AD91" s="28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89"/>
      <c r="AI91" s="28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1">
        <v>45809</v>
      </c>
      <c r="G92" s="2">
        <f>DAY(EOMONTH(Tracker_BD[[#This Row],[Month Year]],0))</f>
        <v>30</v>
      </c>
      <c r="H92" s="32">
        <v>45819</v>
      </c>
      <c r="I92" s="34">
        <f>IFERROR(VLOOKUP(Tracker_BD[[#This Row],[Date]],Raw_Data[[Date]:[Sunset Time (POA&lt;20 W/m2)]],3,0),"")</f>
        <v>0.25416666666666665</v>
      </c>
      <c r="J92" s="34">
        <f>IFERROR(VLOOKUP(Tracker_BD[[#This Row],[Date]],Raw_Data[[Date]:[Sunset Time (POA&lt;20 W/m2)]],4,0),"")</f>
        <v>0.74652777777777779</v>
      </c>
      <c r="K92" s="28">
        <f>IFERROR((Tracker_BD[[#This Row],[Sunset Time (POA&lt;20 W/m2)]]-Tracker_BD[[#This Row],[Sunrise Time (POA&gt;20 W/m2)]])*24,"")</f>
        <v>11.816666666666666</v>
      </c>
      <c r="L92" s="2" t="s">
        <v>1621</v>
      </c>
      <c r="M92" s="165"/>
      <c r="N92">
        <v>0</v>
      </c>
      <c r="O92" s="205" t="s">
        <v>185</v>
      </c>
      <c r="P92" s="97" t="s">
        <v>268</v>
      </c>
      <c r="Q92" s="97" t="s">
        <v>270</v>
      </c>
      <c r="R92">
        <v>55</v>
      </c>
      <c r="S92" s="97" t="s">
        <v>1634</v>
      </c>
      <c r="T92" t="s">
        <v>281</v>
      </c>
      <c r="U92" t="s">
        <v>1623</v>
      </c>
      <c r="V92" t="s">
        <v>1623</v>
      </c>
      <c r="W92" s="34">
        <v>0.46527777777777779</v>
      </c>
      <c r="X92" s="34">
        <v>0.46527777777777779</v>
      </c>
      <c r="Y92" s="34">
        <v>0.46527777777777779</v>
      </c>
      <c r="Z92" s="34">
        <v>0.50694444444444442</v>
      </c>
      <c r="AA92" s="28">
        <f>IF(Tracker_BD[[#This Row],[Fault Acknowledgement Time ]]="NA","",(Tracker_BD[[#This Row],[Fault Acknowledgement Time ]]-Tracker_BD[[#This Row],[Fault Time]])*24)</f>
        <v>0</v>
      </c>
      <c r="AB92" s="28">
        <f>IFERROR((Tracker_BD[[#This Row],[Work Start time on Fault]]-Tracker_BD[[#This Row],[Fault Time]])*24,"")</f>
        <v>0</v>
      </c>
      <c r="AC92" s="28">
        <f>IFERROR((Tracker_BD[[#This Row],[Work Completion time on fault]]-Tracker_BD[[#This Row],[Fault Time]])*24,"")</f>
        <v>0.99999999999999911</v>
      </c>
      <c r="AD92" s="28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89"/>
      <c r="AI92" s="28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1">
        <v>45809</v>
      </c>
      <c r="G93" s="2">
        <f>DAY(EOMONTH(Tracker_BD[[#This Row],[Month Year]],0))</f>
        <v>30</v>
      </c>
      <c r="H93" s="32">
        <v>45822</v>
      </c>
      <c r="I93" s="34">
        <f>IFERROR(VLOOKUP(Tracker_BD[[#This Row],[Date]],Raw_Data[[Date]:[Sunset Time (POA&lt;20 W/m2)]],3,0),"")</f>
        <v>0.25069444444444444</v>
      </c>
      <c r="J93" s="34">
        <f>IFERROR(VLOOKUP(Tracker_BD[[#This Row],[Date]],Raw_Data[[Date]:[Sunset Time (POA&lt;20 W/m2)]],4,0),"")</f>
        <v>0.74305555555555558</v>
      </c>
      <c r="K93" s="28">
        <f>IFERROR((Tracker_BD[[#This Row],[Sunset Time (POA&lt;20 W/m2)]]-Tracker_BD[[#This Row],[Sunrise Time (POA&gt;20 W/m2)]])*24,"")</f>
        <v>11.816666666666666</v>
      </c>
      <c r="L93" s="2" t="s">
        <v>267</v>
      </c>
      <c r="M93" s="165"/>
      <c r="N93">
        <v>0</v>
      </c>
      <c r="O93" s="224" t="s">
        <v>188</v>
      </c>
      <c r="P93" s="97" t="s">
        <v>270</v>
      </c>
      <c r="Q93" s="97" t="s">
        <v>263</v>
      </c>
      <c r="R93">
        <v>18</v>
      </c>
      <c r="S93" s="97" t="s">
        <v>355</v>
      </c>
      <c r="T93" t="s">
        <v>269</v>
      </c>
      <c r="U93" t="s">
        <v>293</v>
      </c>
      <c r="V93" t="s">
        <v>293</v>
      </c>
      <c r="W93" s="34">
        <v>0.4236111111111111</v>
      </c>
      <c r="X93" s="34">
        <v>0.4236111111111111</v>
      </c>
      <c r="Y93" s="34">
        <v>0.4236111111111111</v>
      </c>
      <c r="Z93" s="34">
        <v>0.47569444444444442</v>
      </c>
      <c r="AA93" s="28">
        <f>IF(Tracker_BD[[#This Row],[Fault Acknowledgement Time ]]="NA","",(Tracker_BD[[#This Row],[Fault Acknowledgement Time ]]-Tracker_BD[[#This Row],[Fault Time]])*24)</f>
        <v>0</v>
      </c>
      <c r="AB93" s="28">
        <f>IFERROR((Tracker_BD[[#This Row],[Work Start time on Fault]]-Tracker_BD[[#This Row],[Fault Time]])*24,"")</f>
        <v>0</v>
      </c>
      <c r="AC93" s="28">
        <f>IFERROR((Tracker_BD[[#This Row],[Work Completion time on fault]]-Tracker_BD[[#This Row],[Fault Time]])*24,"")</f>
        <v>1.2499999999999996</v>
      </c>
      <c r="AD93" s="28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89"/>
      <c r="AI93" s="28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1">
        <v>45809</v>
      </c>
      <c r="G94" s="2">
        <f>DAY(EOMONTH(Tracker_BD[[#This Row],[Month Year]],0))</f>
        <v>30</v>
      </c>
      <c r="H94" s="32">
        <v>45822</v>
      </c>
      <c r="I94" s="34">
        <f>IFERROR(VLOOKUP(Tracker_BD[[#This Row],[Date]],Raw_Data[[Date]:[Sunset Time (POA&lt;20 W/m2)]],3,0),"")</f>
        <v>0.25069444444444444</v>
      </c>
      <c r="J94" s="34">
        <f>IFERROR(VLOOKUP(Tracker_BD[[#This Row],[Date]],Raw_Data[[Date]:[Sunset Time (POA&lt;20 W/m2)]],4,0),"")</f>
        <v>0.74305555555555558</v>
      </c>
      <c r="K94" s="28">
        <f>IFERROR((Tracker_BD[[#This Row],[Sunset Time (POA&lt;20 W/m2)]]-Tracker_BD[[#This Row],[Sunrise Time (POA&gt;20 W/m2)]])*24,"")</f>
        <v>11.816666666666666</v>
      </c>
      <c r="L94" s="2" t="s">
        <v>267</v>
      </c>
      <c r="M94" s="165"/>
      <c r="N94">
        <v>0</v>
      </c>
      <c r="O94" s="214" t="s">
        <v>186</v>
      </c>
      <c r="P94" s="97" t="s">
        <v>268</v>
      </c>
      <c r="Q94" s="97" t="s">
        <v>270</v>
      </c>
      <c r="R94">
        <v>66</v>
      </c>
      <c r="S94" s="97" t="s">
        <v>324</v>
      </c>
      <c r="T94" t="s">
        <v>269</v>
      </c>
      <c r="U94" t="s">
        <v>293</v>
      </c>
      <c r="V94" t="s">
        <v>293</v>
      </c>
      <c r="W94" s="34">
        <v>0.51388888888888884</v>
      </c>
      <c r="X94" s="34">
        <v>0.51388888888888884</v>
      </c>
      <c r="Y94" s="34">
        <v>0.51388888888888884</v>
      </c>
      <c r="Z94" s="34">
        <v>0.55902777777777779</v>
      </c>
      <c r="AA94" s="28">
        <f>IF(Tracker_BD[[#This Row],[Fault Acknowledgement Time ]]="NA","",(Tracker_BD[[#This Row],[Fault Acknowledgement Time ]]-Tracker_BD[[#This Row],[Fault Time]])*24)</f>
        <v>0</v>
      </c>
      <c r="AB94" s="28">
        <f>IFERROR((Tracker_BD[[#This Row],[Work Start time on Fault]]-Tracker_BD[[#This Row],[Fault Time]])*24,"")</f>
        <v>0</v>
      </c>
      <c r="AC94" s="28">
        <f>IFERROR((Tracker_BD[[#This Row],[Work Completion time on fault]]-Tracker_BD[[#This Row],[Fault Time]])*24,"")</f>
        <v>1.0833333333333348</v>
      </c>
      <c r="AD94" s="28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89"/>
      <c r="AI94" s="28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1">
        <v>45809</v>
      </c>
      <c r="G95" s="2">
        <f>DAY(EOMONTH(Tracker_BD[[#This Row],[Month Year]],0))</f>
        <v>30</v>
      </c>
      <c r="H95" s="32">
        <v>45825</v>
      </c>
      <c r="I95" s="34">
        <f>IFERROR(VLOOKUP(Tracker_BD[[#This Row],[Date]],Raw_Data[[Date]:[Sunset Time (POA&lt;20 W/m2)]],3,0),"")</f>
        <v>0.25763888888888886</v>
      </c>
      <c r="J95" s="34">
        <f>IFERROR(VLOOKUP(Tracker_BD[[#This Row],[Date]],Raw_Data[[Date]:[Sunset Time (POA&lt;20 W/m2)]],4,0),"")</f>
        <v>0.77777777777777779</v>
      </c>
      <c r="K95" s="28">
        <f>IFERROR((Tracker_BD[[#This Row],[Sunset Time (POA&lt;20 W/m2)]]-Tracker_BD[[#This Row],[Sunrise Time (POA&gt;20 W/m2)]])*24,"")</f>
        <v>12.483333333333334</v>
      </c>
      <c r="L95" s="2" t="s">
        <v>267</v>
      </c>
      <c r="M95" s="165"/>
      <c r="N95">
        <v>0</v>
      </c>
      <c r="O95" s="224" t="s">
        <v>188</v>
      </c>
      <c r="P95" s="97" t="s">
        <v>277</v>
      </c>
      <c r="Q95" s="97" t="s">
        <v>262</v>
      </c>
      <c r="R95">
        <v>54</v>
      </c>
      <c r="S95" s="97" t="s">
        <v>383</v>
      </c>
      <c r="T95" t="s">
        <v>269</v>
      </c>
      <c r="U95" t="s">
        <v>293</v>
      </c>
      <c r="V95" t="s">
        <v>293</v>
      </c>
      <c r="W95" s="34">
        <v>0.33333333333333331</v>
      </c>
      <c r="X95" s="34">
        <v>0.33333333333333331</v>
      </c>
      <c r="Y95" s="34">
        <v>0.33333333333333331</v>
      </c>
      <c r="Z95" s="34">
        <v>0.36805555555555558</v>
      </c>
      <c r="AA95" s="28">
        <f>IF(Tracker_BD[[#This Row],[Fault Acknowledgement Time ]]="NA","",(Tracker_BD[[#This Row],[Fault Acknowledgement Time ]]-Tracker_BD[[#This Row],[Fault Time]])*24)</f>
        <v>0</v>
      </c>
      <c r="AB95" s="28">
        <f>IFERROR((Tracker_BD[[#This Row],[Work Start time on Fault]]-Tracker_BD[[#This Row],[Fault Time]])*24,"")</f>
        <v>0</v>
      </c>
      <c r="AC95" s="28">
        <f>IFERROR((Tracker_BD[[#This Row],[Work Completion time on fault]]-Tracker_BD[[#This Row],[Fault Time]])*24,"")</f>
        <v>0.83333333333333437</v>
      </c>
      <c r="AD95" s="28">
        <f>IFERROR((Tracker_BD[[#This Row],[Work Completion time on fault]]-Tracker_BD[[#This Row],[Fault Time]])*24,"")</f>
        <v>0.83333333333333437</v>
      </c>
      <c r="AE95" s="199" t="s">
        <v>334</v>
      </c>
      <c r="AF95" t="s">
        <v>266</v>
      </c>
      <c r="AG95" s="2"/>
      <c r="AH95" s="89"/>
      <c r="AI95" s="28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1">
        <v>45809</v>
      </c>
      <c r="G96" s="2">
        <f>DAY(EOMONTH(Tracker_BD[[#This Row],[Month Year]],0))</f>
        <v>30</v>
      </c>
      <c r="H96" s="32">
        <v>45825</v>
      </c>
      <c r="I96" s="34">
        <f>IFERROR(VLOOKUP(Tracker_BD[[#This Row],[Date]],Raw_Data[[Date]:[Sunset Time (POA&lt;20 W/m2)]],3,0),"")</f>
        <v>0.25763888888888886</v>
      </c>
      <c r="J96" s="34">
        <f>IFERROR(VLOOKUP(Tracker_BD[[#This Row],[Date]],Raw_Data[[Date]:[Sunset Time (POA&lt;20 W/m2)]],4,0),"")</f>
        <v>0.77777777777777779</v>
      </c>
      <c r="K96" s="28">
        <f>IFERROR((Tracker_BD[[#This Row],[Sunset Time (POA&lt;20 W/m2)]]-Tracker_BD[[#This Row],[Sunrise Time (POA&gt;20 W/m2)]])*24,"")</f>
        <v>12.483333333333334</v>
      </c>
      <c r="L96" s="2" t="s">
        <v>267</v>
      </c>
      <c r="M96" s="165"/>
      <c r="N96">
        <v>0</v>
      </c>
      <c r="O96" s="224" t="s">
        <v>188</v>
      </c>
      <c r="P96" s="97" t="s">
        <v>277</v>
      </c>
      <c r="Q96" s="97" t="s">
        <v>272</v>
      </c>
      <c r="R96">
        <v>35</v>
      </c>
      <c r="S96" s="97" t="s">
        <v>1641</v>
      </c>
      <c r="T96" t="s">
        <v>269</v>
      </c>
      <c r="U96" t="s">
        <v>293</v>
      </c>
      <c r="V96" t="s">
        <v>293</v>
      </c>
      <c r="W96" s="34">
        <v>0.39930555555555558</v>
      </c>
      <c r="X96" s="34">
        <v>0.39930555555555558</v>
      </c>
      <c r="Y96" s="34">
        <v>0.39930555555555558</v>
      </c>
      <c r="Z96" s="34">
        <v>0.4513888888888889</v>
      </c>
      <c r="AA96" s="28">
        <f>IF(Tracker_BD[[#This Row],[Fault Acknowledgement Time ]]="NA","",(Tracker_BD[[#This Row],[Fault Acknowledgement Time ]]-Tracker_BD[[#This Row],[Fault Time]])*24)</f>
        <v>0</v>
      </c>
      <c r="AB96" s="28">
        <f>IFERROR((Tracker_BD[[#This Row],[Work Start time on Fault]]-Tracker_BD[[#This Row],[Fault Time]])*24,"")</f>
        <v>0</v>
      </c>
      <c r="AC96" s="28">
        <f>IFERROR((Tracker_BD[[#This Row],[Work Completion time on fault]]-Tracker_BD[[#This Row],[Fault Time]])*24,"")</f>
        <v>1.2499999999999996</v>
      </c>
      <c r="AD96" s="28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89"/>
      <c r="AI96" s="28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1">
        <v>45809</v>
      </c>
      <c r="G97" s="2">
        <f>DAY(EOMONTH(Tracker_BD[[#This Row],[Month Year]],0))</f>
        <v>30</v>
      </c>
      <c r="H97" s="32">
        <v>45825</v>
      </c>
      <c r="I97" s="34">
        <f>IFERROR(VLOOKUP(Tracker_BD[[#This Row],[Date]],Raw_Data[[Date]:[Sunset Time (POA&lt;20 W/m2)]],3,0),"")</f>
        <v>0.25763888888888886</v>
      </c>
      <c r="J97" s="34">
        <f>IFERROR(VLOOKUP(Tracker_BD[[#This Row],[Date]],Raw_Data[[Date]:[Sunset Time (POA&lt;20 W/m2)]],4,0),"")</f>
        <v>0.77777777777777779</v>
      </c>
      <c r="K97" s="28">
        <f>IFERROR((Tracker_BD[[#This Row],[Sunset Time (POA&lt;20 W/m2)]]-Tracker_BD[[#This Row],[Sunrise Time (POA&gt;20 W/m2)]])*24,"")</f>
        <v>12.483333333333334</v>
      </c>
      <c r="L97" s="2" t="s">
        <v>267</v>
      </c>
      <c r="M97" s="165"/>
      <c r="N97">
        <v>0</v>
      </c>
      <c r="O97" s="214" t="s">
        <v>186</v>
      </c>
      <c r="P97" s="97" t="s">
        <v>272</v>
      </c>
      <c r="Q97" s="97" t="s">
        <v>268</v>
      </c>
      <c r="R97">
        <v>21</v>
      </c>
      <c r="S97" s="97" t="s">
        <v>374</v>
      </c>
      <c r="T97" t="s">
        <v>269</v>
      </c>
      <c r="U97" t="s">
        <v>293</v>
      </c>
      <c r="V97" t="s">
        <v>293</v>
      </c>
      <c r="W97" s="34">
        <v>0.64583333333333337</v>
      </c>
      <c r="X97" s="34">
        <v>0.64583333333333337</v>
      </c>
      <c r="Y97" s="34">
        <v>0.64583333333333337</v>
      </c>
      <c r="Z97" s="34">
        <v>0.69791666666666663</v>
      </c>
      <c r="AA97" s="28">
        <f>IF(Tracker_BD[[#This Row],[Fault Acknowledgement Time ]]="NA","",(Tracker_BD[[#This Row],[Fault Acknowledgement Time ]]-Tracker_BD[[#This Row],[Fault Time]])*24)</f>
        <v>0</v>
      </c>
      <c r="AB97" s="28">
        <f>IFERROR((Tracker_BD[[#This Row],[Work Start time on Fault]]-Tracker_BD[[#This Row],[Fault Time]])*24,"")</f>
        <v>0</v>
      </c>
      <c r="AC97" s="28">
        <f>IFERROR((Tracker_BD[[#This Row],[Work Completion time on fault]]-Tracker_BD[[#This Row],[Fault Time]])*24,"")</f>
        <v>1.2499999999999982</v>
      </c>
      <c r="AD97" s="28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89"/>
      <c r="AI97" s="28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1">
        <v>45809</v>
      </c>
      <c r="G98" s="2">
        <f>DAY(EOMONTH(Tracker_BD[[#This Row],[Month Year]],0))</f>
        <v>30</v>
      </c>
      <c r="H98" s="32">
        <v>45826</v>
      </c>
      <c r="I98" s="34">
        <f>IFERROR(VLOOKUP(Tracker_BD[[#This Row],[Date]],Raw_Data[[Date]:[Sunset Time (POA&lt;20 W/m2)]],3,0),"")</f>
        <v>0.25416666666666665</v>
      </c>
      <c r="J98" s="34">
        <f>IFERROR(VLOOKUP(Tracker_BD[[#This Row],[Date]],Raw_Data[[Date]:[Sunset Time (POA&lt;20 W/m2)]],4,0),"")</f>
        <v>0.77638888888888891</v>
      </c>
      <c r="K98" s="28">
        <f>IFERROR((Tracker_BD[[#This Row],[Sunset Time (POA&lt;20 W/m2)]]-Tracker_BD[[#This Row],[Sunrise Time (POA&gt;20 W/m2)]])*24,"")</f>
        <v>12.533333333333335</v>
      </c>
      <c r="L98" s="2" t="s">
        <v>1621</v>
      </c>
      <c r="M98" s="165"/>
      <c r="N98">
        <v>0</v>
      </c>
      <c r="O98" s="224" t="s">
        <v>188</v>
      </c>
      <c r="P98" s="97" t="s">
        <v>277</v>
      </c>
      <c r="Q98" s="97" t="s">
        <v>262</v>
      </c>
      <c r="R98">
        <v>102</v>
      </c>
      <c r="S98" s="97" t="s">
        <v>1644</v>
      </c>
      <c r="T98" t="s">
        <v>281</v>
      </c>
      <c r="U98" t="s">
        <v>1623</v>
      </c>
      <c r="V98" t="s">
        <v>1623</v>
      </c>
      <c r="W98" s="34">
        <v>0.63888888888888884</v>
      </c>
      <c r="X98" s="34">
        <v>0.63888888888888884</v>
      </c>
      <c r="Y98" s="34">
        <v>0.63888888888888884</v>
      </c>
      <c r="Z98" s="34">
        <v>0.67013888888888884</v>
      </c>
      <c r="AA98" s="28">
        <f>IF(Tracker_BD[[#This Row],[Fault Acknowledgement Time ]]="NA","",(Tracker_BD[[#This Row],[Fault Acknowledgement Time ]]-Tracker_BD[[#This Row],[Fault Time]])*24)</f>
        <v>0</v>
      </c>
      <c r="AB98" s="28">
        <f>IFERROR((Tracker_BD[[#This Row],[Work Start time on Fault]]-Tracker_BD[[#This Row],[Fault Time]])*24,"")</f>
        <v>0</v>
      </c>
      <c r="AC98" s="28">
        <f>IFERROR((Tracker_BD[[#This Row],[Work Completion time on fault]]-Tracker_BD[[#This Row],[Fault Time]])*24,"")</f>
        <v>0.75</v>
      </c>
      <c r="AD98" s="28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89"/>
      <c r="AI98" s="28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1">
        <v>45809</v>
      </c>
      <c r="G99" s="2">
        <f>DAY(EOMONTH(Tracker_BD[[#This Row],[Month Year]],0))</f>
        <v>30</v>
      </c>
      <c r="H99" s="32">
        <v>45826</v>
      </c>
      <c r="I99" s="34">
        <f>IFERROR(VLOOKUP(Tracker_BD[[#This Row],[Date]],Raw_Data[[Date]:[Sunset Time (POA&lt;20 W/m2)]],3,0),"")</f>
        <v>0.25416666666666665</v>
      </c>
      <c r="J99" s="34">
        <f>IFERROR(VLOOKUP(Tracker_BD[[#This Row],[Date]],Raw_Data[[Date]:[Sunset Time (POA&lt;20 W/m2)]],4,0),"")</f>
        <v>0.77638888888888891</v>
      </c>
      <c r="K99" s="28">
        <f>IFERROR((Tracker_BD[[#This Row],[Sunset Time (POA&lt;20 W/m2)]]-Tracker_BD[[#This Row],[Sunrise Time (POA&gt;20 W/m2)]])*24,"")</f>
        <v>12.533333333333335</v>
      </c>
      <c r="L99" s="2" t="s">
        <v>1621</v>
      </c>
      <c r="M99" s="165"/>
      <c r="N99">
        <v>0</v>
      </c>
      <c r="O99" s="224" t="s">
        <v>188</v>
      </c>
      <c r="P99" s="97" t="s">
        <v>277</v>
      </c>
      <c r="Q99" s="97" t="s">
        <v>272</v>
      </c>
      <c r="R99">
        <v>113</v>
      </c>
      <c r="S99" s="97" t="s">
        <v>1645</v>
      </c>
      <c r="T99" t="s">
        <v>281</v>
      </c>
      <c r="U99" t="s">
        <v>1623</v>
      </c>
      <c r="V99" t="s">
        <v>1623</v>
      </c>
      <c r="W99" s="34">
        <v>0.67361111111111116</v>
      </c>
      <c r="X99" s="34">
        <v>0.67361111111111116</v>
      </c>
      <c r="Y99" s="34">
        <v>0.67361111111111116</v>
      </c>
      <c r="Z99" s="34">
        <v>0.69791666666666663</v>
      </c>
      <c r="AA99" s="28">
        <f>IF(Tracker_BD[[#This Row],[Fault Acknowledgement Time ]]="NA","",(Tracker_BD[[#This Row],[Fault Acknowledgement Time ]]-Tracker_BD[[#This Row],[Fault Time]])*24)</f>
        <v>0</v>
      </c>
      <c r="AB99" s="28">
        <f>IFERROR((Tracker_BD[[#This Row],[Work Start time on Fault]]-Tracker_BD[[#This Row],[Fault Time]])*24,"")</f>
        <v>0</v>
      </c>
      <c r="AC99" s="28">
        <f>IFERROR((Tracker_BD[[#This Row],[Work Completion time on fault]]-Tracker_BD[[#This Row],[Fault Time]])*24,"")</f>
        <v>0.58333333333333126</v>
      </c>
      <c r="AD99" s="28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89"/>
      <c r="AI99" s="28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1">
        <v>45809</v>
      </c>
      <c r="G100" s="2">
        <f>DAY(EOMONTH(Tracker_BD[[#This Row],[Month Year]],0))</f>
        <v>30</v>
      </c>
      <c r="H100" s="32">
        <v>45827</v>
      </c>
      <c r="I100" s="34">
        <f>IFERROR(VLOOKUP(Tracker_BD[[#This Row],[Date]],Raw_Data[[Date]:[Sunset Time (POA&lt;20 W/m2)]],3,0),"")</f>
        <v>0.25416666666666665</v>
      </c>
      <c r="J100" s="34">
        <f>IFERROR(VLOOKUP(Tracker_BD[[#This Row],[Date]],Raw_Data[[Date]:[Sunset Time (POA&lt;20 W/m2)]],4,0),"")</f>
        <v>0.77847222222222223</v>
      </c>
      <c r="K100" s="28">
        <f>IFERROR((Tracker_BD[[#This Row],[Sunset Time (POA&lt;20 W/m2)]]-Tracker_BD[[#This Row],[Sunrise Time (POA&gt;20 W/m2)]])*24,"")</f>
        <v>12.583333333333334</v>
      </c>
      <c r="L100" s="2" t="s">
        <v>1621</v>
      </c>
      <c r="M100" s="165"/>
      <c r="N100">
        <v>0</v>
      </c>
      <c r="O100" s="208" t="s">
        <v>184</v>
      </c>
      <c r="P100" s="97" t="s">
        <v>272</v>
      </c>
      <c r="Q100" s="97" t="s">
        <v>268</v>
      </c>
      <c r="R100">
        <v>8</v>
      </c>
      <c r="S100" s="97" t="s">
        <v>358</v>
      </c>
      <c r="T100" t="s">
        <v>281</v>
      </c>
      <c r="U100" t="s">
        <v>1623</v>
      </c>
      <c r="V100" t="s">
        <v>1623</v>
      </c>
      <c r="W100" s="34">
        <v>0.63888888888888884</v>
      </c>
      <c r="X100" s="34">
        <v>0.63888888888888884</v>
      </c>
      <c r="Y100" s="34">
        <v>0.63888888888888884</v>
      </c>
      <c r="Z100" s="34">
        <v>0.6875</v>
      </c>
      <c r="AA100" s="28">
        <f>IF(Tracker_BD[[#This Row],[Fault Acknowledgement Time ]]="NA","",(Tracker_BD[[#This Row],[Fault Acknowledgement Time ]]-Tracker_BD[[#This Row],[Fault Time]])*24)</f>
        <v>0</v>
      </c>
      <c r="AB100" s="28">
        <f>IFERROR((Tracker_BD[[#This Row],[Work Start time on Fault]]-Tracker_BD[[#This Row],[Fault Time]])*24,"")</f>
        <v>0</v>
      </c>
      <c r="AC100" s="28">
        <f>IFERROR((Tracker_BD[[#This Row],[Work Completion time on fault]]-Tracker_BD[[#This Row],[Fault Time]])*24,"")</f>
        <v>1.1666666666666679</v>
      </c>
      <c r="AD100" s="28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89"/>
      <c r="AI100" s="28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1">
        <v>45809</v>
      </c>
      <c r="G101" s="2">
        <f>DAY(EOMONTH(Tracker_BD[[#This Row],[Month Year]],0))</f>
        <v>30</v>
      </c>
      <c r="H101" s="32">
        <v>45832</v>
      </c>
      <c r="I101" s="34">
        <f>IFERROR(VLOOKUP(Tracker_BD[[#This Row],[Date]],Raw_Data[[Date]:[Sunset Time (POA&lt;20 W/m2)]],3,0),"")</f>
        <v>0.25624999999999998</v>
      </c>
      <c r="J101" s="34">
        <f>IFERROR(VLOOKUP(Tracker_BD[[#This Row],[Date]],Raw_Data[[Date]:[Sunset Time (POA&lt;20 W/m2)]],4,0),"")</f>
        <v>0.78055555555555556</v>
      </c>
      <c r="K101" s="28">
        <f>IFERROR((Tracker_BD[[#This Row],[Sunset Time (POA&lt;20 W/m2)]]-Tracker_BD[[#This Row],[Sunrise Time (POA&gt;20 W/m2)]])*24,"")</f>
        <v>12.583333333333334</v>
      </c>
      <c r="L101" s="2" t="s">
        <v>267</v>
      </c>
      <c r="M101" s="165"/>
      <c r="N101">
        <v>0</v>
      </c>
      <c r="O101" s="214" t="s">
        <v>186</v>
      </c>
      <c r="P101" s="97" t="s">
        <v>268</v>
      </c>
      <c r="Q101" s="97" t="s">
        <v>270</v>
      </c>
      <c r="R101">
        <v>66</v>
      </c>
      <c r="S101" s="97" t="s">
        <v>324</v>
      </c>
      <c r="T101" t="s">
        <v>269</v>
      </c>
      <c r="U101" t="s">
        <v>293</v>
      </c>
      <c r="V101" t="s">
        <v>293</v>
      </c>
      <c r="W101" s="34">
        <v>0.47222222222222221</v>
      </c>
      <c r="X101" s="34">
        <v>0.47222222222222221</v>
      </c>
      <c r="Y101" s="34">
        <v>0.47222222222222221</v>
      </c>
      <c r="Z101" s="34">
        <v>0.51736111111111116</v>
      </c>
      <c r="AA101" s="28">
        <f>IF(Tracker_BD[[#This Row],[Fault Acknowledgement Time ]]="NA","",(Tracker_BD[[#This Row],[Fault Acknowledgement Time ]]-Tracker_BD[[#This Row],[Fault Time]])*24)</f>
        <v>0</v>
      </c>
      <c r="AB101" s="28">
        <f>IFERROR((Tracker_BD[[#This Row],[Work Start time on Fault]]-Tracker_BD[[#This Row],[Fault Time]])*24,"")</f>
        <v>0</v>
      </c>
      <c r="AC101" s="28">
        <f>IFERROR((Tracker_BD[[#This Row],[Work Completion time on fault]]-Tracker_BD[[#This Row],[Fault Time]])*24,"")</f>
        <v>1.0833333333333348</v>
      </c>
      <c r="AD101" s="28">
        <f>IFERROR((Tracker_BD[[#This Row],[Work Completion time on fault]]-Tracker_BD[[#This Row],[Fault Time]])*24,"")</f>
        <v>1.0833333333333348</v>
      </c>
      <c r="AE101" s="199" t="s">
        <v>334</v>
      </c>
      <c r="AF101" t="s">
        <v>266</v>
      </c>
      <c r="AG101" s="2"/>
      <c r="AH101" s="89"/>
      <c r="AI101" s="28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1">
        <v>45809</v>
      </c>
      <c r="G102" s="2">
        <f>DAY(EOMONTH(Tracker_BD[[#This Row],[Month Year]],0))</f>
        <v>30</v>
      </c>
      <c r="H102" s="32">
        <v>45833</v>
      </c>
      <c r="I102" s="34">
        <f>IFERROR(VLOOKUP(Tracker_BD[[#This Row],[Date]],Raw_Data[[Date]:[Sunset Time (POA&lt;20 W/m2)]],3,0),"")</f>
        <v>0.25694444444444442</v>
      </c>
      <c r="J102" s="34">
        <f>IFERROR(VLOOKUP(Tracker_BD[[#This Row],[Date]],Raw_Data[[Date]:[Sunset Time (POA&lt;20 W/m2)]],4,0),"")</f>
        <v>0.77777777777777779</v>
      </c>
      <c r="K102" s="28">
        <f>IFERROR((Tracker_BD[[#This Row],[Sunset Time (POA&lt;20 W/m2)]]-Tracker_BD[[#This Row],[Sunrise Time (POA&gt;20 W/m2)]])*24,"")</f>
        <v>12.5</v>
      </c>
      <c r="L102" s="2" t="s">
        <v>267</v>
      </c>
      <c r="M102" s="165"/>
      <c r="N102">
        <v>0</v>
      </c>
      <c r="O102" s="208" t="s">
        <v>184</v>
      </c>
      <c r="P102" s="97" t="s">
        <v>270</v>
      </c>
      <c r="Q102" s="97" t="s">
        <v>263</v>
      </c>
      <c r="R102">
        <v>21</v>
      </c>
      <c r="S102" s="97" t="s">
        <v>345</v>
      </c>
      <c r="T102" t="s">
        <v>269</v>
      </c>
      <c r="U102" t="s">
        <v>293</v>
      </c>
      <c r="V102" t="s">
        <v>293</v>
      </c>
      <c r="W102" s="34">
        <v>0.4236111111111111</v>
      </c>
      <c r="X102" s="34">
        <v>0.4236111111111111</v>
      </c>
      <c r="Y102" s="34">
        <v>0.4236111111111111</v>
      </c>
      <c r="Z102" s="34">
        <v>0.45833333333333331</v>
      </c>
      <c r="AA102" s="28">
        <f>IF(Tracker_BD[[#This Row],[Fault Acknowledgement Time ]]="NA","",(Tracker_BD[[#This Row],[Fault Acknowledgement Time ]]-Tracker_BD[[#This Row],[Fault Time]])*24)</f>
        <v>0</v>
      </c>
      <c r="AB102" s="28">
        <f>IFERROR((Tracker_BD[[#This Row],[Work Start time on Fault]]-Tracker_BD[[#This Row],[Fault Time]])*24,"")</f>
        <v>0</v>
      </c>
      <c r="AC102" s="28">
        <f>IFERROR((Tracker_BD[[#This Row],[Work Completion time on fault]]-Tracker_BD[[#This Row],[Fault Time]])*24,"")</f>
        <v>0.83333333333333304</v>
      </c>
      <c r="AD102" s="28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89"/>
      <c r="AI102" s="28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1">
        <v>45809</v>
      </c>
      <c r="G103" s="2">
        <f>DAY(EOMONTH(Tracker_BD[[#This Row],[Month Year]],0))</f>
        <v>30</v>
      </c>
      <c r="H103" s="32">
        <v>45833</v>
      </c>
      <c r="I103" s="34">
        <f>IFERROR(VLOOKUP(Tracker_BD[[#This Row],[Date]],Raw_Data[[Date]:[Sunset Time (POA&lt;20 W/m2)]],3,0),"")</f>
        <v>0.25694444444444442</v>
      </c>
      <c r="J103" s="34">
        <f>IFERROR(VLOOKUP(Tracker_BD[[#This Row],[Date]],Raw_Data[[Date]:[Sunset Time (POA&lt;20 W/m2)]],4,0),"")</f>
        <v>0.77777777777777779</v>
      </c>
      <c r="K103" s="28">
        <f>IFERROR((Tracker_BD[[#This Row],[Sunset Time (POA&lt;20 W/m2)]]-Tracker_BD[[#This Row],[Sunrise Time (POA&gt;20 W/m2)]])*24,"")</f>
        <v>12.5</v>
      </c>
      <c r="L103" s="2" t="s">
        <v>267</v>
      </c>
      <c r="M103" s="165"/>
      <c r="N103">
        <v>0</v>
      </c>
      <c r="O103" s="208" t="s">
        <v>184</v>
      </c>
      <c r="P103" s="97" t="s">
        <v>270</v>
      </c>
      <c r="Q103" s="97" t="s">
        <v>263</v>
      </c>
      <c r="R103">
        <v>25</v>
      </c>
      <c r="S103" s="97" t="s">
        <v>1652</v>
      </c>
      <c r="T103" t="s">
        <v>269</v>
      </c>
      <c r="U103" t="s">
        <v>293</v>
      </c>
      <c r="V103" t="s">
        <v>293</v>
      </c>
      <c r="W103" s="34">
        <v>0.4375</v>
      </c>
      <c r="X103" s="34">
        <v>0.4375</v>
      </c>
      <c r="Y103" s="34">
        <v>0.4375</v>
      </c>
      <c r="Z103" s="34">
        <v>0.47569444444444442</v>
      </c>
      <c r="AA103" s="28">
        <f>IF(Tracker_BD[[#This Row],[Fault Acknowledgement Time ]]="NA","",(Tracker_BD[[#This Row],[Fault Acknowledgement Time ]]-Tracker_BD[[#This Row],[Fault Time]])*24)</f>
        <v>0</v>
      </c>
      <c r="AB103" s="28">
        <f>IFERROR((Tracker_BD[[#This Row],[Work Start time on Fault]]-Tracker_BD[[#This Row],[Fault Time]])*24,"")</f>
        <v>0</v>
      </c>
      <c r="AC103" s="28">
        <f>IFERROR((Tracker_BD[[#This Row],[Work Completion time on fault]]-Tracker_BD[[#This Row],[Fault Time]])*24,"")</f>
        <v>0.91666666666666607</v>
      </c>
      <c r="AD103" s="28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89"/>
      <c r="AI103" s="28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1">
        <v>45809</v>
      </c>
      <c r="G104" s="2">
        <f>DAY(EOMONTH(Tracker_BD[[#This Row],[Month Year]],0))</f>
        <v>30</v>
      </c>
      <c r="H104" s="32">
        <v>45833</v>
      </c>
      <c r="I104" s="34">
        <f>IFERROR(VLOOKUP(Tracker_BD[[#This Row],[Date]],Raw_Data[[Date]:[Sunset Time (POA&lt;20 W/m2)]],3,0),"")</f>
        <v>0.25694444444444442</v>
      </c>
      <c r="J104" s="34">
        <f>IFERROR(VLOOKUP(Tracker_BD[[#This Row],[Date]],Raw_Data[[Date]:[Sunset Time (POA&lt;20 W/m2)]],4,0),"")</f>
        <v>0.77777777777777779</v>
      </c>
      <c r="K104" s="28">
        <f>IFERROR((Tracker_BD[[#This Row],[Sunset Time (POA&lt;20 W/m2)]]-Tracker_BD[[#This Row],[Sunrise Time (POA&gt;20 W/m2)]])*24,"")</f>
        <v>12.5</v>
      </c>
      <c r="L104" s="2" t="s">
        <v>267</v>
      </c>
      <c r="M104" s="165"/>
      <c r="N104">
        <v>0</v>
      </c>
      <c r="O104" s="208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4">
        <v>0.46527777777777779</v>
      </c>
      <c r="X104" s="34">
        <v>0.46527777777777779</v>
      </c>
      <c r="Y104" s="34">
        <v>0.46527777777777779</v>
      </c>
      <c r="Z104" s="34">
        <v>0.50694444444444442</v>
      </c>
      <c r="AA104" s="28">
        <f>IF(Tracker_BD[[#This Row],[Fault Acknowledgement Time ]]="NA","",(Tracker_BD[[#This Row],[Fault Acknowledgement Time ]]-Tracker_BD[[#This Row],[Fault Time]])*24)</f>
        <v>0</v>
      </c>
      <c r="AB104" s="28">
        <f>IFERROR((Tracker_BD[[#This Row],[Work Start time on Fault]]-Tracker_BD[[#This Row],[Fault Time]])*24,"")</f>
        <v>0</v>
      </c>
      <c r="AC104" s="28">
        <f>IFERROR((Tracker_BD[[#This Row],[Work Completion time on fault]]-Tracker_BD[[#This Row],[Fault Time]])*24,"")</f>
        <v>0.99999999999999911</v>
      </c>
      <c r="AD104" s="28">
        <f>IFERROR((Tracker_BD[[#This Row],[Work Completion time on fault]]-Tracker_BD[[#This Row],[Fault Time]])*24,"")</f>
        <v>0.99999999999999911</v>
      </c>
      <c r="AE104" s="199" t="s">
        <v>334</v>
      </c>
      <c r="AF104" t="s">
        <v>266</v>
      </c>
      <c r="AG104" s="2"/>
      <c r="AH104" s="89"/>
      <c r="AI104" s="28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1">
        <v>45809</v>
      </c>
      <c r="G105" s="2">
        <f>DAY(EOMONTH(Tracker_BD[[#This Row],[Month Year]],0))</f>
        <v>30</v>
      </c>
      <c r="H105" s="32">
        <v>45834</v>
      </c>
      <c r="I105" s="34">
        <f>IFERROR(VLOOKUP(Tracker_BD[[#This Row],[Date]],Raw_Data[[Date]:[Sunset Time (POA&lt;20 W/m2)]],3,0),"")</f>
        <v>0.25486111111111109</v>
      </c>
      <c r="J105" s="34">
        <f>IFERROR(VLOOKUP(Tracker_BD[[#This Row],[Date]],Raw_Data[[Date]:[Sunset Time (POA&lt;20 W/m2)]],4,0),"")</f>
        <v>0.78263888888888888</v>
      </c>
      <c r="K105" s="28">
        <f>IFERROR((Tracker_BD[[#This Row],[Sunset Time (POA&lt;20 W/m2)]]-Tracker_BD[[#This Row],[Sunrise Time (POA&gt;20 W/m2)]])*24,"")</f>
        <v>12.666666666666668</v>
      </c>
      <c r="L105" s="2" t="s">
        <v>267</v>
      </c>
      <c r="M105" s="165"/>
      <c r="N105">
        <v>0</v>
      </c>
      <c r="O105" s="226" t="s">
        <v>185</v>
      </c>
      <c r="P105" s="2" t="s">
        <v>263</v>
      </c>
      <c r="Q105" s="2" t="s">
        <v>263</v>
      </c>
      <c r="R105">
        <v>87</v>
      </c>
      <c r="S105" s="2" t="s">
        <v>1652</v>
      </c>
      <c r="T105" t="s">
        <v>269</v>
      </c>
      <c r="U105" t="s">
        <v>293</v>
      </c>
      <c r="V105" t="s">
        <v>293</v>
      </c>
      <c r="W105" s="34">
        <v>0.50694444444444442</v>
      </c>
      <c r="X105" s="34">
        <v>0.50694444444444442</v>
      </c>
      <c r="Y105" s="34">
        <v>0.50694444444444442</v>
      </c>
      <c r="Z105" s="34">
        <v>0.53125</v>
      </c>
      <c r="AA105" s="28">
        <f>IF(Tracker_BD[[#This Row],[Fault Acknowledgement Time ]]="NA","",(Tracker_BD[[#This Row],[Fault Acknowledgement Time ]]-Tracker_BD[[#This Row],[Fault Time]])*24)</f>
        <v>0</v>
      </c>
      <c r="AB105" s="28">
        <f>IFERROR((Tracker_BD[[#This Row],[Work Start time on Fault]]-Tracker_BD[[#This Row],[Fault Time]])*24,"")</f>
        <v>0</v>
      </c>
      <c r="AC105" s="28">
        <f>IFERROR((Tracker_BD[[#This Row],[Work Completion time on fault]]-Tracker_BD[[#This Row],[Fault Time]])*24,"")</f>
        <v>0.58333333333333393</v>
      </c>
      <c r="AD105" s="28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89"/>
      <c r="AI105" s="28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1">
        <v>45809</v>
      </c>
      <c r="G106" s="2">
        <f>DAY(EOMONTH(Tracker_BD[[#This Row],[Month Year]],0))</f>
        <v>30</v>
      </c>
      <c r="H106" s="32">
        <v>45837</v>
      </c>
      <c r="I106" s="34">
        <f>IFERROR(VLOOKUP(Tracker_BD[[#This Row],[Date]],Raw_Data[[Date]:[Sunset Time (POA&lt;20 W/m2)]],3,0),"")</f>
        <v>0.25624999999999998</v>
      </c>
      <c r="J106" s="34">
        <f>IFERROR(VLOOKUP(Tracker_BD[[#This Row],[Date]],Raw_Data[[Date]:[Sunset Time (POA&lt;20 W/m2)]],4,0),"")</f>
        <v>0.77986111111111112</v>
      </c>
      <c r="K106" s="28">
        <f>IFERROR((Tracker_BD[[#This Row],[Sunset Time (POA&lt;20 W/m2)]]-Tracker_BD[[#This Row],[Sunrise Time (POA&gt;20 W/m2)]])*24,"")</f>
        <v>12.566666666666666</v>
      </c>
      <c r="L106" s="2" t="s">
        <v>267</v>
      </c>
      <c r="M106" s="165"/>
      <c r="N106">
        <v>0</v>
      </c>
      <c r="O106" s="228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4">
        <v>0.41666666666666669</v>
      </c>
      <c r="X106" s="34">
        <v>0.41666666666666669</v>
      </c>
      <c r="Y106" s="34">
        <v>0.41666666666666669</v>
      </c>
      <c r="Z106" s="34">
        <v>0.46527777777777779</v>
      </c>
      <c r="AA106" s="28">
        <f>IF(Tracker_BD[[#This Row],[Fault Acknowledgement Time ]]="NA","",(Tracker_BD[[#This Row],[Fault Acknowledgement Time ]]-Tracker_BD[[#This Row],[Fault Time]])*24)</f>
        <v>0</v>
      </c>
      <c r="AB106" s="28">
        <f>IFERROR((Tracker_BD[[#This Row],[Work Start time on Fault]]-Tracker_BD[[#This Row],[Fault Time]])*24,"")</f>
        <v>0</v>
      </c>
      <c r="AC106" s="28">
        <f>IFERROR((Tracker_BD[[#This Row],[Work Completion time on fault]]-Tracker_BD[[#This Row],[Fault Time]])*24,"")</f>
        <v>1.1666666666666665</v>
      </c>
      <c r="AD106" s="28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89"/>
      <c r="AI106" s="28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1">
        <v>45809</v>
      </c>
      <c r="G107" s="2">
        <f>DAY(EOMONTH(Tracker_BD[[#This Row],[Month Year]],0))</f>
        <v>30</v>
      </c>
      <c r="H107" s="32">
        <v>45837</v>
      </c>
      <c r="I107" s="34">
        <f>IFERROR(VLOOKUP(Tracker_BD[[#This Row],[Date]],Raw_Data[[Date]:[Sunset Time (POA&lt;20 W/m2)]],3,0),"")</f>
        <v>0.25624999999999998</v>
      </c>
      <c r="J107" s="34">
        <f>IFERROR(VLOOKUP(Tracker_BD[[#This Row],[Date]],Raw_Data[[Date]:[Sunset Time (POA&lt;20 W/m2)]],4,0),"")</f>
        <v>0.77986111111111112</v>
      </c>
      <c r="K107" s="28">
        <f>IFERROR((Tracker_BD[[#This Row],[Sunset Time (POA&lt;20 W/m2)]]-Tracker_BD[[#This Row],[Sunrise Time (POA&gt;20 W/m2)]])*24,"")</f>
        <v>12.566666666666666</v>
      </c>
      <c r="L107" s="2" t="s">
        <v>267</v>
      </c>
      <c r="M107" s="165"/>
      <c r="N107">
        <v>0</v>
      </c>
      <c r="O107" s="208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4">
        <v>0.4375</v>
      </c>
      <c r="X107" s="34">
        <v>0.4375</v>
      </c>
      <c r="Y107" s="34">
        <v>0.4375</v>
      </c>
      <c r="Z107" s="34">
        <v>0.47569444444444442</v>
      </c>
      <c r="AA107" s="28">
        <f>IF(Tracker_BD[[#This Row],[Fault Acknowledgement Time ]]="NA","",(Tracker_BD[[#This Row],[Fault Acknowledgement Time ]]-Tracker_BD[[#This Row],[Fault Time]])*24)</f>
        <v>0</v>
      </c>
      <c r="AB107" s="28">
        <f>IFERROR((Tracker_BD[[#This Row],[Work Start time on Fault]]-Tracker_BD[[#This Row],[Fault Time]])*24,"")</f>
        <v>0</v>
      </c>
      <c r="AC107" s="28">
        <f>IFERROR((Tracker_BD[[#This Row],[Work Completion time on fault]]-Tracker_BD[[#This Row],[Fault Time]])*24,"")</f>
        <v>0.91666666666666607</v>
      </c>
      <c r="AD107" s="28">
        <f>IFERROR((Tracker_BD[[#This Row],[Work Completion time on fault]]-Tracker_BD[[#This Row],[Fault Time]])*24,"")</f>
        <v>0.91666666666666607</v>
      </c>
      <c r="AE107" s="199" t="s">
        <v>334</v>
      </c>
      <c r="AF107" t="s">
        <v>266</v>
      </c>
      <c r="AG107" s="2"/>
      <c r="AH107" s="89"/>
      <c r="AI107" s="28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1">
        <v>45809</v>
      </c>
      <c r="G108" s="2">
        <f>DAY(EOMONTH(Tracker_BD[[#This Row],[Month Year]],0))</f>
        <v>30</v>
      </c>
      <c r="H108" s="32">
        <v>45837</v>
      </c>
      <c r="I108" s="34">
        <f>IFERROR(VLOOKUP(Tracker_BD[[#This Row],[Date]],Raw_Data[[Date]:[Sunset Time (POA&lt;20 W/m2)]],3,0),"")</f>
        <v>0.25624999999999998</v>
      </c>
      <c r="J108" s="34">
        <f>IFERROR(VLOOKUP(Tracker_BD[[#This Row],[Date]],Raw_Data[[Date]:[Sunset Time (POA&lt;20 W/m2)]],4,0),"")</f>
        <v>0.77986111111111112</v>
      </c>
      <c r="K108" s="28">
        <f>IFERROR((Tracker_BD[[#This Row],[Sunset Time (POA&lt;20 W/m2)]]-Tracker_BD[[#This Row],[Sunrise Time (POA&gt;20 W/m2)]])*24,"")</f>
        <v>12.566666666666666</v>
      </c>
      <c r="L108" s="2" t="s">
        <v>1621</v>
      </c>
      <c r="M108" s="165"/>
      <c r="N108">
        <v>0</v>
      </c>
      <c r="O108" s="228" t="s">
        <v>187</v>
      </c>
      <c r="P108" s="2" t="s">
        <v>268</v>
      </c>
      <c r="Q108" s="2" t="s">
        <v>270</v>
      </c>
      <c r="R108">
        <v>74</v>
      </c>
      <c r="S108" s="2" t="s">
        <v>1657</v>
      </c>
      <c r="T108" t="s">
        <v>281</v>
      </c>
      <c r="U108" t="s">
        <v>1623</v>
      </c>
      <c r="V108" t="s">
        <v>1623</v>
      </c>
      <c r="W108" s="34">
        <v>0.5</v>
      </c>
      <c r="X108" s="34">
        <v>0.5</v>
      </c>
      <c r="Y108" s="34">
        <v>0.5</v>
      </c>
      <c r="Z108" s="34">
        <v>0.52430555555555558</v>
      </c>
      <c r="AA108" s="28">
        <f>IF(Tracker_BD[[#This Row],[Fault Acknowledgement Time ]]="NA","",(Tracker_BD[[#This Row],[Fault Acknowledgement Time ]]-Tracker_BD[[#This Row],[Fault Time]])*24)</f>
        <v>0</v>
      </c>
      <c r="AB108" s="28">
        <f>IFERROR((Tracker_BD[[#This Row],[Work Start time on Fault]]-Tracker_BD[[#This Row],[Fault Time]])*24,"")</f>
        <v>0</v>
      </c>
      <c r="AC108" s="28">
        <f>IFERROR((Tracker_BD[[#This Row],[Work Completion time on fault]]-Tracker_BD[[#This Row],[Fault Time]])*24,"")</f>
        <v>0.58333333333333393</v>
      </c>
      <c r="AD108" s="28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89"/>
      <c r="AI108" s="28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1">
        <v>45809</v>
      </c>
      <c r="G109" s="2">
        <f>DAY(EOMONTH(Tracker_BD[[#This Row],[Month Year]],0))</f>
        <v>30</v>
      </c>
      <c r="H109" s="32">
        <v>45838</v>
      </c>
      <c r="I109" s="34">
        <f>IFERROR(VLOOKUP(Tracker_BD[[#This Row],[Date]],Raw_Data[[Date]:[Sunset Time (POA&lt;20 W/m2)]],3,0),"")</f>
        <v>0.25763888888888886</v>
      </c>
      <c r="J109" s="34">
        <f>IFERROR(VLOOKUP(Tracker_BD[[#This Row],[Date]],Raw_Data[[Date]:[Sunset Time (POA&lt;20 W/m2)]],4,0),"")</f>
        <v>0.78263888888888888</v>
      </c>
      <c r="K109" s="28">
        <f>IFERROR((Tracker_BD[[#This Row],[Sunset Time (POA&lt;20 W/m2)]]-Tracker_BD[[#This Row],[Sunrise Time (POA&gt;20 W/m2)]])*24,"")</f>
        <v>12.600000000000001</v>
      </c>
      <c r="L109" s="2" t="s">
        <v>267</v>
      </c>
      <c r="M109" s="165"/>
      <c r="N109">
        <v>0</v>
      </c>
      <c r="O109" s="228" t="s">
        <v>189</v>
      </c>
      <c r="P109" s="2" t="s">
        <v>268</v>
      </c>
      <c r="Q109" s="2" t="s">
        <v>270</v>
      </c>
      <c r="R109">
        <v>54</v>
      </c>
      <c r="S109" s="2" t="s">
        <v>1659</v>
      </c>
      <c r="T109" t="s">
        <v>269</v>
      </c>
      <c r="U109" t="s">
        <v>293</v>
      </c>
      <c r="V109" t="s">
        <v>293</v>
      </c>
      <c r="W109" s="34">
        <v>0.46527777777777779</v>
      </c>
      <c r="X109" s="34">
        <v>0.46527777777777779</v>
      </c>
      <c r="Y109" s="34">
        <v>0.46527777777777779</v>
      </c>
      <c r="Z109" s="34">
        <v>0.51736111111111116</v>
      </c>
      <c r="AA109" s="28">
        <f>IF(Tracker_BD[[#This Row],[Fault Acknowledgement Time ]]="NA","",(Tracker_BD[[#This Row],[Fault Acknowledgement Time ]]-Tracker_BD[[#This Row],[Fault Time]])*24)</f>
        <v>0</v>
      </c>
      <c r="AB109" s="28">
        <f>IFERROR((Tracker_BD[[#This Row],[Work Start time on Fault]]-Tracker_BD[[#This Row],[Fault Time]])*24,"")</f>
        <v>0</v>
      </c>
      <c r="AC109" s="28">
        <f>IFERROR((Tracker_BD[[#This Row],[Work Completion time on fault]]-Tracker_BD[[#This Row],[Fault Time]])*24,"")</f>
        <v>1.2500000000000009</v>
      </c>
      <c r="AD109" s="28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89"/>
      <c r="AI109" s="28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1">
        <v>45839</v>
      </c>
      <c r="G110" s="2">
        <v>31</v>
      </c>
      <c r="H110" s="32">
        <v>45840</v>
      </c>
      <c r="I110" s="34">
        <f>IFERROR(VLOOKUP(Tracker_BD[[#This Row],[Date]],Raw_Data[[Date]:[Sunset Time (POA&lt;20 W/m2)]],3,0),"")</f>
        <v>0.25624999999999998</v>
      </c>
      <c r="J110" s="34">
        <f>IFERROR(VLOOKUP(Tracker_BD[[#This Row],[Date]],Raw_Data[[Date]:[Sunset Time (POA&lt;20 W/m2)]],4,0),"")</f>
        <v>0.77986111111111112</v>
      </c>
      <c r="K110" s="28">
        <f>IFERROR((Tracker_BD[[#This Row],[Sunset Time (POA&lt;20 W/m2)]]-Tracker_BD[[#This Row],[Sunrise Time (POA&gt;20 W/m2)]])*24,"")</f>
        <v>12.566666666666666</v>
      </c>
      <c r="L110" s="2" t="s">
        <v>267</v>
      </c>
      <c r="M110" s="165"/>
      <c r="N110">
        <v>0</v>
      </c>
      <c r="O110" s="226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4">
        <v>0.54861111111111116</v>
      </c>
      <c r="X110" s="34">
        <v>0.54861111111111116</v>
      </c>
      <c r="Y110" s="34">
        <v>0.54861111111111116</v>
      </c>
      <c r="Z110" s="34">
        <v>0.60416666666666663</v>
      </c>
      <c r="AA110" s="28">
        <f>IF(Tracker_BD[[#This Row],[Fault Acknowledgement Time ]]="NA","",(Tracker_BD[[#This Row],[Fault Acknowledgement Time ]]-Tracker_BD[[#This Row],[Fault Time]])*24)</f>
        <v>0</v>
      </c>
      <c r="AB110" s="28">
        <f>IFERROR((Tracker_BD[[#This Row],[Work Start time on Fault]]-Tracker_BD[[#This Row],[Fault Time]])*24,"")</f>
        <v>0</v>
      </c>
      <c r="AC110" s="28">
        <f>IFERROR((Tracker_BD[[#This Row],[Work Completion time on fault]]-Tracker_BD[[#This Row],[Fault Time]])*24,"")</f>
        <v>1.3333333333333313</v>
      </c>
      <c r="AD110" s="28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89"/>
      <c r="AI110" s="28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1">
        <v>45839</v>
      </c>
      <c r="G111" s="2">
        <v>31</v>
      </c>
      <c r="H111" s="32">
        <v>45844</v>
      </c>
      <c r="I111" s="34">
        <f>IFERROR(VLOOKUP(Tracker_BD[[#This Row],[Date]],Raw_Data[[Date]:[Sunset Time (POA&lt;20 W/m2)]],3,0),"")</f>
        <v>0.25486111111111109</v>
      </c>
      <c r="J111" s="34">
        <f>IFERROR(VLOOKUP(Tracker_BD[[#This Row],[Date]],Raw_Data[[Date]:[Sunset Time (POA&lt;20 W/m2)]],4,0),"")</f>
        <v>0.78125</v>
      </c>
      <c r="K111" s="28">
        <f>IFERROR((Tracker_BD[[#This Row],[Sunset Time (POA&lt;20 W/m2)]]-Tracker_BD[[#This Row],[Sunrise Time (POA&gt;20 W/m2)]])*24,"")</f>
        <v>12.633333333333333</v>
      </c>
      <c r="L111" s="2" t="s">
        <v>267</v>
      </c>
      <c r="M111" s="165"/>
      <c r="N111">
        <v>0</v>
      </c>
      <c r="O111" s="233" t="s">
        <v>188</v>
      </c>
      <c r="P111" s="2" t="s">
        <v>277</v>
      </c>
      <c r="Q111" s="2" t="s">
        <v>272</v>
      </c>
      <c r="R111">
        <v>3</v>
      </c>
      <c r="S111" s="2" t="s">
        <v>1667</v>
      </c>
      <c r="T111" t="s">
        <v>269</v>
      </c>
      <c r="U111" t="s">
        <v>293</v>
      </c>
      <c r="V111" t="s">
        <v>293</v>
      </c>
      <c r="W111" s="34">
        <v>0.54861111111111116</v>
      </c>
      <c r="X111" s="34">
        <v>0.54861111111111116</v>
      </c>
      <c r="Y111" s="34">
        <v>0.54861111111111116</v>
      </c>
      <c r="Z111" s="34">
        <v>0.60416666666666663</v>
      </c>
      <c r="AA111" s="28">
        <f>IF(Tracker_BD[[#This Row],[Fault Acknowledgement Time ]]="NA","",(Tracker_BD[[#This Row],[Fault Acknowledgement Time ]]-Tracker_BD[[#This Row],[Fault Time]])*24)</f>
        <v>0</v>
      </c>
      <c r="AB111" s="28">
        <f>IFERROR((Tracker_BD[[#This Row],[Work Start time on Fault]]-Tracker_BD[[#This Row],[Fault Time]])*24,"")</f>
        <v>0</v>
      </c>
      <c r="AC111" s="28">
        <f>IFERROR((Tracker_BD[[#This Row],[Work Completion time on fault]]-Tracker_BD[[#This Row],[Fault Time]])*24,"")</f>
        <v>1.3333333333333313</v>
      </c>
      <c r="AD111" s="28">
        <f>IFERROR((Tracker_BD[[#This Row],[Work Completion time on fault]]-Tracker_BD[[#This Row],[Fault Time]])*24,"")</f>
        <v>1.3333333333333313</v>
      </c>
      <c r="AE111" s="199" t="s">
        <v>334</v>
      </c>
      <c r="AF111" t="s">
        <v>266</v>
      </c>
      <c r="AG111" s="2"/>
      <c r="AH111" s="89"/>
      <c r="AI111" s="28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1">
        <v>45839</v>
      </c>
      <c r="G112" s="2">
        <v>31</v>
      </c>
      <c r="H112" s="32">
        <v>45844</v>
      </c>
      <c r="I112" s="34">
        <f>IFERROR(VLOOKUP(Tracker_BD[[#This Row],[Date]],Raw_Data[[Date]:[Sunset Time (POA&lt;20 W/m2)]],3,0),"")</f>
        <v>0.25486111111111109</v>
      </c>
      <c r="J112" s="34">
        <f>IFERROR(VLOOKUP(Tracker_BD[[#This Row],[Date]],Raw_Data[[Date]:[Sunset Time (POA&lt;20 W/m2)]],4,0),"")</f>
        <v>0.78125</v>
      </c>
      <c r="K112" s="28">
        <f>IFERROR((Tracker_BD[[#This Row],[Sunset Time (POA&lt;20 W/m2)]]-Tracker_BD[[#This Row],[Sunrise Time (POA&gt;20 W/m2)]])*24,"")</f>
        <v>12.633333333333333</v>
      </c>
      <c r="L112" s="2" t="s">
        <v>267</v>
      </c>
      <c r="M112" s="165"/>
      <c r="N112">
        <v>0</v>
      </c>
      <c r="O112" s="233" t="s">
        <v>188</v>
      </c>
      <c r="P112" s="2" t="s">
        <v>277</v>
      </c>
      <c r="Q112" s="97" t="s">
        <v>262</v>
      </c>
      <c r="R112">
        <v>11</v>
      </c>
      <c r="S112" s="97" t="s">
        <v>362</v>
      </c>
      <c r="T112" t="s">
        <v>269</v>
      </c>
      <c r="U112" t="s">
        <v>293</v>
      </c>
      <c r="V112" t="s">
        <v>293</v>
      </c>
      <c r="W112" s="34">
        <v>0.64722222222222225</v>
      </c>
      <c r="X112" s="27">
        <v>0.64722222222222225</v>
      </c>
      <c r="Y112" s="27">
        <v>0.64722222222222225</v>
      </c>
      <c r="Z112" s="34">
        <v>0.67500000000000004</v>
      </c>
      <c r="AA112" s="28">
        <f>IF(Tracker_BD[[#This Row],[Fault Acknowledgement Time ]]="NA","",(Tracker_BD[[#This Row],[Fault Acknowledgement Time ]]-Tracker_BD[[#This Row],[Fault Time]])*24)</f>
        <v>0</v>
      </c>
      <c r="AB112" s="28">
        <f>IFERROR((Tracker_BD[[#This Row],[Work Start time on Fault]]-Tracker_BD[[#This Row],[Fault Time]])*24,"")</f>
        <v>0</v>
      </c>
      <c r="AC112" s="28">
        <f>IFERROR((Tracker_BD[[#This Row],[Work Completion time on fault]]-Tracker_BD[[#This Row],[Fault Time]])*24,"")</f>
        <v>0.66666666666666696</v>
      </c>
      <c r="AD112" s="28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89"/>
      <c r="AI112" s="28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1">
        <v>45839</v>
      </c>
      <c r="G113" s="2">
        <v>31</v>
      </c>
      <c r="H113" s="32">
        <v>45848</v>
      </c>
      <c r="I113" s="34">
        <v>0.25624999999999998</v>
      </c>
      <c r="J113" s="34">
        <v>0.75763888888888886</v>
      </c>
      <c r="K113" s="28">
        <f>IFERROR((Tracker_BD[[#This Row],[Sunset Time (POA&lt;20 W/m2)]]-Tracker_BD[[#This Row],[Sunrise Time (POA&gt;20 W/m2)]])*24,"")</f>
        <v>12.033333333333333</v>
      </c>
      <c r="L113" s="2" t="s">
        <v>267</v>
      </c>
      <c r="M113" s="165"/>
      <c r="N113">
        <v>0</v>
      </c>
      <c r="O113" s="233" t="s">
        <v>188</v>
      </c>
      <c r="P113" s="2" t="s">
        <v>277</v>
      </c>
      <c r="Q113" s="97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4">
        <v>0.63194444444444442</v>
      </c>
      <c r="X113" s="34">
        <v>0.63194444444444442</v>
      </c>
      <c r="Y113" s="34">
        <v>0.63194444444444442</v>
      </c>
      <c r="Z113" s="34">
        <v>0.64722222222222225</v>
      </c>
      <c r="AA113" s="28">
        <f>IF(Tracker_BD[[#This Row],[Fault Acknowledgement Time ]]="NA","",(Tracker_BD[[#This Row],[Fault Acknowledgement Time ]]-Tracker_BD[[#This Row],[Fault Time]])*24)</f>
        <v>0</v>
      </c>
      <c r="AB113" s="28">
        <f>IFERROR((Tracker_BD[[#This Row],[Work Start time on Fault]]-Tracker_BD[[#This Row],[Fault Time]])*24,"")</f>
        <v>0</v>
      </c>
      <c r="AC113" s="28">
        <f>IFERROR((Tracker_BD[[#This Row],[Work Completion time on fault]]-Tracker_BD[[#This Row],[Fault Time]])*24,"")</f>
        <v>0.36666666666666803</v>
      </c>
      <c r="AD113" s="28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89"/>
      <c r="AI113" s="28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1">
        <v>45839</v>
      </c>
      <c r="G114" s="2">
        <v>31</v>
      </c>
      <c r="H114" s="32">
        <v>45848</v>
      </c>
      <c r="I114" s="34">
        <f>IFERROR(VLOOKUP(Tracker_BD[[#This Row],[Date]],Raw_Data[[Date]:[Sunset Time (POA&lt;20 W/m2)]],3,0),"")</f>
        <v>0.25624999999999998</v>
      </c>
      <c r="J114" s="34">
        <f>IFERROR(VLOOKUP(Tracker_BD[[#This Row],[Date]],Raw_Data[[Date]:[Sunset Time (POA&lt;20 W/m2)]],4,0),"")</f>
        <v>0.75763888888888886</v>
      </c>
      <c r="K114" s="28">
        <f>IFERROR((Tracker_BD[[#This Row],[Sunset Time (POA&lt;20 W/m2)]]-Tracker_BD[[#This Row],[Sunrise Time (POA&gt;20 W/m2)]])*24,"")</f>
        <v>12.033333333333333</v>
      </c>
      <c r="L114" s="2" t="s">
        <v>267</v>
      </c>
      <c r="M114" s="165"/>
      <c r="N114">
        <v>0</v>
      </c>
      <c r="O114" s="233" t="s">
        <v>188</v>
      </c>
      <c r="P114" s="2" t="s">
        <v>277</v>
      </c>
      <c r="Q114" s="2" t="s">
        <v>272</v>
      </c>
      <c r="R114">
        <v>5</v>
      </c>
      <c r="S114" s="2" t="s">
        <v>1675</v>
      </c>
      <c r="T114" t="s">
        <v>269</v>
      </c>
      <c r="U114" t="s">
        <v>293</v>
      </c>
      <c r="V114" t="s">
        <v>293</v>
      </c>
      <c r="W114" s="34">
        <v>0.84722222222222221</v>
      </c>
      <c r="X114" s="34">
        <v>0.84722222222222221</v>
      </c>
      <c r="Y114" s="34">
        <v>0.84722222222222221</v>
      </c>
      <c r="Z114" s="34">
        <v>0.8569444444444444</v>
      </c>
      <c r="AA114" s="28">
        <f>IF(Tracker_BD[[#This Row],[Fault Acknowledgement Time ]]="NA","",(Tracker_BD[[#This Row],[Fault Acknowledgement Time ]]-Tracker_BD[[#This Row],[Fault Time]])*24)</f>
        <v>0</v>
      </c>
      <c r="AB114" s="28">
        <f>IFERROR((Tracker_BD[[#This Row],[Work Start time on Fault]]-Tracker_BD[[#This Row],[Fault Time]])*24,"")</f>
        <v>0</v>
      </c>
      <c r="AC114" s="28">
        <f>IFERROR((Tracker_BD[[#This Row],[Work Completion time on fault]]-Tracker_BD[[#This Row],[Fault Time]])*24,"")</f>
        <v>0.2333333333333325</v>
      </c>
      <c r="AD114" s="28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89"/>
      <c r="AI114" s="28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1">
        <v>45839</v>
      </c>
      <c r="G115" s="2">
        <f>DAY(EOMONTH(Tracker_BD[[#This Row],[Month Year]],0))</f>
        <v>31</v>
      </c>
      <c r="H115" s="32">
        <v>45851</v>
      </c>
      <c r="I115" s="34">
        <f>IFERROR(VLOOKUP(Tracker_BD[[#This Row],[Date]],Raw_Data[[Date]:[Sunset Time (POA&lt;20 W/m2)]],3,0),"")</f>
        <v>0.25972222222222224</v>
      </c>
      <c r="J115" s="34">
        <f>IFERROR(VLOOKUP(Tracker_BD[[#This Row],[Date]],Raw_Data[[Date]:[Sunset Time (POA&lt;20 W/m2)]],4,0),"")</f>
        <v>0.77777777777777779</v>
      </c>
      <c r="K115" s="28">
        <f>IFERROR((Tracker_BD[[#This Row],[Sunset Time (POA&lt;20 W/m2)]]-Tracker_BD[[#This Row],[Sunrise Time (POA&gt;20 W/m2)]])*24,"")</f>
        <v>12.433333333333332</v>
      </c>
      <c r="L115" s="2" t="s">
        <v>267</v>
      </c>
      <c r="M115" s="165"/>
      <c r="N115">
        <v>0</v>
      </c>
      <c r="O115" s="246" t="s">
        <v>189</v>
      </c>
      <c r="P115" s="2" t="s">
        <v>263</v>
      </c>
      <c r="Q115" s="2" t="s">
        <v>270</v>
      </c>
      <c r="R115">
        <v>7</v>
      </c>
      <c r="S115" s="2" t="s">
        <v>1681</v>
      </c>
      <c r="T115" t="s">
        <v>269</v>
      </c>
      <c r="U115" t="s">
        <v>293</v>
      </c>
      <c r="V115" t="s">
        <v>293</v>
      </c>
      <c r="W115" s="34">
        <v>0.84722222222222221</v>
      </c>
      <c r="X115" s="34">
        <v>0.84722222222222221</v>
      </c>
      <c r="Y115" s="34">
        <v>0.84722222222222221</v>
      </c>
      <c r="Z115" s="34">
        <v>0.8569444444444444</v>
      </c>
      <c r="AA115" s="28">
        <f>IF(Tracker_BD[[#This Row],[Fault Acknowledgement Time ]]="NA","",(Tracker_BD[[#This Row],[Fault Acknowledgement Time ]]-Tracker_BD[[#This Row],[Fault Time]])*24)</f>
        <v>0</v>
      </c>
      <c r="AB115" s="28">
        <f>IFERROR((Tracker_BD[[#This Row],[Work Start time on Fault]]-Tracker_BD[[#This Row],[Fault Time]])*24,"")</f>
        <v>0</v>
      </c>
      <c r="AC115" s="28">
        <f>IFERROR((Tracker_BD[[#This Row],[Work Completion time on fault]]-Tracker_BD[[#This Row],[Fault Time]])*24,"")</f>
        <v>0.2333333333333325</v>
      </c>
      <c r="AD115" s="28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89"/>
      <c r="AI115" s="28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1">
        <v>45839</v>
      </c>
      <c r="G116" s="2">
        <f>DAY(EOMONTH(Tracker_BD[[#This Row],[Month Year]],0))</f>
        <v>31</v>
      </c>
      <c r="H116" s="32">
        <v>45854</v>
      </c>
      <c r="I116" s="34">
        <f>IFERROR(VLOOKUP(Tracker_BD[[#This Row],[Date]],Raw_Data[[Date]:[Sunset Time (POA&lt;20 W/m2)]],3,0),"")</f>
        <v>0.25624999999999998</v>
      </c>
      <c r="J116" s="34">
        <f>IFERROR(VLOOKUP(Tracker_BD[[#This Row],[Date]],Raw_Data[[Date]:[Sunset Time (POA&lt;20 W/m2)]],4,0),"")</f>
        <v>0.76875000000000004</v>
      </c>
      <c r="K116" s="28">
        <f>IFERROR((Tracker_BD[[#This Row],[Sunset Time (POA&lt;20 W/m2)]]-Tracker_BD[[#This Row],[Sunrise Time (POA&gt;20 W/m2)]])*24,"")</f>
        <v>12.3</v>
      </c>
      <c r="L116" s="2" t="s">
        <v>267</v>
      </c>
      <c r="M116" s="165"/>
      <c r="N116">
        <v>0</v>
      </c>
      <c r="O116" s="246" t="s">
        <v>189</v>
      </c>
      <c r="P116" s="2" t="s">
        <v>277</v>
      </c>
      <c r="Q116" s="2" t="s">
        <v>272</v>
      </c>
      <c r="R116">
        <v>2</v>
      </c>
      <c r="S116" s="2" t="s">
        <v>1682</v>
      </c>
      <c r="T116" t="s">
        <v>269</v>
      </c>
      <c r="U116" t="s">
        <v>293</v>
      </c>
      <c r="V116" t="s">
        <v>293</v>
      </c>
      <c r="W116" s="34">
        <v>0.67708333333333337</v>
      </c>
      <c r="X116" s="34">
        <v>0.67708333333333337</v>
      </c>
      <c r="Y116" s="34">
        <v>0.67708333333333337</v>
      </c>
      <c r="Z116" s="34">
        <v>0.69166666666666665</v>
      </c>
      <c r="AA116" s="28">
        <f>IF(Tracker_BD[[#This Row],[Fault Acknowledgement Time ]]="NA","",(Tracker_BD[[#This Row],[Fault Acknowledgement Time ]]-Tracker_BD[[#This Row],[Fault Time]])*24)</f>
        <v>0</v>
      </c>
      <c r="AB116" s="28">
        <f>IFERROR((Tracker_BD[[#This Row],[Work Start time on Fault]]-Tracker_BD[[#This Row],[Fault Time]])*24,"")</f>
        <v>0</v>
      </c>
      <c r="AC116" s="28">
        <f>IFERROR((Tracker_BD[[#This Row],[Work Completion time on fault]]-Tracker_BD[[#This Row],[Fault Time]])*24,"")</f>
        <v>0.34999999999999876</v>
      </c>
      <c r="AD116" s="28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89"/>
      <c r="AI116" s="28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1">
        <v>45839</v>
      </c>
      <c r="G117" s="2">
        <f>DAY(EOMONTH(Tracker_BD[[#This Row],[Month Year]],0))</f>
        <v>31</v>
      </c>
      <c r="H117" s="32">
        <v>45856</v>
      </c>
      <c r="I117" s="34">
        <f>IFERROR(VLOOKUP(Tracker_BD[[#This Row],[Date]],Raw_Data[[Date]:[Sunset Time (POA&lt;20 W/m2)]],3,0),"")</f>
        <v>0.25694444444444442</v>
      </c>
      <c r="J117" s="34">
        <f>IFERROR(VLOOKUP(Tracker_BD[[#This Row],[Date]],Raw_Data[[Date]:[Sunset Time (POA&lt;20 W/m2)]],4,0),"")</f>
        <v>0.77708333333333335</v>
      </c>
      <c r="K117" s="28">
        <f>IFERROR((Tracker_BD[[#This Row],[Sunset Time (POA&lt;20 W/m2)]]-Tracker_BD[[#This Row],[Sunrise Time (POA&gt;20 W/m2)]])*24,"")</f>
        <v>12.483333333333334</v>
      </c>
      <c r="L117" s="2" t="s">
        <v>267</v>
      </c>
      <c r="M117" s="165"/>
      <c r="N117">
        <v>0</v>
      </c>
      <c r="O117" s="248" t="s">
        <v>184</v>
      </c>
      <c r="P117" s="2" t="s">
        <v>270</v>
      </c>
      <c r="Q117" s="2" t="s">
        <v>263</v>
      </c>
      <c r="R117">
        <v>32</v>
      </c>
      <c r="S117" s="2" t="s">
        <v>1685</v>
      </c>
      <c r="T117" t="s">
        <v>269</v>
      </c>
      <c r="U117" t="s">
        <v>293</v>
      </c>
      <c r="V117" t="s">
        <v>293</v>
      </c>
      <c r="W117" s="34">
        <v>0.67708333333333337</v>
      </c>
      <c r="X117" s="34">
        <v>0.67708333333333337</v>
      </c>
      <c r="Y117" s="34">
        <v>0.67708333333333337</v>
      </c>
      <c r="Z117" s="34">
        <v>0.69166666666666665</v>
      </c>
      <c r="AA117" s="28">
        <f>IF(Tracker_BD[[#This Row],[Fault Acknowledgement Time ]]="NA","",(Tracker_BD[[#This Row],[Fault Acknowledgement Time ]]-Tracker_BD[[#This Row],[Fault Time]])*24)</f>
        <v>0</v>
      </c>
      <c r="AB117" s="28">
        <f>IFERROR((Tracker_BD[[#This Row],[Work Start time on Fault]]-Tracker_BD[[#This Row],[Fault Time]])*24,"")</f>
        <v>0</v>
      </c>
      <c r="AC117" s="28">
        <f>IFERROR((Tracker_BD[[#This Row],[Work Completion time on fault]]-Tracker_BD[[#This Row],[Fault Time]])*24,"")</f>
        <v>0.34999999999999876</v>
      </c>
      <c r="AD117" s="28">
        <f>IFERROR((Tracker_BD[[#This Row],[Work Completion time on fault]]-Tracker_BD[[#This Row],[Fault Time]])*24,"")</f>
        <v>0.34999999999999876</v>
      </c>
      <c r="AE117" s="199" t="s">
        <v>334</v>
      </c>
      <c r="AF117" t="s">
        <v>266</v>
      </c>
      <c r="AG117" s="2"/>
      <c r="AH117" s="89"/>
      <c r="AI117" s="28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1">
        <v>45839</v>
      </c>
      <c r="G118" s="2">
        <f>DAY(EOMONTH(Tracker_BD[[#This Row],[Month Year]],0))</f>
        <v>31</v>
      </c>
      <c r="H118" s="32">
        <v>45858</v>
      </c>
      <c r="I118" s="34">
        <f>IFERROR(VLOOKUP(Tracker_BD[[#This Row],[Date]],Raw_Data[[Date]:[Sunset Time (POA&lt;20 W/m2)]],3,0),"")</f>
        <v>0.25972222222222224</v>
      </c>
      <c r="J118" s="34">
        <f>IFERROR(VLOOKUP(Tracker_BD[[#This Row],[Date]],Raw_Data[[Date]:[Sunset Time (POA&lt;20 W/m2)]],4,0),"")</f>
        <v>0.77500000000000002</v>
      </c>
      <c r="K118" s="28">
        <f>IFERROR((Tracker_BD[[#This Row],[Sunset Time (POA&lt;20 W/m2)]]-Tracker_BD[[#This Row],[Sunrise Time (POA&gt;20 W/m2)]])*24,"")</f>
        <v>12.366666666666665</v>
      </c>
      <c r="L118" s="2" t="s">
        <v>267</v>
      </c>
      <c r="M118" s="165"/>
      <c r="N118">
        <v>0</v>
      </c>
      <c r="O118" s="228" t="s">
        <v>189</v>
      </c>
      <c r="P118" s="2" t="s">
        <v>268</v>
      </c>
      <c r="Q118" s="2" t="s">
        <v>270</v>
      </c>
      <c r="R118">
        <v>54</v>
      </c>
      <c r="S118" s="2" t="s">
        <v>1659</v>
      </c>
      <c r="T118" t="s">
        <v>269</v>
      </c>
      <c r="U118" t="s">
        <v>293</v>
      </c>
      <c r="V118" t="s">
        <v>293</v>
      </c>
      <c r="W118" s="34">
        <v>0.4375</v>
      </c>
      <c r="X118" s="34">
        <v>0.4375</v>
      </c>
      <c r="Y118" s="34">
        <v>0.4375</v>
      </c>
      <c r="Z118" s="34">
        <v>0.47569444444444442</v>
      </c>
      <c r="AA118" s="28">
        <f>IF(Tracker_BD[[#This Row],[Fault Acknowledgement Time ]]="NA","",(Tracker_BD[[#This Row],[Fault Acknowledgement Time ]]-Tracker_BD[[#This Row],[Fault Time]])*24)</f>
        <v>0</v>
      </c>
      <c r="AB118" s="28">
        <f>IFERROR((Tracker_BD[[#This Row],[Work Start time on Fault]]-Tracker_BD[[#This Row],[Fault Time]])*24,"")</f>
        <v>0</v>
      </c>
      <c r="AC118" s="28">
        <f>IFERROR((Tracker_BD[[#This Row],[Work Completion time on fault]]-Tracker_BD[[#This Row],[Fault Time]])*24,"")</f>
        <v>0.91666666666666607</v>
      </c>
      <c r="AD118" s="28">
        <f>IFERROR((Tracker_BD[[#This Row],[Work Completion time on fault]]-Tracker_BD[[#This Row],[Fault Time]])*24,"")</f>
        <v>0.91666666666666607</v>
      </c>
      <c r="AE118" t="s">
        <v>333</v>
      </c>
      <c r="AF118" t="s">
        <v>266</v>
      </c>
      <c r="AG118" s="2"/>
      <c r="AH118" s="89"/>
      <c r="AI118" s="28">
        <f>IFERROR(Tracker_BD[[#This Row],[Breakdown Time]]*Tracker_BD[[#This Row],[Plant Equivalent Weightage]],"")</f>
        <v>0</v>
      </c>
    </row>
    <row r="119" spans="1:35">
      <c r="A119" s="2">
        <v>115</v>
      </c>
      <c r="B119" s="2" t="s">
        <v>4</v>
      </c>
      <c r="C119" s="2">
        <v>2025</v>
      </c>
      <c r="D119" s="2" t="s">
        <v>211</v>
      </c>
      <c r="E119" s="2" t="s">
        <v>211</v>
      </c>
      <c r="F119" s="31">
        <v>45839</v>
      </c>
      <c r="G119" s="2">
        <f>DAY(EOMONTH(Tracker_BD[[#This Row],[Month Year]],0))</f>
        <v>31</v>
      </c>
      <c r="H119" s="32">
        <v>45861</v>
      </c>
      <c r="I119" s="34">
        <f>IFERROR(VLOOKUP(Tracker_BD[[#This Row],[Date]],Raw_Data[[Date]:[Sunset Time (POA&lt;20 W/m2)]],3,0),"")</f>
        <v>0.27083333333333331</v>
      </c>
      <c r="J119" s="34">
        <f>IFERROR(VLOOKUP(Tracker_BD[[#This Row],[Date]],Raw_Data[[Date]:[Sunset Time (POA&lt;20 W/m2)]],4,0),"")</f>
        <v>0.77500000000000002</v>
      </c>
      <c r="K119" s="28">
        <f>IFERROR((Tracker_BD[[#This Row],[Sunset Time (POA&lt;20 W/m2)]]-Tracker_BD[[#This Row],[Sunrise Time (POA&gt;20 W/m2)]])*24,"")</f>
        <v>12.1</v>
      </c>
      <c r="L119" s="2" t="s">
        <v>267</v>
      </c>
      <c r="M119" s="165"/>
      <c r="N119">
        <v>0</v>
      </c>
      <c r="O119" s="248" t="s">
        <v>184</v>
      </c>
      <c r="P119" s="2" t="s">
        <v>268</v>
      </c>
      <c r="Q119" s="2" t="s">
        <v>270</v>
      </c>
      <c r="R119">
        <v>6</v>
      </c>
      <c r="S119" s="2" t="s">
        <v>387</v>
      </c>
      <c r="T119" t="s">
        <v>269</v>
      </c>
      <c r="U119" t="s">
        <v>293</v>
      </c>
      <c r="V119" t="s">
        <v>293</v>
      </c>
      <c r="W119" s="34">
        <v>0.47222222222222221</v>
      </c>
      <c r="X119" s="27">
        <v>0.47222222222222221</v>
      </c>
      <c r="Y119" s="27">
        <v>0.47222222222222221</v>
      </c>
      <c r="Z119" s="34">
        <v>0.49305555555555558</v>
      </c>
      <c r="AA119" s="28">
        <f>IF(Tracker_BD[[#This Row],[Fault Acknowledgement Time ]]="NA","",(Tracker_BD[[#This Row],[Fault Acknowledgement Time ]]-Tracker_BD[[#This Row],[Fault Time]])*24)</f>
        <v>0</v>
      </c>
      <c r="AB119" s="28">
        <f>IFERROR((Tracker_BD[[#This Row],[Work Start time on Fault]]-Tracker_BD[[#This Row],[Fault Time]])*24,"")</f>
        <v>0</v>
      </c>
      <c r="AC119" s="28">
        <f>IFERROR((Tracker_BD[[#This Row],[Work Completion time on fault]]-Tracker_BD[[#This Row],[Fault Time]])*24,"")</f>
        <v>0.50000000000000089</v>
      </c>
      <c r="AD119" s="28">
        <f>IFERROR((Tracker_BD[[#This Row],[Work Completion time on fault]]-Tracker_BD[[#This Row],[Fault Time]])*24,"")</f>
        <v>0.50000000000000089</v>
      </c>
      <c r="AE119" t="s">
        <v>333</v>
      </c>
      <c r="AF119" t="s">
        <v>266</v>
      </c>
      <c r="AG119" s="2"/>
      <c r="AH119" s="89"/>
      <c r="AI119" s="28">
        <f>IFERROR(Tracker_BD[[#This Row],[Breakdown Time]]*Tracker_BD[[#This Row],[Plant Equivalent Weightage]],"")</f>
        <v>0</v>
      </c>
    </row>
    <row r="120" spans="1:35">
      <c r="A120" s="2">
        <f>A119+1</f>
        <v>116</v>
      </c>
      <c r="B120" s="2" t="s">
        <v>4</v>
      </c>
      <c r="C120" s="2">
        <v>2025</v>
      </c>
      <c r="D120" s="2" t="s">
        <v>211</v>
      </c>
      <c r="E120" s="2" t="s">
        <v>211</v>
      </c>
      <c r="F120" s="31">
        <v>45839</v>
      </c>
      <c r="G120" s="2">
        <f>DAY(EOMONTH(Tracker_BD[[#This Row],[Month Year]],0))</f>
        <v>31</v>
      </c>
      <c r="H120" s="32">
        <v>45865</v>
      </c>
      <c r="I120" s="34">
        <f>IFERROR(VLOOKUP(Tracker_BD[[#This Row],[Date]],Raw_Data[[Date]:[Sunset Time (POA&lt;20 W/m2)]],3,0),"")</f>
        <v>0.26597222222222222</v>
      </c>
      <c r="J120" s="34">
        <f>IFERROR(VLOOKUP(Tracker_BD[[#This Row],[Date]],Raw_Data[[Date]:[Sunset Time (POA&lt;20 W/m2)]],4,0),"")</f>
        <v>0.77569444444444446</v>
      </c>
      <c r="K120" s="28">
        <f>IFERROR((Tracker_BD[[#This Row],[Sunset Time (POA&lt;20 W/m2)]]-Tracker_BD[[#This Row],[Sunrise Time (POA&gt;20 W/m2)]])*24,"")</f>
        <v>12.233333333333333</v>
      </c>
      <c r="L120" s="2" t="s">
        <v>267</v>
      </c>
      <c r="M120" s="165"/>
      <c r="N120">
        <v>0</v>
      </c>
      <c r="O120" s="228" t="s">
        <v>189</v>
      </c>
      <c r="P120" s="2" t="s">
        <v>268</v>
      </c>
      <c r="Q120" s="2" t="s">
        <v>270</v>
      </c>
      <c r="R120">
        <v>44</v>
      </c>
      <c r="S120" s="2" t="s">
        <v>1694</v>
      </c>
      <c r="T120" t="s">
        <v>269</v>
      </c>
      <c r="U120" t="s">
        <v>293</v>
      </c>
      <c r="V120" t="s">
        <v>293</v>
      </c>
      <c r="W120" s="34">
        <v>0.41666666666666669</v>
      </c>
      <c r="X120" s="34">
        <v>0.41666666666666669</v>
      </c>
      <c r="Y120" s="34">
        <v>0.41666666666666669</v>
      </c>
      <c r="Z120" s="34">
        <v>0.44791666666666669</v>
      </c>
      <c r="AA120" s="28">
        <f>IF(Tracker_BD[[#This Row],[Fault Acknowledgement Time ]]="NA","",(Tracker_BD[[#This Row],[Fault Acknowledgement Time ]]-Tracker_BD[[#This Row],[Fault Time]])*24)</f>
        <v>0</v>
      </c>
      <c r="AB120" s="28">
        <f>IFERROR((Tracker_BD[[#This Row],[Work Start time on Fault]]-Tracker_BD[[#This Row],[Fault Time]])*24,"")</f>
        <v>0</v>
      </c>
      <c r="AC120" s="28">
        <f>IFERROR((Tracker_BD[[#This Row],[Work Completion time on fault]]-Tracker_BD[[#This Row],[Fault Time]])*24,"")</f>
        <v>0.75</v>
      </c>
      <c r="AD120" s="28">
        <f>IFERROR((Tracker_BD[[#This Row],[Work Completion time on fault]]-Tracker_BD[[#This Row],[Fault Time]])*24,"")</f>
        <v>0.75</v>
      </c>
      <c r="AE120" t="s">
        <v>384</v>
      </c>
      <c r="AF120" t="s">
        <v>266</v>
      </c>
      <c r="AG120" s="2"/>
      <c r="AH120" s="89"/>
      <c r="AI120" s="28">
        <f>IFERROR(Tracker_BD[[#This Row],[Breakdown Time]]*Tracker_BD[[#This Row],[Plant Equivalent Weightage]],"")</f>
        <v>0</v>
      </c>
    </row>
    <row r="121" spans="1:35">
      <c r="A121" s="2">
        <f>A120+1</f>
        <v>117</v>
      </c>
      <c r="B121" s="2" t="s">
        <v>4</v>
      </c>
      <c r="C121" s="2">
        <v>2025</v>
      </c>
      <c r="D121" s="2" t="s">
        <v>211</v>
      </c>
      <c r="E121" s="2" t="s">
        <v>211</v>
      </c>
      <c r="F121" s="31">
        <v>45839</v>
      </c>
      <c r="G121" s="2">
        <f>DAY(EOMONTH(Tracker_BD[[#This Row],[Month Year]],0))</f>
        <v>31</v>
      </c>
      <c r="H121" s="32">
        <v>45868</v>
      </c>
      <c r="I121" s="34">
        <f>IFERROR(VLOOKUP(Tracker_BD[[#This Row],[Date]],Raw_Data[[Date]:[Sunset Time (POA&lt;20 W/m2)]],3,0),"")</f>
        <v>0.26041666666666669</v>
      </c>
      <c r="J121" s="34">
        <f>IFERROR(VLOOKUP(Tracker_BD[[#This Row],[Date]],Raw_Data[[Date]:[Sunset Time (POA&lt;20 W/m2)]],4,0),"")</f>
        <v>0.77847222222222223</v>
      </c>
      <c r="K121" s="28">
        <f>IFERROR((Tracker_BD[[#This Row],[Sunset Time (POA&lt;20 W/m2)]]-Tracker_BD[[#This Row],[Sunrise Time (POA&gt;20 W/m2)]])*24,"")</f>
        <v>12.433333333333332</v>
      </c>
      <c r="L121" s="2" t="s">
        <v>267</v>
      </c>
      <c r="M121" s="165"/>
      <c r="N121">
        <v>0</v>
      </c>
      <c r="O121" s="259" t="s">
        <v>186</v>
      </c>
      <c r="P121" s="2" t="s">
        <v>270</v>
      </c>
      <c r="Q121" s="2" t="s">
        <v>263</v>
      </c>
      <c r="R121">
        <v>41</v>
      </c>
      <c r="S121" s="2" t="s">
        <v>1699</v>
      </c>
      <c r="T121" t="s">
        <v>269</v>
      </c>
      <c r="U121" t="s">
        <v>293</v>
      </c>
      <c r="V121" t="s">
        <v>293</v>
      </c>
      <c r="W121" s="34">
        <v>0.3888888888888889</v>
      </c>
      <c r="X121" s="34">
        <v>0.3888888888888889</v>
      </c>
      <c r="Y121" s="34">
        <v>0.3888888888888889</v>
      </c>
      <c r="Z121" s="34">
        <v>0.44097222222222221</v>
      </c>
      <c r="AA121" s="28">
        <f>IF(Tracker_BD[[#This Row],[Fault Acknowledgement Time ]]="NA","",(Tracker_BD[[#This Row],[Fault Acknowledgement Time ]]-Tracker_BD[[#This Row],[Fault Time]])*24)</f>
        <v>0</v>
      </c>
      <c r="AB121" s="28">
        <f>IFERROR((Tracker_BD[[#This Row],[Work Start time on Fault]]-Tracker_BD[[#This Row],[Fault Time]])*24,"")</f>
        <v>0</v>
      </c>
      <c r="AC121" s="28">
        <f>IFERROR((Tracker_BD[[#This Row],[Work Completion time on fault]]-Tracker_BD[[#This Row],[Fault Time]])*24,"")</f>
        <v>1.2499999999999996</v>
      </c>
      <c r="AD121" s="28">
        <f>IFERROR((Tracker_BD[[#This Row],[Work Completion time on fault]]-Tracker_BD[[#This Row],[Fault Time]])*24,"")</f>
        <v>1.2499999999999996</v>
      </c>
      <c r="AE121" s="199" t="s">
        <v>334</v>
      </c>
      <c r="AF121" t="s">
        <v>266</v>
      </c>
      <c r="AG121" s="2"/>
      <c r="AH121" s="89"/>
      <c r="AI121" s="28">
        <f>IFERROR(Tracker_BD[[#This Row],[Breakdown Time]]*Tracker_BD[[#This Row],[Plant Equivalent Weightage]],"")</f>
        <v>0</v>
      </c>
    </row>
    <row r="122" spans="1:35">
      <c r="A122" s="2">
        <f t="shared" ref="A122:A123" si="6">A121+1</f>
        <v>118</v>
      </c>
      <c r="B122" s="2" t="s">
        <v>4</v>
      </c>
      <c r="C122" s="2">
        <v>2025</v>
      </c>
      <c r="D122" s="2" t="s">
        <v>211</v>
      </c>
      <c r="E122" s="2" t="s">
        <v>213</v>
      </c>
      <c r="F122" s="31">
        <v>45870</v>
      </c>
      <c r="G122" s="2">
        <v>31</v>
      </c>
      <c r="H122" s="32">
        <v>45870</v>
      </c>
      <c r="I122" s="34">
        <f>IFERROR(VLOOKUP(Tracker_BD[[#This Row],[Date]],Raw_Data[[Date]:[Sunset Time (POA&lt;20 W/m2)]],3,0),"")</f>
        <v>0.26041666666666669</v>
      </c>
      <c r="J122" s="34">
        <f>IFERROR(VLOOKUP(Tracker_BD[[#This Row],[Date]],Raw_Data[[Date]:[Sunset Time (POA&lt;20 W/m2)]],4,0),"")</f>
        <v>0.77847222222222223</v>
      </c>
      <c r="K122" s="28">
        <f>IFERROR((Tracker_BD[[#This Row],[Sunset Time (POA&lt;20 W/m2)]]-Tracker_BD[[#This Row],[Sunrise Time (POA&gt;20 W/m2)]])*24,"")</f>
        <v>12.433333333333332</v>
      </c>
      <c r="L122" s="2" t="s">
        <v>267</v>
      </c>
      <c r="M122" s="165"/>
      <c r="N122">
        <v>0</v>
      </c>
      <c r="O122" t="s">
        <v>189</v>
      </c>
      <c r="P122" s="2" t="s">
        <v>268</v>
      </c>
      <c r="Q122" s="2" t="s">
        <v>270</v>
      </c>
      <c r="R122">
        <v>50</v>
      </c>
      <c r="S122" s="2" t="s">
        <v>392</v>
      </c>
      <c r="T122" t="s">
        <v>269</v>
      </c>
      <c r="U122" t="s">
        <v>293</v>
      </c>
      <c r="V122" t="s">
        <v>293</v>
      </c>
      <c r="W122" s="34">
        <v>0.61805555555555558</v>
      </c>
      <c r="X122" s="34">
        <v>0.61805555555555558</v>
      </c>
      <c r="Y122" s="34">
        <v>0.61805555555555558</v>
      </c>
      <c r="Z122" s="34">
        <v>0.64236111111111116</v>
      </c>
      <c r="AA122" s="28">
        <f>IF(Tracker_BD[[#This Row],[Fault Acknowledgement Time ]]="NA","",(Tracker_BD[[#This Row],[Fault Acknowledgement Time ]]-Tracker_BD[[#This Row],[Fault Time]])*24)</f>
        <v>0</v>
      </c>
      <c r="AB122" s="28">
        <f>IFERROR((Tracker_BD[[#This Row],[Work Start time on Fault]]-Tracker_BD[[#This Row],[Fault Time]])*24,"")</f>
        <v>0</v>
      </c>
      <c r="AC122" s="28">
        <f>IFERROR((Tracker_BD[[#This Row],[Work Completion time on fault]]-Tracker_BD[[#This Row],[Fault Time]])*24,"")</f>
        <v>0.58333333333333393</v>
      </c>
      <c r="AD122" s="28">
        <f>IFERROR((Tracker_BD[[#This Row],[Work Completion time on fault]]-Tracker_BD[[#This Row],[Fault Time]])*24,"")</f>
        <v>0.58333333333333393</v>
      </c>
      <c r="AE122" t="s">
        <v>1743</v>
      </c>
      <c r="AF122" t="s">
        <v>266</v>
      </c>
      <c r="AG122" s="2"/>
      <c r="AH122" s="89"/>
      <c r="AI122" s="28">
        <f>IFERROR(Tracker_BD[[#This Row],[Breakdown Time]]*Tracker_BD[[#This Row],[Plant Equivalent Weightage]],"")</f>
        <v>0</v>
      </c>
    </row>
    <row r="123" spans="1:35">
      <c r="A123" s="2">
        <f t="shared" si="6"/>
        <v>119</v>
      </c>
      <c r="B123" s="2" t="s">
        <v>4</v>
      </c>
      <c r="C123" s="2">
        <v>2025</v>
      </c>
      <c r="D123" s="2" t="s">
        <v>211</v>
      </c>
      <c r="E123" s="2" t="s">
        <v>213</v>
      </c>
      <c r="F123" s="31">
        <v>45870</v>
      </c>
      <c r="G123" s="2">
        <v>31</v>
      </c>
      <c r="H123" s="32">
        <v>45870</v>
      </c>
      <c r="I123" s="34">
        <f>IFERROR(VLOOKUP(Tracker_BD[[#This Row],[Date]],Raw_Data[[Date]:[Sunset Time (POA&lt;20 W/m2)]],3,0),"")</f>
        <v>0.26041666666666669</v>
      </c>
      <c r="J123" s="34">
        <f>IFERROR(VLOOKUP(Tracker_BD[[#This Row],[Date]],Raw_Data[[Date]:[Sunset Time (POA&lt;20 W/m2)]],4,0),"")</f>
        <v>0.77847222222222223</v>
      </c>
      <c r="K123" s="28">
        <f>IFERROR((Tracker_BD[[#This Row],[Sunset Time (POA&lt;20 W/m2)]]-Tracker_BD[[#This Row],[Sunrise Time (POA&gt;20 W/m2)]])*24,"")</f>
        <v>12.433333333333332</v>
      </c>
      <c r="L123" s="2" t="s">
        <v>267</v>
      </c>
      <c r="M123" s="165"/>
      <c r="N123">
        <v>0</v>
      </c>
      <c r="O123" t="s">
        <v>189</v>
      </c>
      <c r="P123" s="2" t="s">
        <v>268</v>
      </c>
      <c r="Q123" s="2" t="s">
        <v>270</v>
      </c>
      <c r="R123">
        <v>52</v>
      </c>
      <c r="S123" s="2" t="s">
        <v>1742</v>
      </c>
      <c r="T123" t="s">
        <v>269</v>
      </c>
      <c r="U123" t="s">
        <v>293</v>
      </c>
      <c r="V123" t="s">
        <v>293</v>
      </c>
      <c r="W123" s="34">
        <v>0.67361111111111116</v>
      </c>
      <c r="X123" s="34">
        <v>0.67361111111111116</v>
      </c>
      <c r="Y123" s="34">
        <v>0.67361111111111116</v>
      </c>
      <c r="Z123" s="34">
        <v>0.72222222222222221</v>
      </c>
      <c r="AA123" s="28">
        <f>IF(Tracker_BD[[#This Row],[Fault Acknowledgement Time ]]="NA","",(Tracker_BD[[#This Row],[Fault Acknowledgement Time ]]-Tracker_BD[[#This Row],[Fault Time]])*24)</f>
        <v>0</v>
      </c>
      <c r="AB123" s="28">
        <f>IFERROR((Tracker_BD[[#This Row],[Work Start time on Fault]]-Tracker_BD[[#This Row],[Fault Time]])*24,"")</f>
        <v>0</v>
      </c>
      <c r="AC123" s="28">
        <f>IFERROR((Tracker_BD[[#This Row],[Work Completion time on fault]]-Tracker_BD[[#This Row],[Fault Time]])*24,"")</f>
        <v>1.1666666666666652</v>
      </c>
      <c r="AD123" s="28">
        <f>IFERROR((Tracker_BD[[#This Row],[Work Completion time on fault]]-Tracker_BD[[#This Row],[Fault Time]])*24,"")</f>
        <v>1.1666666666666652</v>
      </c>
      <c r="AE123" t="s">
        <v>1744</v>
      </c>
      <c r="AF123" t="s">
        <v>266</v>
      </c>
      <c r="AG123" s="2"/>
      <c r="AH123" s="89"/>
      <c r="AI123" s="28">
        <f>IFERROR(Tracker_BD[[#This Row],[Breakdown Time]]*Tracker_BD[[#This Row],[Plant Equivalent Weightage]],"")</f>
        <v>0</v>
      </c>
    </row>
    <row r="124" spans="1:35">
      <c r="A124" s="2">
        <f>A123+1</f>
        <v>120</v>
      </c>
      <c r="B124" s="2" t="s">
        <v>4</v>
      </c>
      <c r="C124" s="2">
        <v>2025</v>
      </c>
      <c r="D124" s="2" t="s">
        <v>211</v>
      </c>
      <c r="E124" s="2" t="s">
        <v>213</v>
      </c>
      <c r="F124" s="31">
        <v>45870</v>
      </c>
      <c r="G124" s="356">
        <f>DAY(EOMONTH(Tracker_BD[[#This Row],[Month Year]],0))</f>
        <v>31</v>
      </c>
      <c r="H124" s="32">
        <v>45873</v>
      </c>
      <c r="I124" s="34">
        <f>IFERROR(VLOOKUP(Tracker_BD[[#This Row],[Date]],Raw_Data[[Date]:[Sunset Time (POA&lt;20 W/m2)]],3,0),"")</f>
        <v>0.27013888888888887</v>
      </c>
      <c r="J124" s="34">
        <f>IFERROR(VLOOKUP(Tracker_BD[[#This Row],[Date]],Raw_Data[[Date]:[Sunset Time (POA&lt;20 W/m2)]],4,0),"")</f>
        <v>0.7680555555555556</v>
      </c>
      <c r="K124" s="28">
        <f>IFERROR((Tracker_BD[[#This Row],[Sunset Time (POA&lt;20 W/m2)]]-Tracker_BD[[#This Row],[Sunrise Time (POA&gt;20 W/m2)]])*24,"")</f>
        <v>11.950000000000001</v>
      </c>
      <c r="L124" s="2" t="s">
        <v>267</v>
      </c>
      <c r="M124" s="165"/>
      <c r="N124">
        <v>0</v>
      </c>
      <c r="O124" s="357" t="s">
        <v>188</v>
      </c>
      <c r="P124" s="2" t="s">
        <v>272</v>
      </c>
      <c r="Q124" s="2" t="s">
        <v>1749</v>
      </c>
      <c r="R124">
        <v>1</v>
      </c>
      <c r="S124" s="2" t="s">
        <v>1675</v>
      </c>
      <c r="T124" t="s">
        <v>269</v>
      </c>
      <c r="U124" t="s">
        <v>293</v>
      </c>
      <c r="V124" t="s">
        <v>293</v>
      </c>
      <c r="W124" s="34">
        <v>0.41666666666666669</v>
      </c>
      <c r="X124" s="34">
        <v>0.41666666666666669</v>
      </c>
      <c r="Y124" s="34">
        <v>0.41666666666666669</v>
      </c>
      <c r="Z124" s="34">
        <v>0.44444444444444442</v>
      </c>
      <c r="AA124" s="28">
        <f>IF(Tracker_BD[[#This Row],[Fault Acknowledgement Time ]]="NA","",(Tracker_BD[[#This Row],[Fault Acknowledgement Time ]]-Tracker_BD[[#This Row],[Fault Time]])*24)</f>
        <v>0</v>
      </c>
      <c r="AB124" s="28">
        <f>IFERROR((Tracker_BD[[#This Row],[Work Start time on Fault]]-Tracker_BD[[#This Row],[Fault Time]])*24,"")</f>
        <v>0</v>
      </c>
      <c r="AC124" s="28">
        <f>IFERROR((Tracker_BD[[#This Row],[Work Completion time on fault]]-Tracker_BD[[#This Row],[Fault Time]])*24,"")</f>
        <v>0.66666666666666563</v>
      </c>
      <c r="AD124" s="28">
        <f>IFERROR((Tracker_BD[[#This Row],[Work Completion time on fault]]-Tracker_BD[[#This Row],[Fault Time]])*24,"")</f>
        <v>0.66666666666666563</v>
      </c>
      <c r="AE124" t="s">
        <v>431</v>
      </c>
      <c r="AF124" t="s">
        <v>266</v>
      </c>
      <c r="AG124" s="2"/>
      <c r="AH124" s="89"/>
      <c r="AI124" s="28">
        <f>IFERROR(Tracker_BD[[#This Row],[Breakdown Time]]*Tracker_BD[[#This Row],[Plant Equivalent Weightage]],"")</f>
        <v>0</v>
      </c>
    </row>
    <row r="125" spans="1:35">
      <c r="A125" s="2">
        <f>A124+1</f>
        <v>121</v>
      </c>
      <c r="B125" s="2" t="s">
        <v>4</v>
      </c>
      <c r="C125" s="2">
        <v>2025</v>
      </c>
      <c r="D125" s="2" t="s">
        <v>211</v>
      </c>
      <c r="E125" s="2" t="s">
        <v>213</v>
      </c>
      <c r="F125" s="31">
        <v>45870</v>
      </c>
      <c r="G125" s="356">
        <f>DAY(EOMONTH(Tracker_BD[[#This Row],[Month Year]],0))</f>
        <v>31</v>
      </c>
      <c r="H125" s="32">
        <v>45873</v>
      </c>
      <c r="I125" s="34">
        <f>IFERROR(VLOOKUP(Tracker_BD[[#This Row],[Date]],Raw_Data[[Date]:[Sunset Time (POA&lt;20 W/m2)]],3,0),"")</f>
        <v>0.27013888888888887</v>
      </c>
      <c r="J125" s="34">
        <f>IFERROR(VLOOKUP(Tracker_BD[[#This Row],[Date]],Raw_Data[[Date]:[Sunset Time (POA&lt;20 W/m2)]],4,0),"")</f>
        <v>0.7680555555555556</v>
      </c>
      <c r="K125" s="28">
        <f>IFERROR((Tracker_BD[[#This Row],[Sunset Time (POA&lt;20 W/m2)]]-Tracker_BD[[#This Row],[Sunrise Time (POA&gt;20 W/m2)]])*24,"")</f>
        <v>11.950000000000001</v>
      </c>
      <c r="L125" s="2" t="s">
        <v>267</v>
      </c>
      <c r="M125" s="165"/>
      <c r="N125">
        <v>0</v>
      </c>
      <c r="O125" s="248" t="s">
        <v>184</v>
      </c>
      <c r="P125" s="2" t="s">
        <v>272</v>
      </c>
      <c r="Q125" s="2" t="s">
        <v>268</v>
      </c>
      <c r="R125">
        <v>7</v>
      </c>
      <c r="S125" s="2" t="s">
        <v>310</v>
      </c>
      <c r="T125" t="s">
        <v>269</v>
      </c>
      <c r="U125" t="s">
        <v>293</v>
      </c>
      <c r="V125" t="s">
        <v>293</v>
      </c>
      <c r="W125" s="34">
        <v>0.47222222222222221</v>
      </c>
      <c r="X125" s="34">
        <v>0.47222222222222221</v>
      </c>
      <c r="Y125" s="34">
        <v>0.47222222222222221</v>
      </c>
      <c r="Z125" s="34">
        <v>0.49305555555555558</v>
      </c>
      <c r="AA125" s="28">
        <f>IF(Tracker_BD[[#This Row],[Fault Acknowledgement Time ]]="NA","",(Tracker_BD[[#This Row],[Fault Acknowledgement Time ]]-Tracker_BD[[#This Row],[Fault Time]])*24)</f>
        <v>0</v>
      </c>
      <c r="AB125" s="28">
        <f>IFERROR((Tracker_BD[[#This Row],[Work Start time on Fault]]-Tracker_BD[[#This Row],[Fault Time]])*24,"")</f>
        <v>0</v>
      </c>
      <c r="AC125" s="28">
        <f>IFERROR((Tracker_BD[[#This Row],[Work Completion time on fault]]-Tracker_BD[[#This Row],[Fault Time]])*24,"")</f>
        <v>0.50000000000000089</v>
      </c>
      <c r="AD125" s="28">
        <f>IFERROR((Tracker_BD[[#This Row],[Work Completion time on fault]]-Tracker_BD[[#This Row],[Fault Time]])*24,"")</f>
        <v>0.50000000000000089</v>
      </c>
      <c r="AE125" t="s">
        <v>1750</v>
      </c>
      <c r="AF125" t="s">
        <v>266</v>
      </c>
      <c r="AG125" s="2"/>
      <c r="AH125" s="89"/>
      <c r="AI125" s="28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26"/>
  <sheetViews>
    <sheetView workbookViewId="0">
      <pane xSplit="8" ySplit="1" topLeftCell="I1212" activePane="bottomRight" state="frozen"/>
      <selection activeCell="I9" sqref="I9"/>
      <selection pane="topRight" activeCell="I9" sqref="I9"/>
      <selection pane="bottomLeft" activeCell="I9" sqref="I9"/>
      <selection pane="bottomRight" activeCell="M1221" sqref="M1221"/>
    </sheetView>
  </sheetViews>
  <sheetFormatPr defaultColWidth="9" defaultRowHeight="1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7" max="7" width="9" customWidth="1"/>
    <col min="8" max="8" width="10.42578125" customWidth="1"/>
    <col min="9" max="9" width="9" customWidth="1"/>
    <col min="10" max="10" width="9.42578125" customWidth="1"/>
    <col min="11" max="11" width="7.5703125" customWidth="1"/>
    <col min="12" max="15" width="8.85546875" customWidth="1"/>
    <col min="16" max="16" width="8.42578125" customWidth="1"/>
    <col min="17" max="21" width="9.42578125" customWidth="1"/>
  </cols>
  <sheetData>
    <row r="1" spans="1:21" ht="36">
      <c r="A1" s="39" t="s">
        <v>178</v>
      </c>
      <c r="B1" s="39" t="s">
        <v>214</v>
      </c>
      <c r="C1" s="39" t="s">
        <v>215</v>
      </c>
      <c r="D1" s="39" t="s">
        <v>179</v>
      </c>
      <c r="E1" s="39" t="s">
        <v>180</v>
      </c>
      <c r="F1" s="39" t="s">
        <v>139</v>
      </c>
      <c r="G1" s="39" t="s">
        <v>65</v>
      </c>
      <c r="H1" s="51" t="s">
        <v>36</v>
      </c>
      <c r="I1" s="39" t="s">
        <v>181</v>
      </c>
      <c r="J1" s="39" t="s">
        <v>219</v>
      </c>
      <c r="K1" s="39" t="s">
        <v>220</v>
      </c>
      <c r="L1" s="39" t="s">
        <v>221</v>
      </c>
      <c r="M1" s="39" t="s">
        <v>222</v>
      </c>
      <c r="N1" s="39" t="s">
        <v>223</v>
      </c>
      <c r="O1" s="39" t="s">
        <v>224</v>
      </c>
      <c r="P1" s="39" t="s">
        <v>225</v>
      </c>
      <c r="Q1" s="39" t="s">
        <v>226</v>
      </c>
      <c r="R1" s="39" t="s">
        <v>227</v>
      </c>
      <c r="S1" s="39" t="s">
        <v>228</v>
      </c>
      <c r="T1" s="39" t="s">
        <v>229</v>
      </c>
      <c r="U1" s="40" t="s">
        <v>230</v>
      </c>
    </row>
    <row r="2" spans="1:21">
      <c r="A2" s="52" t="s">
        <v>208</v>
      </c>
      <c r="B2" s="52">
        <v>4</v>
      </c>
      <c r="C2" s="52">
        <v>2022</v>
      </c>
      <c r="D2" s="52" t="s">
        <v>209</v>
      </c>
      <c r="E2" s="52" t="s">
        <v>209</v>
      </c>
      <c r="F2" s="53">
        <v>44652</v>
      </c>
      <c r="G2" s="52">
        <f>DAY(EOMONTH(F2,0))</f>
        <v>30</v>
      </c>
      <c r="H2" s="54">
        <v>44652</v>
      </c>
      <c r="I2" s="142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41" t="str">
        <f>IFERROR(Inv_SY!O3/Inv_SY!$Q3-1,"")</f>
        <v/>
      </c>
    </row>
    <row r="3" spans="1:21">
      <c r="A3" s="55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56">
        <v>44652</v>
      </c>
      <c r="G3" s="55">
        <f t="shared" ref="G3:G66" si="0">DAY(EOMONTH(F3,0))</f>
        <v>30</v>
      </c>
      <c r="H3" s="57">
        <f>H2+1</f>
        <v>44653</v>
      </c>
      <c r="I3" s="143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41" t="str">
        <f>IFERROR(Inv_SY!O4/Inv_SY!$Q4-1,"")</f>
        <v/>
      </c>
    </row>
    <row r="4" spans="1:21">
      <c r="A4" s="52" t="s">
        <v>208</v>
      </c>
      <c r="B4" s="52">
        <v>4</v>
      </c>
      <c r="C4" s="52">
        <v>2022</v>
      </c>
      <c r="D4" s="52" t="s">
        <v>209</v>
      </c>
      <c r="E4" s="52" t="s">
        <v>209</v>
      </c>
      <c r="F4" s="53">
        <v>44652</v>
      </c>
      <c r="G4" s="52">
        <f t="shared" si="0"/>
        <v>30</v>
      </c>
      <c r="H4" s="54">
        <f t="shared" ref="H4:H67" si="1">H3+1</f>
        <v>44654</v>
      </c>
      <c r="I4" s="142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41" t="str">
        <f>IFERROR(Inv_SY!O5/Inv_SY!$Q5-1,"")</f>
        <v/>
      </c>
    </row>
    <row r="5" spans="1:21">
      <c r="A5" s="55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56">
        <v>44652</v>
      </c>
      <c r="G5" s="55">
        <f t="shared" si="0"/>
        <v>30</v>
      </c>
      <c r="H5" s="57">
        <f t="shared" si="1"/>
        <v>44655</v>
      </c>
      <c r="I5" s="143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41" t="str">
        <f>IFERROR(Inv_SY!O6/Inv_SY!$Q6-1,"")</f>
        <v/>
      </c>
    </row>
    <row r="6" spans="1:21">
      <c r="A6" s="52" t="s">
        <v>208</v>
      </c>
      <c r="B6" s="52">
        <v>4</v>
      </c>
      <c r="C6" s="52">
        <v>2022</v>
      </c>
      <c r="D6" s="52" t="s">
        <v>209</v>
      </c>
      <c r="E6" s="52" t="s">
        <v>209</v>
      </c>
      <c r="F6" s="53">
        <v>44652</v>
      </c>
      <c r="G6" s="52">
        <f t="shared" si="0"/>
        <v>30</v>
      </c>
      <c r="H6" s="54">
        <f t="shared" si="1"/>
        <v>44656</v>
      </c>
      <c r="I6" s="142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41" t="str">
        <f>IFERROR(Inv_SY!O7/Inv_SY!$Q7-1,"")</f>
        <v/>
      </c>
    </row>
    <row r="7" spans="1:21">
      <c r="A7" s="55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56">
        <v>44652</v>
      </c>
      <c r="G7" s="55">
        <f t="shared" si="0"/>
        <v>30</v>
      </c>
      <c r="H7" s="57">
        <f t="shared" si="1"/>
        <v>44657</v>
      </c>
      <c r="I7" s="143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41" t="str">
        <f>IFERROR(Inv_SY!O8/Inv_SY!$Q8-1,"")</f>
        <v/>
      </c>
    </row>
    <row r="8" spans="1:21">
      <c r="A8" s="52" t="s">
        <v>208</v>
      </c>
      <c r="B8" s="52">
        <v>4</v>
      </c>
      <c r="C8" s="52">
        <v>2022</v>
      </c>
      <c r="D8" s="52" t="s">
        <v>209</v>
      </c>
      <c r="E8" s="52" t="s">
        <v>209</v>
      </c>
      <c r="F8" s="53">
        <v>44652</v>
      </c>
      <c r="G8" s="52">
        <f t="shared" si="0"/>
        <v>30</v>
      </c>
      <c r="H8" s="54">
        <f t="shared" si="1"/>
        <v>44658</v>
      </c>
      <c r="I8" s="142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41" t="str">
        <f>IFERROR(Inv_SY!O9/Inv_SY!$Q9-1,"")</f>
        <v/>
      </c>
    </row>
    <row r="9" spans="1:21">
      <c r="A9" s="55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56">
        <v>44652</v>
      </c>
      <c r="G9" s="55">
        <f t="shared" si="0"/>
        <v>30</v>
      </c>
      <c r="H9" s="57">
        <f t="shared" si="1"/>
        <v>44659</v>
      </c>
      <c r="I9" s="143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41" t="str">
        <f>IFERROR(Inv_SY!O10/Inv_SY!$Q10-1,"")</f>
        <v/>
      </c>
    </row>
    <row r="10" spans="1:21">
      <c r="A10" s="52" t="s">
        <v>208</v>
      </c>
      <c r="B10" s="52">
        <v>4</v>
      </c>
      <c r="C10" s="52">
        <v>2022</v>
      </c>
      <c r="D10" s="52" t="s">
        <v>209</v>
      </c>
      <c r="E10" s="52" t="s">
        <v>209</v>
      </c>
      <c r="F10" s="53">
        <v>44652</v>
      </c>
      <c r="G10" s="52">
        <f t="shared" si="0"/>
        <v>30</v>
      </c>
      <c r="H10" s="54">
        <f t="shared" si="1"/>
        <v>44660</v>
      </c>
      <c r="I10" s="142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41" t="str">
        <f>IFERROR(Inv_SY!O11/Inv_SY!$Q11-1,"")</f>
        <v/>
      </c>
    </row>
    <row r="11" spans="1:21">
      <c r="A11" s="55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56">
        <v>44652</v>
      </c>
      <c r="G11" s="55">
        <f t="shared" si="0"/>
        <v>30</v>
      </c>
      <c r="H11" s="57">
        <f t="shared" si="1"/>
        <v>44661</v>
      </c>
      <c r="I11" s="143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41" t="str">
        <f>IFERROR(Inv_SY!O12/Inv_SY!$Q12-1,"")</f>
        <v/>
      </c>
    </row>
    <row r="12" spans="1:21">
      <c r="A12" s="52" t="s">
        <v>208</v>
      </c>
      <c r="B12" s="52">
        <v>4</v>
      </c>
      <c r="C12" s="52">
        <v>2022</v>
      </c>
      <c r="D12" s="52" t="s">
        <v>209</v>
      </c>
      <c r="E12" s="52" t="s">
        <v>209</v>
      </c>
      <c r="F12" s="53">
        <v>44652</v>
      </c>
      <c r="G12" s="52">
        <f t="shared" si="0"/>
        <v>30</v>
      </c>
      <c r="H12" s="54">
        <f t="shared" si="1"/>
        <v>44662</v>
      </c>
      <c r="I12" s="142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41" t="str">
        <f>IFERROR(Inv_SY!O13/Inv_SY!$Q13-1,"")</f>
        <v/>
      </c>
    </row>
    <row r="13" spans="1:21">
      <c r="A13" s="55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56">
        <v>44652</v>
      </c>
      <c r="G13" s="55">
        <f t="shared" si="0"/>
        <v>30</v>
      </c>
      <c r="H13" s="57">
        <f t="shared" si="1"/>
        <v>44663</v>
      </c>
      <c r="I13" s="143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41" t="str">
        <f>IFERROR(Inv_SY!O14/Inv_SY!$Q14-1,"")</f>
        <v/>
      </c>
    </row>
    <row r="14" spans="1:21">
      <c r="A14" s="52" t="s">
        <v>208</v>
      </c>
      <c r="B14" s="52">
        <v>4</v>
      </c>
      <c r="C14" s="52">
        <v>2022</v>
      </c>
      <c r="D14" s="52" t="s">
        <v>209</v>
      </c>
      <c r="E14" s="52" t="s">
        <v>209</v>
      </c>
      <c r="F14" s="53">
        <v>44652</v>
      </c>
      <c r="G14" s="52">
        <f t="shared" si="0"/>
        <v>30</v>
      </c>
      <c r="H14" s="54">
        <f t="shared" si="1"/>
        <v>44664</v>
      </c>
      <c r="I14" s="142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41" t="str">
        <f>IFERROR(Inv_SY!O15/Inv_SY!$Q15-1,"")</f>
        <v/>
      </c>
    </row>
    <row r="15" spans="1:21">
      <c r="A15" s="55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56">
        <v>44652</v>
      </c>
      <c r="G15" s="55">
        <f t="shared" si="0"/>
        <v>30</v>
      </c>
      <c r="H15" s="57">
        <f t="shared" si="1"/>
        <v>44665</v>
      </c>
      <c r="I15" s="143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41" t="str">
        <f>IFERROR(Inv_SY!O16/Inv_SY!$Q16-1,"")</f>
        <v/>
      </c>
    </row>
    <row r="16" spans="1:21">
      <c r="A16" s="52" t="s">
        <v>208</v>
      </c>
      <c r="B16" s="52">
        <v>4</v>
      </c>
      <c r="C16" s="52">
        <v>2022</v>
      </c>
      <c r="D16" s="52" t="s">
        <v>209</v>
      </c>
      <c r="E16" s="52" t="s">
        <v>209</v>
      </c>
      <c r="F16" s="53">
        <v>44652</v>
      </c>
      <c r="G16" s="52">
        <f t="shared" si="0"/>
        <v>30</v>
      </c>
      <c r="H16" s="54">
        <f t="shared" si="1"/>
        <v>44666</v>
      </c>
      <c r="I16" s="142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41" t="str">
        <f>IFERROR(Inv_SY!O17/Inv_SY!$Q17-1,"")</f>
        <v/>
      </c>
    </row>
    <row r="17" spans="1:21">
      <c r="A17" s="55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56">
        <v>44652</v>
      </c>
      <c r="G17" s="55">
        <f t="shared" si="0"/>
        <v>30</v>
      </c>
      <c r="H17" s="57">
        <f t="shared" si="1"/>
        <v>44667</v>
      </c>
      <c r="I17" s="143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41" t="str">
        <f>IFERROR(Inv_SY!O18/Inv_SY!$Q18-1,"")</f>
        <v/>
      </c>
    </row>
    <row r="18" spans="1:21">
      <c r="A18" s="52" t="s">
        <v>208</v>
      </c>
      <c r="B18" s="52">
        <v>4</v>
      </c>
      <c r="C18" s="52">
        <v>2022</v>
      </c>
      <c r="D18" s="52" t="s">
        <v>209</v>
      </c>
      <c r="E18" s="52" t="s">
        <v>209</v>
      </c>
      <c r="F18" s="53">
        <v>44652</v>
      </c>
      <c r="G18" s="52">
        <f t="shared" si="0"/>
        <v>30</v>
      </c>
      <c r="H18" s="54">
        <f t="shared" si="1"/>
        <v>44668</v>
      </c>
      <c r="I18" s="142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41" t="str">
        <f>IFERROR(Inv_SY!O19/Inv_SY!$Q19-1,"")</f>
        <v/>
      </c>
    </row>
    <row r="19" spans="1:21">
      <c r="A19" s="55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56">
        <v>44652</v>
      </c>
      <c r="G19" s="55">
        <f t="shared" si="0"/>
        <v>30</v>
      </c>
      <c r="H19" s="57">
        <f t="shared" si="1"/>
        <v>44669</v>
      </c>
      <c r="I19" s="143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41" t="str">
        <f>IFERROR(Inv_SY!O20/Inv_SY!$Q20-1,"")</f>
        <v/>
      </c>
    </row>
    <row r="20" spans="1:21">
      <c r="A20" s="52" t="s">
        <v>208</v>
      </c>
      <c r="B20" s="52">
        <v>4</v>
      </c>
      <c r="C20" s="52">
        <v>2022</v>
      </c>
      <c r="D20" s="52" t="s">
        <v>209</v>
      </c>
      <c r="E20" s="52" t="s">
        <v>209</v>
      </c>
      <c r="F20" s="53">
        <v>44652</v>
      </c>
      <c r="G20" s="52">
        <f t="shared" si="0"/>
        <v>30</v>
      </c>
      <c r="H20" s="54">
        <f t="shared" si="1"/>
        <v>44670</v>
      </c>
      <c r="I20" s="142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41" t="str">
        <f>IFERROR(Inv_SY!O21/Inv_SY!$Q21-1,"")</f>
        <v/>
      </c>
    </row>
    <row r="21" spans="1:21">
      <c r="A21" s="55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56">
        <v>44652</v>
      </c>
      <c r="G21" s="55">
        <f t="shared" si="0"/>
        <v>30</v>
      </c>
      <c r="H21" s="57">
        <f t="shared" si="1"/>
        <v>44671</v>
      </c>
      <c r="I21" s="143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41" t="str">
        <f>IFERROR(Inv_SY!O22/Inv_SY!$Q22-1,"")</f>
        <v/>
      </c>
    </row>
    <row r="22" spans="1:21">
      <c r="A22" s="52" t="s">
        <v>208</v>
      </c>
      <c r="B22" s="52">
        <v>4</v>
      </c>
      <c r="C22" s="52">
        <v>2022</v>
      </c>
      <c r="D22" s="52" t="s">
        <v>209</v>
      </c>
      <c r="E22" s="52" t="s">
        <v>209</v>
      </c>
      <c r="F22" s="53">
        <v>44652</v>
      </c>
      <c r="G22" s="52">
        <f t="shared" si="0"/>
        <v>30</v>
      </c>
      <c r="H22" s="54">
        <f t="shared" si="1"/>
        <v>44672</v>
      </c>
      <c r="I22" s="142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41" t="str">
        <f>IFERROR(Inv_SY!O23/Inv_SY!$Q23-1,"")</f>
        <v/>
      </c>
    </row>
    <row r="23" spans="1:21">
      <c r="A23" s="55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56">
        <v>44652</v>
      </c>
      <c r="G23" s="55">
        <f t="shared" si="0"/>
        <v>30</v>
      </c>
      <c r="H23" s="57">
        <f t="shared" si="1"/>
        <v>44673</v>
      </c>
      <c r="I23" s="143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41" t="str">
        <f>IFERROR(Inv_SY!O24/Inv_SY!$Q24-1,"")</f>
        <v/>
      </c>
    </row>
    <row r="24" spans="1:21">
      <c r="A24" s="52" t="s">
        <v>208</v>
      </c>
      <c r="B24" s="52">
        <v>4</v>
      </c>
      <c r="C24" s="52">
        <v>2022</v>
      </c>
      <c r="D24" s="52" t="s">
        <v>209</v>
      </c>
      <c r="E24" s="52" t="s">
        <v>209</v>
      </c>
      <c r="F24" s="53">
        <v>44652</v>
      </c>
      <c r="G24" s="52">
        <f t="shared" si="0"/>
        <v>30</v>
      </c>
      <c r="H24" s="54">
        <f t="shared" si="1"/>
        <v>44674</v>
      </c>
      <c r="I24" s="142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41" t="str">
        <f>IFERROR(Inv_SY!O25/Inv_SY!$Q25-1,"")</f>
        <v/>
      </c>
    </row>
    <row r="25" spans="1:21">
      <c r="A25" s="55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56">
        <v>44652</v>
      </c>
      <c r="G25" s="55">
        <f t="shared" si="0"/>
        <v>30</v>
      </c>
      <c r="H25" s="57">
        <f t="shared" si="1"/>
        <v>44675</v>
      </c>
      <c r="I25" s="143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41" t="str">
        <f>IFERROR(Inv_SY!O26/Inv_SY!$Q26-1,"")</f>
        <v/>
      </c>
    </row>
    <row r="26" spans="1:21">
      <c r="A26" s="52" t="s">
        <v>208</v>
      </c>
      <c r="B26" s="52">
        <v>4</v>
      </c>
      <c r="C26" s="52">
        <v>2022</v>
      </c>
      <c r="D26" s="52" t="s">
        <v>209</v>
      </c>
      <c r="E26" s="52" t="s">
        <v>209</v>
      </c>
      <c r="F26" s="53">
        <v>44652</v>
      </c>
      <c r="G26" s="52">
        <f t="shared" si="0"/>
        <v>30</v>
      </c>
      <c r="H26" s="54">
        <f t="shared" si="1"/>
        <v>44676</v>
      </c>
      <c r="I26" s="142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41" t="str">
        <f>IFERROR(Inv_SY!O27/Inv_SY!$Q27-1,"")</f>
        <v/>
      </c>
    </row>
    <row r="27" spans="1:21">
      <c r="A27" s="55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56">
        <v>44652</v>
      </c>
      <c r="G27" s="55">
        <f t="shared" si="0"/>
        <v>30</v>
      </c>
      <c r="H27" s="57">
        <f t="shared" si="1"/>
        <v>44677</v>
      </c>
      <c r="I27" s="143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41" t="str">
        <f>IFERROR(Inv_SY!O28/Inv_SY!$Q28-1,"")</f>
        <v/>
      </c>
    </row>
    <row r="28" spans="1:21">
      <c r="A28" s="52" t="s">
        <v>208</v>
      </c>
      <c r="B28" s="52">
        <v>4</v>
      </c>
      <c r="C28" s="52">
        <v>2022</v>
      </c>
      <c r="D28" s="52" t="s">
        <v>209</v>
      </c>
      <c r="E28" s="52" t="s">
        <v>209</v>
      </c>
      <c r="F28" s="53">
        <v>44652</v>
      </c>
      <c r="G28" s="52">
        <f t="shared" si="0"/>
        <v>30</v>
      </c>
      <c r="H28" s="54">
        <f t="shared" si="1"/>
        <v>44678</v>
      </c>
      <c r="I28" s="142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41" t="str">
        <f>IFERROR(Inv_SY!O29/Inv_SY!$Q29-1,"")</f>
        <v/>
      </c>
    </row>
    <row r="29" spans="1:21">
      <c r="A29" s="55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56">
        <v>44652</v>
      </c>
      <c r="G29" s="55">
        <f t="shared" si="0"/>
        <v>30</v>
      </c>
      <c r="H29" s="57">
        <f t="shared" si="1"/>
        <v>44679</v>
      </c>
      <c r="I29" s="143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41" t="str">
        <f>IFERROR(Inv_SY!O30/Inv_SY!$Q30-1,"")</f>
        <v/>
      </c>
    </row>
    <row r="30" spans="1:21">
      <c r="A30" s="52" t="s">
        <v>208</v>
      </c>
      <c r="B30" s="52">
        <v>4</v>
      </c>
      <c r="C30" s="52">
        <v>2022</v>
      </c>
      <c r="D30" s="52" t="s">
        <v>209</v>
      </c>
      <c r="E30" s="52" t="s">
        <v>209</v>
      </c>
      <c r="F30" s="53">
        <v>44652</v>
      </c>
      <c r="G30" s="52">
        <f t="shared" si="0"/>
        <v>30</v>
      </c>
      <c r="H30" s="54">
        <f t="shared" si="1"/>
        <v>44680</v>
      </c>
      <c r="I30" s="142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41" t="str">
        <f>IFERROR(Inv_SY!O31/Inv_SY!$Q31-1,"")</f>
        <v/>
      </c>
    </row>
    <row r="31" spans="1:21">
      <c r="A31" s="55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56">
        <v>44652</v>
      </c>
      <c r="G31" s="55">
        <f t="shared" si="0"/>
        <v>30</v>
      </c>
      <c r="H31" s="57">
        <f t="shared" si="1"/>
        <v>44681</v>
      </c>
      <c r="I31" s="143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41" t="str">
        <f>IFERROR(Inv_SY!O32/Inv_SY!$Q32-1,"")</f>
        <v/>
      </c>
    </row>
    <row r="32" spans="1:21">
      <c r="A32" s="52" t="s">
        <v>208</v>
      </c>
      <c r="B32" s="52">
        <v>4</v>
      </c>
      <c r="C32" s="52">
        <v>2022</v>
      </c>
      <c r="D32" s="52" t="s">
        <v>209</v>
      </c>
      <c r="E32" s="52" t="s">
        <v>209</v>
      </c>
      <c r="F32" s="58">
        <v>44682</v>
      </c>
      <c r="G32" s="52">
        <f t="shared" si="0"/>
        <v>31</v>
      </c>
      <c r="H32" s="54">
        <f t="shared" si="1"/>
        <v>44682</v>
      </c>
      <c r="I32" s="142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41" t="str">
        <f>IFERROR(Inv_SY!O33/Inv_SY!$Q33-1,"")</f>
        <v/>
      </c>
    </row>
    <row r="33" spans="1:21">
      <c r="A33" s="55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59">
        <v>44682</v>
      </c>
      <c r="G33" s="55">
        <f t="shared" si="0"/>
        <v>31</v>
      </c>
      <c r="H33" s="57">
        <f t="shared" si="1"/>
        <v>44683</v>
      </c>
      <c r="I33" s="143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41" t="str">
        <f>IFERROR(Inv_SY!O34/Inv_SY!$Q34-1,"")</f>
        <v/>
      </c>
    </row>
    <row r="34" spans="1:21">
      <c r="A34" s="52" t="s">
        <v>208</v>
      </c>
      <c r="B34" s="52">
        <v>4</v>
      </c>
      <c r="C34" s="52">
        <v>2022</v>
      </c>
      <c r="D34" s="52" t="s">
        <v>209</v>
      </c>
      <c r="E34" s="52" t="s">
        <v>209</v>
      </c>
      <c r="F34" s="58">
        <v>44682</v>
      </c>
      <c r="G34" s="52">
        <f t="shared" si="0"/>
        <v>31</v>
      </c>
      <c r="H34" s="54">
        <f t="shared" si="1"/>
        <v>44684</v>
      </c>
      <c r="I34" s="142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41" t="str">
        <f>IFERROR(Inv_SY!O35/Inv_SY!$Q35-1,"")</f>
        <v/>
      </c>
    </row>
    <row r="35" spans="1:21">
      <c r="A35" s="55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59">
        <v>44682</v>
      </c>
      <c r="G35" s="55">
        <f t="shared" si="0"/>
        <v>31</v>
      </c>
      <c r="H35" s="57">
        <f t="shared" si="1"/>
        <v>44685</v>
      </c>
      <c r="I35" s="143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41" t="str">
        <f>IFERROR(Inv_SY!O36/Inv_SY!$Q36-1,"")</f>
        <v/>
      </c>
    </row>
    <row r="36" spans="1:21">
      <c r="A36" s="52" t="s">
        <v>208</v>
      </c>
      <c r="B36" s="52">
        <v>4</v>
      </c>
      <c r="C36" s="52">
        <v>2022</v>
      </c>
      <c r="D36" s="52" t="s">
        <v>209</v>
      </c>
      <c r="E36" s="52" t="s">
        <v>209</v>
      </c>
      <c r="F36" s="58">
        <v>44682</v>
      </c>
      <c r="G36" s="52">
        <f t="shared" si="0"/>
        <v>31</v>
      </c>
      <c r="H36" s="54">
        <f t="shared" si="1"/>
        <v>44686</v>
      </c>
      <c r="I36" s="142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41" t="str">
        <f>IFERROR(Inv_SY!O37/Inv_SY!$Q37-1,"")</f>
        <v/>
      </c>
    </row>
    <row r="37" spans="1:21">
      <c r="A37" s="55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59">
        <v>44682</v>
      </c>
      <c r="G37" s="55">
        <f t="shared" si="0"/>
        <v>31</v>
      </c>
      <c r="H37" s="57">
        <f t="shared" si="1"/>
        <v>44687</v>
      </c>
      <c r="I37" s="143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41" t="str">
        <f>IFERROR(Inv_SY!O38/Inv_SY!$Q38-1,"")</f>
        <v/>
      </c>
    </row>
    <row r="38" spans="1:21">
      <c r="A38" s="52" t="s">
        <v>208</v>
      </c>
      <c r="B38" s="52">
        <v>4</v>
      </c>
      <c r="C38" s="52">
        <v>2022</v>
      </c>
      <c r="D38" s="52" t="s">
        <v>209</v>
      </c>
      <c r="E38" s="52" t="s">
        <v>209</v>
      </c>
      <c r="F38" s="58">
        <v>44682</v>
      </c>
      <c r="G38" s="52">
        <f t="shared" si="0"/>
        <v>31</v>
      </c>
      <c r="H38" s="54">
        <f t="shared" si="1"/>
        <v>44688</v>
      </c>
      <c r="I38" s="142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41" t="str">
        <f>IFERROR(Inv_SY!O39/Inv_SY!$Q39-1,"")</f>
        <v/>
      </c>
    </row>
    <row r="39" spans="1:21">
      <c r="A39" s="55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59">
        <v>44682</v>
      </c>
      <c r="G39" s="55">
        <f t="shared" si="0"/>
        <v>31</v>
      </c>
      <c r="H39" s="57">
        <f t="shared" si="1"/>
        <v>44689</v>
      </c>
      <c r="I39" s="143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41" t="str">
        <f>IFERROR(Inv_SY!O40/Inv_SY!$Q40-1,"")</f>
        <v/>
      </c>
    </row>
    <row r="40" spans="1:21">
      <c r="A40" s="52" t="s">
        <v>208</v>
      </c>
      <c r="B40" s="52">
        <v>4</v>
      </c>
      <c r="C40" s="52">
        <v>2022</v>
      </c>
      <c r="D40" s="52" t="s">
        <v>209</v>
      </c>
      <c r="E40" s="52" t="s">
        <v>209</v>
      </c>
      <c r="F40" s="58">
        <v>44682</v>
      </c>
      <c r="G40" s="52">
        <f t="shared" si="0"/>
        <v>31</v>
      </c>
      <c r="H40" s="54">
        <f t="shared" si="1"/>
        <v>44690</v>
      </c>
      <c r="I40" s="142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41" t="str">
        <f>IFERROR(Inv_SY!O41/Inv_SY!$Q41-1,"")</f>
        <v/>
      </c>
    </row>
    <row r="41" spans="1:21">
      <c r="A41" s="55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59">
        <v>44682</v>
      </c>
      <c r="G41" s="55">
        <f t="shared" si="0"/>
        <v>31</v>
      </c>
      <c r="H41" s="57">
        <f t="shared" si="1"/>
        <v>44691</v>
      </c>
      <c r="I41" s="143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41" t="str">
        <f>IFERROR(Inv_SY!O42/Inv_SY!$Q42-1,"")</f>
        <v/>
      </c>
    </row>
    <row r="42" spans="1:21">
      <c r="A42" s="52" t="s">
        <v>208</v>
      </c>
      <c r="B42" s="52">
        <v>4</v>
      </c>
      <c r="C42" s="52">
        <v>2022</v>
      </c>
      <c r="D42" s="52" t="s">
        <v>209</v>
      </c>
      <c r="E42" s="52" t="s">
        <v>209</v>
      </c>
      <c r="F42" s="58">
        <v>44682</v>
      </c>
      <c r="G42" s="52">
        <f t="shared" si="0"/>
        <v>31</v>
      </c>
      <c r="H42" s="54">
        <f t="shared" si="1"/>
        <v>44692</v>
      </c>
      <c r="I42" s="142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41" t="str">
        <f>IFERROR(Inv_SY!O43/Inv_SY!$Q43-1,"")</f>
        <v/>
      </c>
    </row>
    <row r="43" spans="1:21">
      <c r="A43" s="55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59">
        <v>44682</v>
      </c>
      <c r="G43" s="55">
        <f t="shared" si="0"/>
        <v>31</v>
      </c>
      <c r="H43" s="57">
        <f t="shared" si="1"/>
        <v>44693</v>
      </c>
      <c r="I43" s="143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41" t="str">
        <f>IFERROR(Inv_SY!O44/Inv_SY!$Q44-1,"")</f>
        <v/>
      </c>
    </row>
    <row r="44" spans="1:21">
      <c r="A44" s="52" t="s">
        <v>208</v>
      </c>
      <c r="B44" s="52">
        <v>4</v>
      </c>
      <c r="C44" s="52">
        <v>2022</v>
      </c>
      <c r="D44" s="52" t="s">
        <v>209</v>
      </c>
      <c r="E44" s="52" t="s">
        <v>209</v>
      </c>
      <c r="F44" s="58">
        <v>44682</v>
      </c>
      <c r="G44" s="52">
        <f t="shared" si="0"/>
        <v>31</v>
      </c>
      <c r="H44" s="54">
        <f t="shared" si="1"/>
        <v>44694</v>
      </c>
      <c r="I44" s="142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41" t="str">
        <f>IFERROR(Inv_SY!O45/Inv_SY!$Q45-1,"")</f>
        <v/>
      </c>
    </row>
    <row r="45" spans="1:21">
      <c r="A45" s="55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59">
        <v>44682</v>
      </c>
      <c r="G45" s="55">
        <f t="shared" si="0"/>
        <v>31</v>
      </c>
      <c r="H45" s="57">
        <f t="shared" si="1"/>
        <v>44695</v>
      </c>
      <c r="I45" s="143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41" t="str">
        <f>IFERROR(Inv_SY!O46/Inv_SY!$Q46-1,"")</f>
        <v/>
      </c>
    </row>
    <row r="46" spans="1:21">
      <c r="A46" s="52" t="s">
        <v>208</v>
      </c>
      <c r="B46" s="52">
        <v>4</v>
      </c>
      <c r="C46" s="52">
        <v>2022</v>
      </c>
      <c r="D46" s="52" t="s">
        <v>209</v>
      </c>
      <c r="E46" s="52" t="s">
        <v>209</v>
      </c>
      <c r="F46" s="58">
        <v>44682</v>
      </c>
      <c r="G46" s="52">
        <f t="shared" si="0"/>
        <v>31</v>
      </c>
      <c r="H46" s="54">
        <f t="shared" si="1"/>
        <v>44696</v>
      </c>
      <c r="I46" s="142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41" t="str">
        <f>IFERROR(Inv_SY!O47/Inv_SY!$Q47-1,"")</f>
        <v/>
      </c>
    </row>
    <row r="47" spans="1:21">
      <c r="A47" s="55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59">
        <v>44682</v>
      </c>
      <c r="G47" s="55">
        <f t="shared" si="0"/>
        <v>31</v>
      </c>
      <c r="H47" s="57">
        <f t="shared" si="1"/>
        <v>44697</v>
      </c>
      <c r="I47" s="143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41" t="str">
        <f>IFERROR(Inv_SY!O48/Inv_SY!$Q48-1,"")</f>
        <v/>
      </c>
    </row>
    <row r="48" spans="1:21">
      <c r="A48" s="52" t="s">
        <v>208</v>
      </c>
      <c r="B48" s="52">
        <v>4</v>
      </c>
      <c r="C48" s="52">
        <v>2022</v>
      </c>
      <c r="D48" s="52" t="s">
        <v>209</v>
      </c>
      <c r="E48" s="52" t="s">
        <v>209</v>
      </c>
      <c r="F48" s="58">
        <v>44682</v>
      </c>
      <c r="G48" s="52">
        <f t="shared" si="0"/>
        <v>31</v>
      </c>
      <c r="H48" s="54">
        <f t="shared" si="1"/>
        <v>44698</v>
      </c>
      <c r="I48" s="142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41" t="str">
        <f>IFERROR(Inv_SY!O49/Inv_SY!$Q49-1,"")</f>
        <v/>
      </c>
    </row>
    <row r="49" spans="1:21">
      <c r="A49" s="55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59">
        <v>44682</v>
      </c>
      <c r="G49" s="55">
        <f t="shared" si="0"/>
        <v>31</v>
      </c>
      <c r="H49" s="57">
        <f t="shared" si="1"/>
        <v>44699</v>
      </c>
      <c r="I49" s="143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41" t="str">
        <f>IFERROR(Inv_SY!O50/Inv_SY!$Q50-1,"")</f>
        <v/>
      </c>
    </row>
    <row r="50" spans="1:21">
      <c r="A50" s="52" t="s">
        <v>208</v>
      </c>
      <c r="B50" s="52">
        <v>4</v>
      </c>
      <c r="C50" s="52">
        <v>2022</v>
      </c>
      <c r="D50" s="52" t="s">
        <v>209</v>
      </c>
      <c r="E50" s="52" t="s">
        <v>209</v>
      </c>
      <c r="F50" s="58">
        <v>44682</v>
      </c>
      <c r="G50" s="52">
        <f t="shared" si="0"/>
        <v>31</v>
      </c>
      <c r="H50" s="54">
        <f t="shared" si="1"/>
        <v>44700</v>
      </c>
      <c r="I50" s="142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41" t="str">
        <f>IFERROR(Inv_SY!O51/Inv_SY!$Q51-1,"")</f>
        <v/>
      </c>
    </row>
    <row r="51" spans="1:21">
      <c r="A51" s="55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59">
        <v>44682</v>
      </c>
      <c r="G51" s="55">
        <f t="shared" si="0"/>
        <v>31</v>
      </c>
      <c r="H51" s="57">
        <f t="shared" si="1"/>
        <v>44701</v>
      </c>
      <c r="I51" s="143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41" t="str">
        <f>IFERROR(Inv_SY!O52/Inv_SY!$Q52-1,"")</f>
        <v/>
      </c>
    </row>
    <row r="52" spans="1:21">
      <c r="A52" s="52" t="s">
        <v>208</v>
      </c>
      <c r="B52" s="52">
        <v>4</v>
      </c>
      <c r="C52" s="52">
        <v>2022</v>
      </c>
      <c r="D52" s="52" t="s">
        <v>209</v>
      </c>
      <c r="E52" s="52" t="s">
        <v>209</v>
      </c>
      <c r="F52" s="58">
        <v>44682</v>
      </c>
      <c r="G52" s="52">
        <f t="shared" si="0"/>
        <v>31</v>
      </c>
      <c r="H52" s="54">
        <f t="shared" si="1"/>
        <v>44702</v>
      </c>
      <c r="I52" s="142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41" t="str">
        <f>IFERROR(Inv_SY!O53/Inv_SY!$Q53-1,"")</f>
        <v/>
      </c>
    </row>
    <row r="53" spans="1:21">
      <c r="A53" s="55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59">
        <v>44682</v>
      </c>
      <c r="G53" s="55">
        <f t="shared" si="0"/>
        <v>31</v>
      </c>
      <c r="H53" s="57">
        <f t="shared" si="1"/>
        <v>44703</v>
      </c>
      <c r="I53" s="143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41" t="str">
        <f>IFERROR(Inv_SY!O54/Inv_SY!$Q54-1,"")</f>
        <v/>
      </c>
    </row>
    <row r="54" spans="1:21">
      <c r="A54" s="52" t="s">
        <v>208</v>
      </c>
      <c r="B54" s="52">
        <v>4</v>
      </c>
      <c r="C54" s="52">
        <v>2022</v>
      </c>
      <c r="D54" s="52" t="s">
        <v>209</v>
      </c>
      <c r="E54" s="52" t="s">
        <v>209</v>
      </c>
      <c r="F54" s="58">
        <v>44682</v>
      </c>
      <c r="G54" s="52">
        <f t="shared" si="0"/>
        <v>31</v>
      </c>
      <c r="H54" s="54">
        <f t="shared" si="1"/>
        <v>44704</v>
      </c>
      <c r="I54" s="142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41" t="str">
        <f>IFERROR(Inv_SY!O55/Inv_SY!$Q55-1,"")</f>
        <v/>
      </c>
    </row>
    <row r="55" spans="1:21">
      <c r="A55" s="55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59">
        <v>44682</v>
      </c>
      <c r="G55" s="55">
        <f t="shared" si="0"/>
        <v>31</v>
      </c>
      <c r="H55" s="57">
        <f t="shared" si="1"/>
        <v>44705</v>
      </c>
      <c r="I55" s="143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41" t="str">
        <f>IFERROR(Inv_SY!O56/Inv_SY!$Q56-1,"")</f>
        <v/>
      </c>
    </row>
    <row r="56" spans="1:21">
      <c r="A56" s="52" t="s">
        <v>208</v>
      </c>
      <c r="B56" s="52">
        <v>4</v>
      </c>
      <c r="C56" s="52">
        <v>2022</v>
      </c>
      <c r="D56" s="52" t="s">
        <v>209</v>
      </c>
      <c r="E56" s="52" t="s">
        <v>209</v>
      </c>
      <c r="F56" s="58">
        <v>44682</v>
      </c>
      <c r="G56" s="52">
        <f t="shared" si="0"/>
        <v>31</v>
      </c>
      <c r="H56" s="54">
        <f t="shared" si="1"/>
        <v>44706</v>
      </c>
      <c r="I56" s="142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41" t="str">
        <f>IFERROR(Inv_SY!O57/Inv_SY!$Q57-1,"")</f>
        <v/>
      </c>
    </row>
    <row r="57" spans="1:21">
      <c r="A57" s="55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59">
        <v>44682</v>
      </c>
      <c r="G57" s="55">
        <f t="shared" si="0"/>
        <v>31</v>
      </c>
      <c r="H57" s="57">
        <f t="shared" si="1"/>
        <v>44707</v>
      </c>
      <c r="I57" s="143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41" t="str">
        <f>IFERROR(Inv_SY!O58/Inv_SY!$Q58-1,"")</f>
        <v/>
      </c>
    </row>
    <row r="58" spans="1:21">
      <c r="A58" s="52" t="s">
        <v>208</v>
      </c>
      <c r="B58" s="52">
        <v>4</v>
      </c>
      <c r="C58" s="52">
        <v>2022</v>
      </c>
      <c r="D58" s="52" t="s">
        <v>209</v>
      </c>
      <c r="E58" s="52" t="s">
        <v>209</v>
      </c>
      <c r="F58" s="58">
        <v>44682</v>
      </c>
      <c r="G58" s="52">
        <f t="shared" si="0"/>
        <v>31</v>
      </c>
      <c r="H58" s="54">
        <f t="shared" si="1"/>
        <v>44708</v>
      </c>
      <c r="I58" s="142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41" t="str">
        <f>IFERROR(Inv_SY!O59/Inv_SY!$Q59-1,"")</f>
        <v/>
      </c>
    </row>
    <row r="59" spans="1:21">
      <c r="A59" s="55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59">
        <v>44682</v>
      </c>
      <c r="G59" s="55">
        <f t="shared" si="0"/>
        <v>31</v>
      </c>
      <c r="H59" s="57">
        <f t="shared" si="1"/>
        <v>44709</v>
      </c>
      <c r="I59" s="143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41" t="str">
        <f>IFERROR(Inv_SY!O60/Inv_SY!$Q60-1,"")</f>
        <v/>
      </c>
    </row>
    <row r="60" spans="1:21">
      <c r="A60" s="52" t="s">
        <v>208</v>
      </c>
      <c r="B60" s="52">
        <v>4</v>
      </c>
      <c r="C60" s="52">
        <v>2022</v>
      </c>
      <c r="D60" s="52" t="s">
        <v>209</v>
      </c>
      <c r="E60" s="52" t="s">
        <v>209</v>
      </c>
      <c r="F60" s="58">
        <v>44682</v>
      </c>
      <c r="G60" s="52">
        <f t="shared" si="0"/>
        <v>31</v>
      </c>
      <c r="H60" s="54">
        <f t="shared" si="1"/>
        <v>44710</v>
      </c>
      <c r="I60" s="142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41" t="str">
        <f>IFERROR(Inv_SY!O61/Inv_SY!$Q61-1,"")</f>
        <v/>
      </c>
    </row>
    <row r="61" spans="1:21">
      <c r="A61" s="55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59">
        <v>44682</v>
      </c>
      <c r="G61" s="55">
        <f t="shared" si="0"/>
        <v>31</v>
      </c>
      <c r="H61" s="57">
        <f t="shared" si="1"/>
        <v>44711</v>
      </c>
      <c r="I61" s="143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41" t="str">
        <f>IFERROR(Inv_SY!O62/Inv_SY!$Q62-1,"")</f>
        <v/>
      </c>
    </row>
    <row r="62" spans="1:21">
      <c r="A62" s="52" t="s">
        <v>208</v>
      </c>
      <c r="B62" s="52">
        <v>4</v>
      </c>
      <c r="C62" s="52">
        <v>2022</v>
      </c>
      <c r="D62" s="52" t="s">
        <v>209</v>
      </c>
      <c r="E62" s="52" t="s">
        <v>209</v>
      </c>
      <c r="F62" s="58">
        <v>44682</v>
      </c>
      <c r="G62" s="52">
        <f t="shared" si="0"/>
        <v>31</v>
      </c>
      <c r="H62" s="54">
        <f t="shared" si="1"/>
        <v>44712</v>
      </c>
      <c r="I62" s="142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41" t="str">
        <f>IFERROR(Inv_SY!O63/Inv_SY!$Q63-1,"")</f>
        <v/>
      </c>
    </row>
    <row r="63" spans="1:21">
      <c r="A63" s="55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59">
        <v>44713</v>
      </c>
      <c r="G63" s="55">
        <f t="shared" si="0"/>
        <v>30</v>
      </c>
      <c r="H63" s="57">
        <f t="shared" si="1"/>
        <v>44713</v>
      </c>
      <c r="I63" s="143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41" t="str">
        <f>IFERROR(Inv_SY!O64/Inv_SY!$Q64-1,"")</f>
        <v/>
      </c>
    </row>
    <row r="64" spans="1:21">
      <c r="A64" s="52" t="s">
        <v>208</v>
      </c>
      <c r="B64" s="52">
        <v>4</v>
      </c>
      <c r="C64" s="52">
        <v>2022</v>
      </c>
      <c r="D64" s="52" t="s">
        <v>209</v>
      </c>
      <c r="E64" s="52" t="s">
        <v>209</v>
      </c>
      <c r="F64" s="58">
        <v>44713</v>
      </c>
      <c r="G64" s="52">
        <f t="shared" si="0"/>
        <v>30</v>
      </c>
      <c r="H64" s="54">
        <f t="shared" si="1"/>
        <v>44714</v>
      </c>
      <c r="I64" s="142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41" t="str">
        <f>IFERROR(Inv_SY!O65/Inv_SY!$Q65-1,"")</f>
        <v/>
      </c>
    </row>
    <row r="65" spans="1:21">
      <c r="A65" s="55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59">
        <v>44713</v>
      </c>
      <c r="G65" s="55">
        <f t="shared" si="0"/>
        <v>30</v>
      </c>
      <c r="H65" s="57">
        <f t="shared" si="1"/>
        <v>44715</v>
      </c>
      <c r="I65" s="143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41" t="str">
        <f>IFERROR(Inv_SY!O66/Inv_SY!$Q66-1,"")</f>
        <v/>
      </c>
    </row>
    <row r="66" spans="1:21">
      <c r="A66" s="52" t="s">
        <v>208</v>
      </c>
      <c r="B66" s="52">
        <v>4</v>
      </c>
      <c r="C66" s="52">
        <v>2022</v>
      </c>
      <c r="D66" s="52" t="s">
        <v>209</v>
      </c>
      <c r="E66" s="52" t="s">
        <v>209</v>
      </c>
      <c r="F66" s="58">
        <v>44713</v>
      </c>
      <c r="G66" s="52">
        <f t="shared" si="0"/>
        <v>30</v>
      </c>
      <c r="H66" s="54">
        <f t="shared" si="1"/>
        <v>44716</v>
      </c>
      <c r="I66" s="142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41" t="str">
        <f>IFERROR(Inv_SY!O67/Inv_SY!$Q67-1,"")</f>
        <v/>
      </c>
    </row>
    <row r="67" spans="1:21">
      <c r="A67" s="55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59">
        <v>44713</v>
      </c>
      <c r="G67" s="55">
        <f t="shared" ref="G67:G130" si="2">DAY(EOMONTH(F67,0))</f>
        <v>30</v>
      </c>
      <c r="H67" s="57">
        <f t="shared" si="1"/>
        <v>44717</v>
      </c>
      <c r="I67" s="143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41" t="str">
        <f>IFERROR(Inv_SY!O68/Inv_SY!$Q68-1,"")</f>
        <v/>
      </c>
    </row>
    <row r="68" spans="1:21">
      <c r="A68" s="52" t="s">
        <v>208</v>
      </c>
      <c r="B68" s="52">
        <v>4</v>
      </c>
      <c r="C68" s="52">
        <v>2022</v>
      </c>
      <c r="D68" s="52" t="s">
        <v>209</v>
      </c>
      <c r="E68" s="52" t="s">
        <v>209</v>
      </c>
      <c r="F68" s="58">
        <v>44713</v>
      </c>
      <c r="G68" s="52">
        <f t="shared" si="2"/>
        <v>30</v>
      </c>
      <c r="H68" s="54">
        <f t="shared" ref="H68:H131" si="3">H67+1</f>
        <v>44718</v>
      </c>
      <c r="I68" s="142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41" t="str">
        <f>IFERROR(Inv_SY!O69/Inv_SY!$Q69-1,"")</f>
        <v/>
      </c>
    </row>
    <row r="69" spans="1:21">
      <c r="A69" s="55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59">
        <v>44713</v>
      </c>
      <c r="G69" s="55">
        <f t="shared" si="2"/>
        <v>30</v>
      </c>
      <c r="H69" s="57">
        <f t="shared" si="3"/>
        <v>44719</v>
      </c>
      <c r="I69" s="143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41" t="str">
        <f>IFERROR(Inv_SY!O70/Inv_SY!$Q70-1,"")</f>
        <v/>
      </c>
    </row>
    <row r="70" spans="1:21">
      <c r="A70" s="52" t="s">
        <v>208</v>
      </c>
      <c r="B70" s="52">
        <v>4</v>
      </c>
      <c r="C70" s="52">
        <v>2022</v>
      </c>
      <c r="D70" s="52" t="s">
        <v>209</v>
      </c>
      <c r="E70" s="52" t="s">
        <v>209</v>
      </c>
      <c r="F70" s="58">
        <v>44713</v>
      </c>
      <c r="G70" s="52">
        <f t="shared" si="2"/>
        <v>30</v>
      </c>
      <c r="H70" s="54">
        <f t="shared" si="3"/>
        <v>44720</v>
      </c>
      <c r="I70" s="142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41" t="str">
        <f>IFERROR(Inv_SY!O71/Inv_SY!$Q71-1,"")</f>
        <v/>
      </c>
    </row>
    <row r="71" spans="1:21">
      <c r="A71" s="55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59">
        <v>44713</v>
      </c>
      <c r="G71" s="55">
        <f t="shared" si="2"/>
        <v>30</v>
      </c>
      <c r="H71" s="57">
        <f t="shared" si="3"/>
        <v>44721</v>
      </c>
      <c r="I71" s="143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41" t="str">
        <f>IFERROR(Inv_SY!O72/Inv_SY!$Q72-1,"")</f>
        <v/>
      </c>
    </row>
    <row r="72" spans="1:21">
      <c r="A72" s="52" t="s">
        <v>208</v>
      </c>
      <c r="B72" s="52">
        <v>4</v>
      </c>
      <c r="C72" s="52">
        <v>2022</v>
      </c>
      <c r="D72" s="52" t="s">
        <v>209</v>
      </c>
      <c r="E72" s="52" t="s">
        <v>209</v>
      </c>
      <c r="F72" s="58">
        <v>44713</v>
      </c>
      <c r="G72" s="52">
        <f t="shared" si="2"/>
        <v>30</v>
      </c>
      <c r="H72" s="54">
        <f t="shared" si="3"/>
        <v>44722</v>
      </c>
      <c r="I72" s="142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41" t="str">
        <f>IFERROR(Inv_SY!O73/Inv_SY!$Q73-1,"")</f>
        <v/>
      </c>
    </row>
    <row r="73" spans="1:21">
      <c r="A73" s="55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59">
        <v>44713</v>
      </c>
      <c r="G73" s="55">
        <f t="shared" si="2"/>
        <v>30</v>
      </c>
      <c r="H73" s="57">
        <f t="shared" si="3"/>
        <v>44723</v>
      </c>
      <c r="I73" s="143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41" t="str">
        <f>IFERROR(Inv_SY!O74/Inv_SY!$Q74-1,"")</f>
        <v/>
      </c>
    </row>
    <row r="74" spans="1:21">
      <c r="A74" s="52" t="s">
        <v>208</v>
      </c>
      <c r="B74" s="52">
        <v>4</v>
      </c>
      <c r="C74" s="52">
        <v>2022</v>
      </c>
      <c r="D74" s="52" t="s">
        <v>209</v>
      </c>
      <c r="E74" s="52" t="s">
        <v>209</v>
      </c>
      <c r="F74" s="58">
        <v>44713</v>
      </c>
      <c r="G74" s="52">
        <f t="shared" si="2"/>
        <v>30</v>
      </c>
      <c r="H74" s="54">
        <f t="shared" si="3"/>
        <v>44724</v>
      </c>
      <c r="I74" s="142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41" t="str">
        <f>IFERROR(Inv_SY!O75/Inv_SY!$Q75-1,"")</f>
        <v/>
      </c>
    </row>
    <row r="75" spans="1:21">
      <c r="A75" s="55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59">
        <v>44713</v>
      </c>
      <c r="G75" s="55">
        <f t="shared" si="2"/>
        <v>30</v>
      </c>
      <c r="H75" s="57">
        <f t="shared" si="3"/>
        <v>44725</v>
      </c>
      <c r="I75" s="143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41" t="str">
        <f>IFERROR(Inv_SY!O76/Inv_SY!$Q76-1,"")</f>
        <v/>
      </c>
    </row>
    <row r="76" spans="1:21">
      <c r="A76" s="52" t="s">
        <v>208</v>
      </c>
      <c r="B76" s="52">
        <v>4</v>
      </c>
      <c r="C76" s="52">
        <v>2022</v>
      </c>
      <c r="D76" s="52" t="s">
        <v>209</v>
      </c>
      <c r="E76" s="52" t="s">
        <v>209</v>
      </c>
      <c r="F76" s="58">
        <v>44713</v>
      </c>
      <c r="G76" s="52">
        <f t="shared" si="2"/>
        <v>30</v>
      </c>
      <c r="H76" s="54">
        <f t="shared" si="3"/>
        <v>44726</v>
      </c>
      <c r="I76" s="142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41" t="str">
        <f>IFERROR(Inv_SY!O77/Inv_SY!$Q77-1,"")</f>
        <v/>
      </c>
    </row>
    <row r="77" spans="1:21">
      <c r="A77" s="55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59">
        <v>44713</v>
      </c>
      <c r="G77" s="55">
        <f t="shared" si="2"/>
        <v>30</v>
      </c>
      <c r="H77" s="57">
        <f t="shared" si="3"/>
        <v>44727</v>
      </c>
      <c r="I77" s="143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41" t="str">
        <f>IFERROR(Inv_SY!O78/Inv_SY!$Q78-1,"")</f>
        <v/>
      </c>
    </row>
    <row r="78" spans="1:21">
      <c r="A78" s="52" t="s">
        <v>208</v>
      </c>
      <c r="B78" s="52">
        <v>4</v>
      </c>
      <c r="C78" s="52">
        <v>2022</v>
      </c>
      <c r="D78" s="52" t="s">
        <v>209</v>
      </c>
      <c r="E78" s="52" t="s">
        <v>209</v>
      </c>
      <c r="F78" s="58">
        <v>44713</v>
      </c>
      <c r="G78" s="52">
        <f t="shared" si="2"/>
        <v>30</v>
      </c>
      <c r="H78" s="54">
        <f t="shared" si="3"/>
        <v>44728</v>
      </c>
      <c r="I78" s="142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41" t="str">
        <f>IFERROR(Inv_SY!O79/Inv_SY!$Q79-1,"")</f>
        <v/>
      </c>
    </row>
    <row r="79" spans="1:21">
      <c r="A79" s="55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59">
        <v>44713</v>
      </c>
      <c r="G79" s="55">
        <f t="shared" si="2"/>
        <v>30</v>
      </c>
      <c r="H79" s="57">
        <f t="shared" si="3"/>
        <v>44729</v>
      </c>
      <c r="I79" s="143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41" t="str">
        <f>IFERROR(Inv_SY!O80/Inv_SY!$Q80-1,"")</f>
        <v/>
      </c>
    </row>
    <row r="80" spans="1:21">
      <c r="A80" s="52" t="s">
        <v>208</v>
      </c>
      <c r="B80" s="52">
        <v>4</v>
      </c>
      <c r="C80" s="52">
        <v>2022</v>
      </c>
      <c r="D80" s="52" t="s">
        <v>209</v>
      </c>
      <c r="E80" s="52" t="s">
        <v>209</v>
      </c>
      <c r="F80" s="58">
        <v>44713</v>
      </c>
      <c r="G80" s="52">
        <f t="shared" si="2"/>
        <v>30</v>
      </c>
      <c r="H80" s="54">
        <f t="shared" si="3"/>
        <v>44730</v>
      </c>
      <c r="I80" s="142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41" t="str">
        <f>IFERROR(Inv_SY!O81/Inv_SY!$Q81-1,"")</f>
        <v/>
      </c>
    </row>
    <row r="81" spans="1:21">
      <c r="A81" s="55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59">
        <v>44713</v>
      </c>
      <c r="G81" s="55">
        <f t="shared" si="2"/>
        <v>30</v>
      </c>
      <c r="H81" s="57">
        <f t="shared" si="3"/>
        <v>44731</v>
      </c>
      <c r="I81" s="143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41" t="str">
        <f>IFERROR(Inv_SY!O82/Inv_SY!$Q82-1,"")</f>
        <v/>
      </c>
    </row>
    <row r="82" spans="1:21">
      <c r="A82" s="52" t="s">
        <v>208</v>
      </c>
      <c r="B82" s="52">
        <v>4</v>
      </c>
      <c r="C82" s="52">
        <v>2022</v>
      </c>
      <c r="D82" s="52" t="s">
        <v>209</v>
      </c>
      <c r="E82" s="52" t="s">
        <v>209</v>
      </c>
      <c r="F82" s="58">
        <v>44713</v>
      </c>
      <c r="G82" s="52">
        <f t="shared" si="2"/>
        <v>30</v>
      </c>
      <c r="H82" s="54">
        <f t="shared" si="3"/>
        <v>44732</v>
      </c>
      <c r="I82" s="142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41" t="str">
        <f>IFERROR(Inv_SY!O83/Inv_SY!$Q83-1,"")</f>
        <v/>
      </c>
    </row>
    <row r="83" spans="1:21">
      <c r="A83" s="55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59">
        <v>44713</v>
      </c>
      <c r="G83" s="55">
        <f t="shared" si="2"/>
        <v>30</v>
      </c>
      <c r="H83" s="57">
        <f t="shared" si="3"/>
        <v>44733</v>
      </c>
      <c r="I83" s="143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41" t="str">
        <f>IFERROR(Inv_SY!O84/Inv_SY!$Q84-1,"")</f>
        <v/>
      </c>
    </row>
    <row r="84" spans="1:21">
      <c r="A84" s="52" t="s">
        <v>208</v>
      </c>
      <c r="B84" s="52">
        <v>4</v>
      </c>
      <c r="C84" s="52">
        <v>2022</v>
      </c>
      <c r="D84" s="52" t="s">
        <v>209</v>
      </c>
      <c r="E84" s="52" t="s">
        <v>209</v>
      </c>
      <c r="F84" s="58">
        <v>44713</v>
      </c>
      <c r="G84" s="52">
        <f t="shared" si="2"/>
        <v>30</v>
      </c>
      <c r="H84" s="54">
        <f t="shared" si="3"/>
        <v>44734</v>
      </c>
      <c r="I84" s="142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41" t="str">
        <f>IFERROR(Inv_SY!O85/Inv_SY!$Q85-1,"")</f>
        <v/>
      </c>
    </row>
    <row r="85" spans="1:21">
      <c r="A85" s="55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59">
        <v>44713</v>
      </c>
      <c r="G85" s="55">
        <f t="shared" si="2"/>
        <v>30</v>
      </c>
      <c r="H85" s="57">
        <f t="shared" si="3"/>
        <v>44735</v>
      </c>
      <c r="I85" s="143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41" t="str">
        <f>IFERROR(Inv_SY!O86/Inv_SY!$Q86-1,"")</f>
        <v/>
      </c>
    </row>
    <row r="86" spans="1:21">
      <c r="A86" s="52" t="s">
        <v>208</v>
      </c>
      <c r="B86" s="52">
        <v>4</v>
      </c>
      <c r="C86" s="52">
        <v>2022</v>
      </c>
      <c r="D86" s="52" t="s">
        <v>209</v>
      </c>
      <c r="E86" s="52" t="s">
        <v>209</v>
      </c>
      <c r="F86" s="58">
        <v>44713</v>
      </c>
      <c r="G86" s="52">
        <f t="shared" si="2"/>
        <v>30</v>
      </c>
      <c r="H86" s="54">
        <f t="shared" si="3"/>
        <v>44736</v>
      </c>
      <c r="I86" s="142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41" t="str">
        <f>IFERROR(Inv_SY!O87/Inv_SY!$Q87-1,"")</f>
        <v/>
      </c>
    </row>
    <row r="87" spans="1:21">
      <c r="A87" s="55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59">
        <v>44713</v>
      </c>
      <c r="G87" s="55">
        <f t="shared" si="2"/>
        <v>30</v>
      </c>
      <c r="H87" s="57">
        <f t="shared" si="3"/>
        <v>44737</v>
      </c>
      <c r="I87" s="143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41" t="str">
        <f>IFERROR(Inv_SY!O88/Inv_SY!$Q88-1,"")</f>
        <v/>
      </c>
    </row>
    <row r="88" spans="1:21">
      <c r="A88" s="52" t="s">
        <v>208</v>
      </c>
      <c r="B88" s="52">
        <v>4</v>
      </c>
      <c r="C88" s="52">
        <v>2022</v>
      </c>
      <c r="D88" s="52" t="s">
        <v>209</v>
      </c>
      <c r="E88" s="52" t="s">
        <v>209</v>
      </c>
      <c r="F88" s="58">
        <v>44713</v>
      </c>
      <c r="G88" s="52">
        <f t="shared" si="2"/>
        <v>30</v>
      </c>
      <c r="H88" s="54">
        <f t="shared" si="3"/>
        <v>44738</v>
      </c>
      <c r="I88" s="142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41" t="str">
        <f>IFERROR(Inv_SY!O89/Inv_SY!$Q89-1,"")</f>
        <v/>
      </c>
    </row>
    <row r="89" spans="1:21">
      <c r="A89" s="55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59">
        <v>44713</v>
      </c>
      <c r="G89" s="55">
        <f t="shared" si="2"/>
        <v>30</v>
      </c>
      <c r="H89" s="57">
        <f t="shared" si="3"/>
        <v>44739</v>
      </c>
      <c r="I89" s="143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41" t="str">
        <f>IFERROR(Inv_SY!O90/Inv_SY!$Q90-1,"")</f>
        <v/>
      </c>
    </row>
    <row r="90" spans="1:21">
      <c r="A90" s="52" t="s">
        <v>208</v>
      </c>
      <c r="B90" s="52">
        <v>4</v>
      </c>
      <c r="C90" s="52">
        <v>2022</v>
      </c>
      <c r="D90" s="52" t="s">
        <v>209</v>
      </c>
      <c r="E90" s="52" t="s">
        <v>209</v>
      </c>
      <c r="F90" s="58">
        <v>44713</v>
      </c>
      <c r="G90" s="52">
        <f t="shared" si="2"/>
        <v>30</v>
      </c>
      <c r="H90" s="54">
        <f t="shared" si="3"/>
        <v>44740</v>
      </c>
      <c r="I90" s="142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41" t="str">
        <f>IFERROR(Inv_SY!O91/Inv_SY!$Q91-1,"")</f>
        <v/>
      </c>
    </row>
    <row r="91" spans="1:21">
      <c r="A91" s="55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59">
        <v>44713</v>
      </c>
      <c r="G91" s="55">
        <f t="shared" si="2"/>
        <v>30</v>
      </c>
      <c r="H91" s="57">
        <f t="shared" si="3"/>
        <v>44741</v>
      </c>
      <c r="I91" s="143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41" t="str">
        <f>IFERROR(Inv_SY!O92/Inv_SY!$Q92-1,"")</f>
        <v/>
      </c>
    </row>
    <row r="92" spans="1:21">
      <c r="A92" s="52" t="s">
        <v>208</v>
      </c>
      <c r="B92" s="52">
        <v>4</v>
      </c>
      <c r="C92" s="52">
        <v>2022</v>
      </c>
      <c r="D92" s="52" t="s">
        <v>209</v>
      </c>
      <c r="E92" s="52" t="s">
        <v>209</v>
      </c>
      <c r="F92" s="58">
        <v>44713</v>
      </c>
      <c r="G92" s="52">
        <f t="shared" si="2"/>
        <v>30</v>
      </c>
      <c r="H92" s="54">
        <f t="shared" si="3"/>
        <v>44742</v>
      </c>
      <c r="I92" s="142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41" t="str">
        <f>IFERROR(Inv_SY!O93/Inv_SY!$Q93-1,"")</f>
        <v/>
      </c>
    </row>
    <row r="93" spans="1:21">
      <c r="A93" s="55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59">
        <v>44743</v>
      </c>
      <c r="G93" s="55">
        <f t="shared" si="2"/>
        <v>31</v>
      </c>
      <c r="H93" s="57">
        <f t="shared" si="3"/>
        <v>44743</v>
      </c>
      <c r="I93" s="143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41" t="str">
        <f>IFERROR(Inv_SY!O94/Inv_SY!$Q94-1,"")</f>
        <v/>
      </c>
    </row>
    <row r="94" spans="1:21">
      <c r="A94" s="52" t="s">
        <v>208</v>
      </c>
      <c r="B94" s="52">
        <v>4</v>
      </c>
      <c r="C94" s="52">
        <v>2022</v>
      </c>
      <c r="D94" s="52" t="s">
        <v>209</v>
      </c>
      <c r="E94" s="52" t="s">
        <v>209</v>
      </c>
      <c r="F94" s="58">
        <v>44743</v>
      </c>
      <c r="G94" s="52">
        <f t="shared" si="2"/>
        <v>31</v>
      </c>
      <c r="H94" s="54">
        <f t="shared" si="3"/>
        <v>44744</v>
      </c>
      <c r="I94" s="142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41" t="str">
        <f>IFERROR(Inv_SY!O95/Inv_SY!$Q95-1,"")</f>
        <v/>
      </c>
    </row>
    <row r="95" spans="1:21">
      <c r="A95" s="55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59">
        <v>44743</v>
      </c>
      <c r="G95" s="55">
        <f t="shared" si="2"/>
        <v>31</v>
      </c>
      <c r="H95" s="57">
        <f t="shared" si="3"/>
        <v>44745</v>
      </c>
      <c r="I95" s="143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41" t="str">
        <f>IFERROR(Inv_SY!O96/Inv_SY!$Q96-1,"")</f>
        <v/>
      </c>
    </row>
    <row r="96" spans="1:21">
      <c r="A96" s="52" t="s">
        <v>208</v>
      </c>
      <c r="B96" s="52">
        <v>4</v>
      </c>
      <c r="C96" s="52">
        <v>2022</v>
      </c>
      <c r="D96" s="52" t="s">
        <v>209</v>
      </c>
      <c r="E96" s="52" t="s">
        <v>209</v>
      </c>
      <c r="F96" s="58">
        <v>44743</v>
      </c>
      <c r="G96" s="52">
        <f t="shared" si="2"/>
        <v>31</v>
      </c>
      <c r="H96" s="54">
        <f t="shared" si="3"/>
        <v>44746</v>
      </c>
      <c r="I96" s="142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41" t="str">
        <f>IFERROR(Inv_SY!O97/Inv_SY!$Q97-1,"")</f>
        <v/>
      </c>
    </row>
    <row r="97" spans="1:21">
      <c r="A97" s="55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59">
        <v>44743</v>
      </c>
      <c r="G97" s="55">
        <f t="shared" si="2"/>
        <v>31</v>
      </c>
      <c r="H97" s="57">
        <f t="shared" si="3"/>
        <v>44747</v>
      </c>
      <c r="I97" s="143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41" t="str">
        <f>IFERROR(Inv_SY!O98/Inv_SY!$Q98-1,"")</f>
        <v/>
      </c>
    </row>
    <row r="98" spans="1:21">
      <c r="A98" s="52" t="s">
        <v>208</v>
      </c>
      <c r="B98" s="52">
        <v>4</v>
      </c>
      <c r="C98" s="52">
        <v>2022</v>
      </c>
      <c r="D98" s="52" t="s">
        <v>209</v>
      </c>
      <c r="E98" s="52" t="s">
        <v>209</v>
      </c>
      <c r="F98" s="58">
        <v>44743</v>
      </c>
      <c r="G98" s="52">
        <f t="shared" si="2"/>
        <v>31</v>
      </c>
      <c r="H98" s="54">
        <f t="shared" si="3"/>
        <v>44748</v>
      </c>
      <c r="I98" s="142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41" t="str">
        <f>IFERROR(Inv_SY!O99/Inv_SY!$Q99-1,"")</f>
        <v/>
      </c>
    </row>
    <row r="99" spans="1:21">
      <c r="A99" s="55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59">
        <v>44743</v>
      </c>
      <c r="G99" s="55">
        <f t="shared" si="2"/>
        <v>31</v>
      </c>
      <c r="H99" s="57">
        <f t="shared" si="3"/>
        <v>44749</v>
      </c>
      <c r="I99" s="143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41" t="str">
        <f>IFERROR(Inv_SY!O100/Inv_SY!$Q100-1,"")</f>
        <v/>
      </c>
    </row>
    <row r="100" spans="1:21">
      <c r="A100" s="52" t="s">
        <v>208</v>
      </c>
      <c r="B100" s="52">
        <v>4</v>
      </c>
      <c r="C100" s="52">
        <v>2022</v>
      </c>
      <c r="D100" s="52" t="s">
        <v>209</v>
      </c>
      <c r="E100" s="52" t="s">
        <v>209</v>
      </c>
      <c r="F100" s="58">
        <v>44743</v>
      </c>
      <c r="G100" s="52">
        <f t="shared" si="2"/>
        <v>31</v>
      </c>
      <c r="H100" s="54">
        <f t="shared" si="3"/>
        <v>44750</v>
      </c>
      <c r="I100" s="142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41" t="str">
        <f>IFERROR(Inv_SY!O101/Inv_SY!$Q101-1,"")</f>
        <v/>
      </c>
    </row>
    <row r="101" spans="1:21">
      <c r="A101" s="55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59">
        <v>44743</v>
      </c>
      <c r="G101" s="55">
        <f t="shared" si="2"/>
        <v>31</v>
      </c>
      <c r="H101" s="57">
        <f t="shared" si="3"/>
        <v>44751</v>
      </c>
      <c r="I101" s="143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41" t="str">
        <f>IFERROR(Inv_SY!O102/Inv_SY!$Q102-1,"")</f>
        <v/>
      </c>
    </row>
    <row r="102" spans="1:21">
      <c r="A102" s="52" t="s">
        <v>208</v>
      </c>
      <c r="B102" s="52">
        <v>4</v>
      </c>
      <c r="C102" s="52">
        <v>2022</v>
      </c>
      <c r="D102" s="52" t="s">
        <v>209</v>
      </c>
      <c r="E102" s="52" t="s">
        <v>209</v>
      </c>
      <c r="F102" s="58">
        <v>44743</v>
      </c>
      <c r="G102" s="52">
        <f t="shared" si="2"/>
        <v>31</v>
      </c>
      <c r="H102" s="54">
        <f t="shared" si="3"/>
        <v>44752</v>
      </c>
      <c r="I102" s="142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41" t="str">
        <f>IFERROR(Inv_SY!O103/Inv_SY!$Q103-1,"")</f>
        <v/>
      </c>
    </row>
    <row r="103" spans="1:21">
      <c r="A103" s="55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59">
        <v>44743</v>
      </c>
      <c r="G103" s="55">
        <f t="shared" si="2"/>
        <v>31</v>
      </c>
      <c r="H103" s="57">
        <f t="shared" si="3"/>
        <v>44753</v>
      </c>
      <c r="I103" s="143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41" t="str">
        <f>IFERROR(Inv_SY!O104/Inv_SY!$Q104-1,"")</f>
        <v/>
      </c>
    </row>
    <row r="104" spans="1:21">
      <c r="A104" s="52" t="s">
        <v>208</v>
      </c>
      <c r="B104" s="52">
        <v>4</v>
      </c>
      <c r="C104" s="52">
        <v>2022</v>
      </c>
      <c r="D104" s="52" t="s">
        <v>209</v>
      </c>
      <c r="E104" s="52" t="s">
        <v>209</v>
      </c>
      <c r="F104" s="58">
        <v>44743</v>
      </c>
      <c r="G104" s="52">
        <f t="shared" si="2"/>
        <v>31</v>
      </c>
      <c r="H104" s="54">
        <f t="shared" si="3"/>
        <v>44754</v>
      </c>
      <c r="I104" s="142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41" t="str">
        <f>IFERROR(Inv_SY!O105/Inv_SY!$Q105-1,"")</f>
        <v/>
      </c>
    </row>
    <row r="105" spans="1:21">
      <c r="A105" s="55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59">
        <v>44743</v>
      </c>
      <c r="G105" s="55">
        <f t="shared" si="2"/>
        <v>31</v>
      </c>
      <c r="H105" s="57">
        <f t="shared" si="3"/>
        <v>44755</v>
      </c>
      <c r="I105" s="143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41" t="str">
        <f>IFERROR(Inv_SY!O106/Inv_SY!$Q106-1,"")</f>
        <v/>
      </c>
    </row>
    <row r="106" spans="1:21">
      <c r="A106" s="52" t="s">
        <v>208</v>
      </c>
      <c r="B106" s="52">
        <v>4</v>
      </c>
      <c r="C106" s="52">
        <v>2022</v>
      </c>
      <c r="D106" s="52" t="s">
        <v>209</v>
      </c>
      <c r="E106" s="52" t="s">
        <v>209</v>
      </c>
      <c r="F106" s="58">
        <v>44743</v>
      </c>
      <c r="G106" s="52">
        <f t="shared" si="2"/>
        <v>31</v>
      </c>
      <c r="H106" s="54">
        <f t="shared" si="3"/>
        <v>44756</v>
      </c>
      <c r="I106" s="142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41" t="str">
        <f>IFERROR(Inv_SY!O107/Inv_SY!$Q107-1,"")</f>
        <v/>
      </c>
    </row>
    <row r="107" spans="1:21">
      <c r="A107" s="55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59">
        <v>44743</v>
      </c>
      <c r="G107" s="55">
        <f t="shared" si="2"/>
        <v>31</v>
      </c>
      <c r="H107" s="57">
        <f t="shared" si="3"/>
        <v>44757</v>
      </c>
      <c r="I107" s="143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41" t="str">
        <f>IFERROR(Inv_SY!O108/Inv_SY!$Q108-1,"")</f>
        <v/>
      </c>
    </row>
    <row r="108" spans="1:21">
      <c r="A108" s="52" t="s">
        <v>208</v>
      </c>
      <c r="B108" s="52">
        <v>4</v>
      </c>
      <c r="C108" s="52">
        <v>2022</v>
      </c>
      <c r="D108" s="52" t="s">
        <v>209</v>
      </c>
      <c r="E108" s="52" t="s">
        <v>209</v>
      </c>
      <c r="F108" s="58">
        <v>44743</v>
      </c>
      <c r="G108" s="52">
        <f t="shared" si="2"/>
        <v>31</v>
      </c>
      <c r="H108" s="54">
        <f t="shared" si="3"/>
        <v>44758</v>
      </c>
      <c r="I108" s="142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41" t="str">
        <f>IFERROR(Inv_SY!O109/Inv_SY!$Q109-1,"")</f>
        <v/>
      </c>
    </row>
    <row r="109" spans="1:21">
      <c r="A109" s="55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59">
        <v>44743</v>
      </c>
      <c r="G109" s="55">
        <f t="shared" si="2"/>
        <v>31</v>
      </c>
      <c r="H109" s="57">
        <f t="shared" si="3"/>
        <v>44759</v>
      </c>
      <c r="I109" s="143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41" t="str">
        <f>IFERROR(Inv_SY!O110/Inv_SY!$Q110-1,"")</f>
        <v/>
      </c>
    </row>
    <row r="110" spans="1:21">
      <c r="A110" s="52" t="s">
        <v>208</v>
      </c>
      <c r="B110" s="52">
        <v>4</v>
      </c>
      <c r="C110" s="52">
        <v>2022</v>
      </c>
      <c r="D110" s="52" t="s">
        <v>209</v>
      </c>
      <c r="E110" s="52" t="s">
        <v>209</v>
      </c>
      <c r="F110" s="58">
        <v>44743</v>
      </c>
      <c r="G110" s="52">
        <f t="shared" si="2"/>
        <v>31</v>
      </c>
      <c r="H110" s="54">
        <f t="shared" si="3"/>
        <v>44760</v>
      </c>
      <c r="I110" s="142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41" t="str">
        <f>IFERROR(Inv_SY!O111/Inv_SY!$Q111-1,"")</f>
        <v/>
      </c>
    </row>
    <row r="111" spans="1:21">
      <c r="A111" s="55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59">
        <v>44743</v>
      </c>
      <c r="G111" s="55">
        <f t="shared" si="2"/>
        <v>31</v>
      </c>
      <c r="H111" s="57">
        <f t="shared" si="3"/>
        <v>44761</v>
      </c>
      <c r="I111" s="143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41" t="str">
        <f>IFERROR(Inv_SY!O112/Inv_SY!$Q112-1,"")</f>
        <v/>
      </c>
    </row>
    <row r="112" spans="1:21">
      <c r="A112" s="52" t="s">
        <v>208</v>
      </c>
      <c r="B112" s="52">
        <v>4</v>
      </c>
      <c r="C112" s="52">
        <v>2022</v>
      </c>
      <c r="D112" s="52" t="s">
        <v>209</v>
      </c>
      <c r="E112" s="52" t="s">
        <v>209</v>
      </c>
      <c r="F112" s="58">
        <v>44743</v>
      </c>
      <c r="G112" s="52">
        <f t="shared" si="2"/>
        <v>31</v>
      </c>
      <c r="H112" s="54">
        <f t="shared" si="3"/>
        <v>44762</v>
      </c>
      <c r="I112" s="142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41" t="str">
        <f>IFERROR(Inv_SY!O113/Inv_SY!$Q113-1,"")</f>
        <v/>
      </c>
    </row>
    <row r="113" spans="1:21">
      <c r="A113" s="55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59">
        <v>44743</v>
      </c>
      <c r="G113" s="55">
        <f t="shared" si="2"/>
        <v>31</v>
      </c>
      <c r="H113" s="57">
        <f t="shared" si="3"/>
        <v>44763</v>
      </c>
      <c r="I113" s="143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41" t="str">
        <f>IFERROR(Inv_SY!O114/Inv_SY!$Q114-1,"")</f>
        <v/>
      </c>
    </row>
    <row r="114" spans="1:21">
      <c r="A114" s="52" t="s">
        <v>208</v>
      </c>
      <c r="B114" s="52">
        <v>4</v>
      </c>
      <c r="C114" s="52">
        <v>2022</v>
      </c>
      <c r="D114" s="52" t="s">
        <v>209</v>
      </c>
      <c r="E114" s="52" t="s">
        <v>209</v>
      </c>
      <c r="F114" s="58">
        <v>44743</v>
      </c>
      <c r="G114" s="52">
        <f t="shared" si="2"/>
        <v>31</v>
      </c>
      <c r="H114" s="54">
        <f t="shared" si="3"/>
        <v>44764</v>
      </c>
      <c r="I114" s="142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41" t="str">
        <f>IFERROR(Inv_SY!O115/Inv_SY!$Q115-1,"")</f>
        <v/>
      </c>
    </row>
    <row r="115" spans="1:21">
      <c r="A115" s="55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59">
        <v>44743</v>
      </c>
      <c r="G115" s="55">
        <f t="shared" si="2"/>
        <v>31</v>
      </c>
      <c r="H115" s="57">
        <f t="shared" si="3"/>
        <v>44765</v>
      </c>
      <c r="I115" s="143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41" t="str">
        <f>IFERROR(Inv_SY!O116/Inv_SY!$Q116-1,"")</f>
        <v/>
      </c>
    </row>
    <row r="116" spans="1:21">
      <c r="A116" s="52" t="s">
        <v>208</v>
      </c>
      <c r="B116" s="52">
        <v>4</v>
      </c>
      <c r="C116" s="52">
        <v>2022</v>
      </c>
      <c r="D116" s="52" t="s">
        <v>209</v>
      </c>
      <c r="E116" s="52" t="s">
        <v>209</v>
      </c>
      <c r="F116" s="58">
        <v>44743</v>
      </c>
      <c r="G116" s="52">
        <f t="shared" si="2"/>
        <v>31</v>
      </c>
      <c r="H116" s="54">
        <f t="shared" si="3"/>
        <v>44766</v>
      </c>
      <c r="I116" s="142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41" t="str">
        <f>IFERROR(Inv_SY!O117/Inv_SY!$Q117-1,"")</f>
        <v/>
      </c>
    </row>
    <row r="117" spans="1:21">
      <c r="A117" s="55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59">
        <v>44743</v>
      </c>
      <c r="G117" s="55">
        <f t="shared" si="2"/>
        <v>31</v>
      </c>
      <c r="H117" s="57">
        <f t="shared" si="3"/>
        <v>44767</v>
      </c>
      <c r="I117" s="143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41" t="str">
        <f>IFERROR(Inv_SY!O118/Inv_SY!$Q118-1,"")</f>
        <v/>
      </c>
    </row>
    <row r="118" spans="1:21">
      <c r="A118" s="52" t="s">
        <v>208</v>
      </c>
      <c r="B118" s="52">
        <v>4</v>
      </c>
      <c r="C118" s="52">
        <v>2022</v>
      </c>
      <c r="D118" s="52" t="s">
        <v>209</v>
      </c>
      <c r="E118" s="52" t="s">
        <v>209</v>
      </c>
      <c r="F118" s="58">
        <v>44743</v>
      </c>
      <c r="G118" s="52">
        <f t="shared" si="2"/>
        <v>31</v>
      </c>
      <c r="H118" s="54">
        <f t="shared" si="3"/>
        <v>44768</v>
      </c>
      <c r="I118" s="142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41" t="str">
        <f>IFERROR(Inv_SY!O119/Inv_SY!$Q119-1,"")</f>
        <v/>
      </c>
    </row>
    <row r="119" spans="1:21">
      <c r="A119" s="55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59">
        <v>44743</v>
      </c>
      <c r="G119" s="55">
        <f t="shared" si="2"/>
        <v>31</v>
      </c>
      <c r="H119" s="57">
        <f t="shared" si="3"/>
        <v>44769</v>
      </c>
      <c r="I119" s="143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41" t="str">
        <f>IFERROR(Inv_SY!O120/Inv_SY!$Q120-1,"")</f>
        <v/>
      </c>
    </row>
    <row r="120" spans="1:21">
      <c r="A120" s="52" t="s">
        <v>208</v>
      </c>
      <c r="B120" s="52">
        <v>4</v>
      </c>
      <c r="C120" s="52">
        <v>2022</v>
      </c>
      <c r="D120" s="52" t="s">
        <v>209</v>
      </c>
      <c r="E120" s="52" t="s">
        <v>209</v>
      </c>
      <c r="F120" s="58">
        <v>44743</v>
      </c>
      <c r="G120" s="52">
        <f t="shared" si="2"/>
        <v>31</v>
      </c>
      <c r="H120" s="54">
        <f t="shared" si="3"/>
        <v>44770</v>
      </c>
      <c r="I120" s="142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41" t="str">
        <f>IFERROR(Inv_SY!O121/Inv_SY!$Q121-1,"")</f>
        <v/>
      </c>
    </row>
    <row r="121" spans="1:21">
      <c r="A121" s="55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59">
        <v>44743</v>
      </c>
      <c r="G121" s="55">
        <f t="shared" si="2"/>
        <v>31</v>
      </c>
      <c r="H121" s="57">
        <f t="shared" si="3"/>
        <v>44771</v>
      </c>
      <c r="I121" s="143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41" t="str">
        <f>IFERROR(Inv_SY!O122/Inv_SY!$Q122-1,"")</f>
        <v/>
      </c>
    </row>
    <row r="122" spans="1:21">
      <c r="A122" s="52" t="s">
        <v>208</v>
      </c>
      <c r="B122" s="52">
        <v>4</v>
      </c>
      <c r="C122" s="52">
        <v>2022</v>
      </c>
      <c r="D122" s="52" t="s">
        <v>209</v>
      </c>
      <c r="E122" s="52" t="s">
        <v>209</v>
      </c>
      <c r="F122" s="58">
        <v>44743</v>
      </c>
      <c r="G122" s="52">
        <f t="shared" si="2"/>
        <v>31</v>
      </c>
      <c r="H122" s="54">
        <f t="shared" si="3"/>
        <v>44772</v>
      </c>
      <c r="I122" s="142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41" t="str">
        <f>IFERROR(Inv_SY!O123/Inv_SY!$Q123-1,"")</f>
        <v/>
      </c>
    </row>
    <row r="123" spans="1:21">
      <c r="A123" s="55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59">
        <v>44743</v>
      </c>
      <c r="G123" s="55">
        <f t="shared" si="2"/>
        <v>31</v>
      </c>
      <c r="H123" s="57">
        <f t="shared" si="3"/>
        <v>44773</v>
      </c>
      <c r="I123" s="143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41" t="str">
        <f>IFERROR(Inv_SY!O124/Inv_SY!$Q124-1,"")</f>
        <v/>
      </c>
    </row>
    <row r="124" spans="1:21">
      <c r="A124" s="52" t="s">
        <v>208</v>
      </c>
      <c r="B124" s="52">
        <v>4</v>
      </c>
      <c r="C124" s="52">
        <v>2022</v>
      </c>
      <c r="D124" s="52" t="s">
        <v>209</v>
      </c>
      <c r="E124" s="52" t="s">
        <v>209</v>
      </c>
      <c r="F124" s="58">
        <v>44774</v>
      </c>
      <c r="G124" s="52">
        <f t="shared" si="2"/>
        <v>31</v>
      </c>
      <c r="H124" s="54">
        <f t="shared" si="3"/>
        <v>44774</v>
      </c>
      <c r="I124" s="142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41" t="str">
        <f>IFERROR(Inv_SY!O125/Inv_SY!$Q125-1,"")</f>
        <v/>
      </c>
    </row>
    <row r="125" spans="1:21">
      <c r="A125" s="55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59">
        <v>44774</v>
      </c>
      <c r="G125" s="55">
        <f t="shared" si="2"/>
        <v>31</v>
      </c>
      <c r="H125" s="57">
        <f t="shared" si="3"/>
        <v>44775</v>
      </c>
      <c r="I125" s="143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41" t="str">
        <f>IFERROR(Inv_SY!O126/Inv_SY!$Q126-1,"")</f>
        <v/>
      </c>
    </row>
    <row r="126" spans="1:21">
      <c r="A126" s="52" t="s">
        <v>208</v>
      </c>
      <c r="B126" s="52">
        <v>4</v>
      </c>
      <c r="C126" s="52">
        <v>2022</v>
      </c>
      <c r="D126" s="52" t="s">
        <v>209</v>
      </c>
      <c r="E126" s="52" t="s">
        <v>209</v>
      </c>
      <c r="F126" s="58">
        <v>44774</v>
      </c>
      <c r="G126" s="52">
        <f t="shared" si="2"/>
        <v>31</v>
      </c>
      <c r="H126" s="54">
        <f t="shared" si="3"/>
        <v>44776</v>
      </c>
      <c r="I126" s="142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41" t="str">
        <f>IFERROR(Inv_SY!O127/Inv_SY!$Q127-1,"")</f>
        <v/>
      </c>
    </row>
    <row r="127" spans="1:21">
      <c r="A127" s="55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59">
        <v>44774</v>
      </c>
      <c r="G127" s="55">
        <f t="shared" si="2"/>
        <v>31</v>
      </c>
      <c r="H127" s="57">
        <f t="shared" si="3"/>
        <v>44777</v>
      </c>
      <c r="I127" s="143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41" t="str">
        <f>IFERROR(Inv_SY!O128/Inv_SY!$Q128-1,"")</f>
        <v/>
      </c>
    </row>
    <row r="128" spans="1:21">
      <c r="A128" s="52" t="s">
        <v>208</v>
      </c>
      <c r="B128" s="52">
        <v>4</v>
      </c>
      <c r="C128" s="52">
        <v>2022</v>
      </c>
      <c r="D128" s="52" t="s">
        <v>209</v>
      </c>
      <c r="E128" s="52" t="s">
        <v>209</v>
      </c>
      <c r="F128" s="58">
        <v>44774</v>
      </c>
      <c r="G128" s="52">
        <f t="shared" si="2"/>
        <v>31</v>
      </c>
      <c r="H128" s="54">
        <f t="shared" si="3"/>
        <v>44778</v>
      </c>
      <c r="I128" s="142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41" t="str">
        <f>IFERROR(Inv_SY!O129/Inv_SY!$Q129-1,"")</f>
        <v/>
      </c>
    </row>
    <row r="129" spans="1:21">
      <c r="A129" s="55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59">
        <v>44774</v>
      </c>
      <c r="G129" s="55">
        <f t="shared" si="2"/>
        <v>31</v>
      </c>
      <c r="H129" s="57">
        <f t="shared" si="3"/>
        <v>44779</v>
      </c>
      <c r="I129" s="143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41" t="str">
        <f>IFERROR(Inv_SY!O130/Inv_SY!$Q130-1,"")</f>
        <v/>
      </c>
    </row>
    <row r="130" spans="1:21">
      <c r="A130" s="52" t="s">
        <v>208</v>
      </c>
      <c r="B130" s="52">
        <v>4</v>
      </c>
      <c r="C130" s="52">
        <v>2022</v>
      </c>
      <c r="D130" s="52" t="s">
        <v>209</v>
      </c>
      <c r="E130" s="52" t="s">
        <v>209</v>
      </c>
      <c r="F130" s="58">
        <v>44774</v>
      </c>
      <c r="G130" s="52">
        <f t="shared" si="2"/>
        <v>31</v>
      </c>
      <c r="H130" s="54">
        <f t="shared" si="3"/>
        <v>44780</v>
      </c>
      <c r="I130" s="142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41" t="str">
        <f>IFERROR(Inv_SY!O131/Inv_SY!$Q131-1,"")</f>
        <v/>
      </c>
    </row>
    <row r="131" spans="1:21">
      <c r="A131" s="55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59">
        <v>44774</v>
      </c>
      <c r="G131" s="55">
        <f t="shared" ref="G131:G194" si="4">DAY(EOMONTH(F131,0))</f>
        <v>31</v>
      </c>
      <c r="H131" s="57">
        <f t="shared" si="3"/>
        <v>44781</v>
      </c>
      <c r="I131" s="143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41" t="str">
        <f>IFERROR(Inv_SY!O132/Inv_SY!$Q132-1,"")</f>
        <v/>
      </c>
    </row>
    <row r="132" spans="1:21">
      <c r="A132" s="52" t="s">
        <v>208</v>
      </c>
      <c r="B132" s="52">
        <v>4</v>
      </c>
      <c r="C132" s="52">
        <v>2022</v>
      </c>
      <c r="D132" s="52" t="s">
        <v>209</v>
      </c>
      <c r="E132" s="52" t="s">
        <v>209</v>
      </c>
      <c r="F132" s="58">
        <v>44774</v>
      </c>
      <c r="G132" s="52">
        <f t="shared" si="4"/>
        <v>31</v>
      </c>
      <c r="H132" s="54">
        <f t="shared" ref="H132:H195" si="5">H131+1</f>
        <v>44782</v>
      </c>
      <c r="I132" s="142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41" t="str">
        <f>IFERROR(Inv_SY!O133/Inv_SY!$Q133-1,"")</f>
        <v/>
      </c>
    </row>
    <row r="133" spans="1:21">
      <c r="A133" s="55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59">
        <v>44774</v>
      </c>
      <c r="G133" s="55">
        <f t="shared" si="4"/>
        <v>31</v>
      </c>
      <c r="H133" s="57">
        <f t="shared" si="5"/>
        <v>44783</v>
      </c>
      <c r="I133" s="143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41" t="str">
        <f>IFERROR(Inv_SY!O134/Inv_SY!$Q134-1,"")</f>
        <v/>
      </c>
    </row>
    <row r="134" spans="1:21">
      <c r="A134" s="52" t="s">
        <v>208</v>
      </c>
      <c r="B134" s="52">
        <v>4</v>
      </c>
      <c r="C134" s="52">
        <v>2022</v>
      </c>
      <c r="D134" s="52" t="s">
        <v>209</v>
      </c>
      <c r="E134" s="52" t="s">
        <v>209</v>
      </c>
      <c r="F134" s="58">
        <v>44774</v>
      </c>
      <c r="G134" s="52">
        <f t="shared" si="4"/>
        <v>31</v>
      </c>
      <c r="H134" s="54">
        <f t="shared" si="5"/>
        <v>44784</v>
      </c>
      <c r="I134" s="142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41" t="str">
        <f>IFERROR(Inv_SY!O135/Inv_SY!$Q135-1,"")</f>
        <v/>
      </c>
    </row>
    <row r="135" spans="1:21">
      <c r="A135" s="55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59">
        <v>44774</v>
      </c>
      <c r="G135" s="55">
        <f t="shared" si="4"/>
        <v>31</v>
      </c>
      <c r="H135" s="57">
        <f t="shared" si="5"/>
        <v>44785</v>
      </c>
      <c r="I135" s="143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41" t="str">
        <f>IFERROR(Inv_SY!O136/Inv_SY!$Q136-1,"")</f>
        <v/>
      </c>
    </row>
    <row r="136" spans="1:21">
      <c r="A136" s="52" t="s">
        <v>208</v>
      </c>
      <c r="B136" s="52">
        <v>4</v>
      </c>
      <c r="C136" s="52">
        <v>2022</v>
      </c>
      <c r="D136" s="52" t="s">
        <v>209</v>
      </c>
      <c r="E136" s="52" t="s">
        <v>209</v>
      </c>
      <c r="F136" s="58">
        <v>44774</v>
      </c>
      <c r="G136" s="52">
        <f t="shared" si="4"/>
        <v>31</v>
      </c>
      <c r="H136" s="54">
        <f t="shared" si="5"/>
        <v>44786</v>
      </c>
      <c r="I136" s="142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41" t="str">
        <f>IFERROR(Inv_SY!O137/Inv_SY!$Q137-1,"")</f>
        <v/>
      </c>
    </row>
    <row r="137" spans="1:21">
      <c r="A137" s="55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59">
        <v>44774</v>
      </c>
      <c r="G137" s="55">
        <f t="shared" si="4"/>
        <v>31</v>
      </c>
      <c r="H137" s="57">
        <f t="shared" si="5"/>
        <v>44787</v>
      </c>
      <c r="I137" s="143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41" t="str">
        <f>IFERROR(Inv_SY!O138/Inv_SY!$Q138-1,"")</f>
        <v/>
      </c>
    </row>
    <row r="138" spans="1:21">
      <c r="A138" s="52" t="s">
        <v>208</v>
      </c>
      <c r="B138" s="52">
        <v>4</v>
      </c>
      <c r="C138" s="52">
        <v>2022</v>
      </c>
      <c r="D138" s="52" t="s">
        <v>209</v>
      </c>
      <c r="E138" s="52" t="s">
        <v>209</v>
      </c>
      <c r="F138" s="58">
        <v>44774</v>
      </c>
      <c r="G138" s="52">
        <f t="shared" si="4"/>
        <v>31</v>
      </c>
      <c r="H138" s="54">
        <f t="shared" si="5"/>
        <v>44788</v>
      </c>
      <c r="I138" s="142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41" t="str">
        <f>IFERROR(Inv_SY!O139/Inv_SY!$Q139-1,"")</f>
        <v/>
      </c>
    </row>
    <row r="139" spans="1:21">
      <c r="A139" s="55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59">
        <v>44774</v>
      </c>
      <c r="G139" s="55">
        <f t="shared" si="4"/>
        <v>31</v>
      </c>
      <c r="H139" s="57">
        <f t="shared" si="5"/>
        <v>44789</v>
      </c>
      <c r="I139" s="143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41" t="str">
        <f>IFERROR(Inv_SY!O140/Inv_SY!$Q140-1,"")</f>
        <v/>
      </c>
    </row>
    <row r="140" spans="1:21">
      <c r="A140" s="52" t="s">
        <v>208</v>
      </c>
      <c r="B140" s="52">
        <v>4</v>
      </c>
      <c r="C140" s="52">
        <v>2022</v>
      </c>
      <c r="D140" s="52" t="s">
        <v>209</v>
      </c>
      <c r="E140" s="52" t="s">
        <v>209</v>
      </c>
      <c r="F140" s="58">
        <v>44774</v>
      </c>
      <c r="G140" s="52">
        <f t="shared" si="4"/>
        <v>31</v>
      </c>
      <c r="H140" s="54">
        <f t="shared" si="5"/>
        <v>44790</v>
      </c>
      <c r="I140" s="142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41" t="str">
        <f>IFERROR(Inv_SY!O141/Inv_SY!$Q141-1,"")</f>
        <v/>
      </c>
    </row>
    <row r="141" spans="1:21">
      <c r="A141" s="55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59">
        <v>44774</v>
      </c>
      <c r="G141" s="55">
        <f t="shared" si="4"/>
        <v>31</v>
      </c>
      <c r="H141" s="57">
        <f t="shared" si="5"/>
        <v>44791</v>
      </c>
      <c r="I141" s="143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41" t="str">
        <f>IFERROR(Inv_SY!O142/Inv_SY!$Q142-1,"")</f>
        <v/>
      </c>
    </row>
    <row r="142" spans="1:21">
      <c r="A142" s="52" t="s">
        <v>208</v>
      </c>
      <c r="B142" s="52">
        <v>4</v>
      </c>
      <c r="C142" s="52">
        <v>2022</v>
      </c>
      <c r="D142" s="52" t="s">
        <v>209</v>
      </c>
      <c r="E142" s="52" t="s">
        <v>209</v>
      </c>
      <c r="F142" s="58">
        <v>44774</v>
      </c>
      <c r="G142" s="52">
        <f t="shared" si="4"/>
        <v>31</v>
      </c>
      <c r="H142" s="54">
        <f t="shared" si="5"/>
        <v>44792</v>
      </c>
      <c r="I142" s="142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41" t="str">
        <f>IFERROR(Inv_SY!O143/Inv_SY!$Q143-1,"")</f>
        <v/>
      </c>
    </row>
    <row r="143" spans="1:21">
      <c r="A143" s="55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59">
        <v>44774</v>
      </c>
      <c r="G143" s="55">
        <f t="shared" si="4"/>
        <v>31</v>
      </c>
      <c r="H143" s="57">
        <f t="shared" si="5"/>
        <v>44793</v>
      </c>
      <c r="I143" s="143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41" t="str">
        <f>IFERROR(Inv_SY!O144/Inv_SY!$Q144-1,"")</f>
        <v/>
      </c>
    </row>
    <row r="144" spans="1:21">
      <c r="A144" s="52" t="s">
        <v>208</v>
      </c>
      <c r="B144" s="52">
        <v>4</v>
      </c>
      <c r="C144" s="52">
        <v>2022</v>
      </c>
      <c r="D144" s="52" t="s">
        <v>209</v>
      </c>
      <c r="E144" s="52" t="s">
        <v>209</v>
      </c>
      <c r="F144" s="58">
        <v>44774</v>
      </c>
      <c r="G144" s="52">
        <f t="shared" si="4"/>
        <v>31</v>
      </c>
      <c r="H144" s="54">
        <f t="shared" si="5"/>
        <v>44794</v>
      </c>
      <c r="I144" s="142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41" t="str">
        <f>IFERROR(Inv_SY!O145/Inv_SY!$Q145-1,"")</f>
        <v/>
      </c>
    </row>
    <row r="145" spans="1:21">
      <c r="A145" s="55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59">
        <v>44774</v>
      </c>
      <c r="G145" s="55">
        <f t="shared" si="4"/>
        <v>31</v>
      </c>
      <c r="H145" s="57">
        <f t="shared" si="5"/>
        <v>44795</v>
      </c>
      <c r="I145" s="143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41" t="str">
        <f>IFERROR(Inv_SY!O146/Inv_SY!$Q146-1,"")</f>
        <v/>
      </c>
    </row>
    <row r="146" spans="1:21">
      <c r="A146" s="52" t="s">
        <v>208</v>
      </c>
      <c r="B146" s="52">
        <v>4</v>
      </c>
      <c r="C146" s="52">
        <v>2022</v>
      </c>
      <c r="D146" s="52" t="s">
        <v>209</v>
      </c>
      <c r="E146" s="52" t="s">
        <v>209</v>
      </c>
      <c r="F146" s="58">
        <v>44774</v>
      </c>
      <c r="G146" s="52">
        <f t="shared" si="4"/>
        <v>31</v>
      </c>
      <c r="H146" s="54">
        <f t="shared" si="5"/>
        <v>44796</v>
      </c>
      <c r="I146" s="142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41" t="str">
        <f>IFERROR(Inv_SY!O147/Inv_SY!$Q147-1,"")</f>
        <v/>
      </c>
    </row>
    <row r="147" spans="1:21">
      <c r="A147" s="55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59">
        <v>44774</v>
      </c>
      <c r="G147" s="55">
        <f t="shared" si="4"/>
        <v>31</v>
      </c>
      <c r="H147" s="57">
        <f t="shared" si="5"/>
        <v>44797</v>
      </c>
      <c r="I147" s="143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41" t="str">
        <f>IFERROR(Inv_SY!O148/Inv_SY!$Q148-1,"")</f>
        <v/>
      </c>
    </row>
    <row r="148" spans="1:21">
      <c r="A148" s="52" t="s">
        <v>208</v>
      </c>
      <c r="B148" s="52">
        <v>4</v>
      </c>
      <c r="C148" s="52">
        <v>2022</v>
      </c>
      <c r="D148" s="52" t="s">
        <v>209</v>
      </c>
      <c r="E148" s="52" t="s">
        <v>209</v>
      </c>
      <c r="F148" s="58">
        <v>44774</v>
      </c>
      <c r="G148" s="52">
        <f t="shared" si="4"/>
        <v>31</v>
      </c>
      <c r="H148" s="54">
        <f t="shared" si="5"/>
        <v>44798</v>
      </c>
      <c r="I148" s="142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41" t="str">
        <f>IFERROR(Inv_SY!O149/Inv_SY!$Q149-1,"")</f>
        <v/>
      </c>
    </row>
    <row r="149" spans="1:21">
      <c r="A149" s="55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59">
        <v>44774</v>
      </c>
      <c r="G149" s="55">
        <f t="shared" si="4"/>
        <v>31</v>
      </c>
      <c r="H149" s="57">
        <f t="shared" si="5"/>
        <v>44799</v>
      </c>
      <c r="I149" s="143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41" t="str">
        <f>IFERROR(Inv_SY!O150/Inv_SY!$Q150-1,"")</f>
        <v/>
      </c>
    </row>
    <row r="150" spans="1:21">
      <c r="A150" s="52" t="s">
        <v>208</v>
      </c>
      <c r="B150" s="52">
        <v>4</v>
      </c>
      <c r="C150" s="52">
        <v>2022</v>
      </c>
      <c r="D150" s="52" t="s">
        <v>209</v>
      </c>
      <c r="E150" s="52" t="s">
        <v>209</v>
      </c>
      <c r="F150" s="58">
        <v>44774</v>
      </c>
      <c r="G150" s="52">
        <f t="shared" si="4"/>
        <v>31</v>
      </c>
      <c r="H150" s="54">
        <f t="shared" si="5"/>
        <v>44800</v>
      </c>
      <c r="I150" s="142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41" t="str">
        <f>IFERROR(Inv_SY!O151/Inv_SY!$Q151-1,"")</f>
        <v/>
      </c>
    </row>
    <row r="151" spans="1:21">
      <c r="A151" s="55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59">
        <v>44774</v>
      </c>
      <c r="G151" s="55">
        <f t="shared" si="4"/>
        <v>31</v>
      </c>
      <c r="H151" s="57">
        <f t="shared" si="5"/>
        <v>44801</v>
      </c>
      <c r="I151" s="143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41" t="str">
        <f>IFERROR(Inv_SY!O152/Inv_SY!$Q152-1,"")</f>
        <v/>
      </c>
    </row>
    <row r="152" spans="1:21">
      <c r="A152" s="52" t="s">
        <v>208</v>
      </c>
      <c r="B152" s="52">
        <v>4</v>
      </c>
      <c r="C152" s="52">
        <v>2022</v>
      </c>
      <c r="D152" s="52" t="s">
        <v>209</v>
      </c>
      <c r="E152" s="52" t="s">
        <v>209</v>
      </c>
      <c r="F152" s="58">
        <v>44774</v>
      </c>
      <c r="G152" s="52">
        <f t="shared" si="4"/>
        <v>31</v>
      </c>
      <c r="H152" s="54">
        <f t="shared" si="5"/>
        <v>44802</v>
      </c>
      <c r="I152" s="142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41" t="str">
        <f>IFERROR(Inv_SY!O153/Inv_SY!$Q153-1,"")</f>
        <v/>
      </c>
    </row>
    <row r="153" spans="1:21">
      <c r="A153" s="55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59">
        <v>44774</v>
      </c>
      <c r="G153" s="55">
        <f t="shared" si="4"/>
        <v>31</v>
      </c>
      <c r="H153" s="57">
        <f t="shared" si="5"/>
        <v>44803</v>
      </c>
      <c r="I153" s="143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41" t="str">
        <f>IFERROR(Inv_SY!O154/Inv_SY!$Q154-1,"")</f>
        <v/>
      </c>
    </row>
    <row r="154" spans="1:21">
      <c r="A154" s="52" t="s">
        <v>208</v>
      </c>
      <c r="B154" s="52">
        <v>4</v>
      </c>
      <c r="C154" s="52">
        <v>2022</v>
      </c>
      <c r="D154" s="52" t="s">
        <v>209</v>
      </c>
      <c r="E154" s="52" t="s">
        <v>209</v>
      </c>
      <c r="F154" s="58">
        <v>44774</v>
      </c>
      <c r="G154" s="52">
        <f t="shared" si="4"/>
        <v>31</v>
      </c>
      <c r="H154" s="54">
        <f t="shared" si="5"/>
        <v>44804</v>
      </c>
      <c r="I154" s="142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41" t="str">
        <f>IFERROR(Inv_SY!O155/Inv_SY!$Q155-1,"")</f>
        <v/>
      </c>
    </row>
    <row r="155" spans="1:21">
      <c r="A155" s="55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59">
        <v>44805</v>
      </c>
      <c r="G155" s="55">
        <f t="shared" si="4"/>
        <v>30</v>
      </c>
      <c r="H155" s="57">
        <f t="shared" si="5"/>
        <v>44805</v>
      </c>
      <c r="I155" s="143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41" t="str">
        <f>IFERROR(Inv_SY!O156/Inv_SY!$Q156-1,"")</f>
        <v/>
      </c>
    </row>
    <row r="156" spans="1:21">
      <c r="A156" s="52" t="s">
        <v>208</v>
      </c>
      <c r="B156" s="52">
        <v>4</v>
      </c>
      <c r="C156" s="52">
        <v>2022</v>
      </c>
      <c r="D156" s="52" t="s">
        <v>209</v>
      </c>
      <c r="E156" s="52" t="s">
        <v>209</v>
      </c>
      <c r="F156" s="58">
        <v>44805</v>
      </c>
      <c r="G156" s="52">
        <f t="shared" si="4"/>
        <v>30</v>
      </c>
      <c r="H156" s="54">
        <f t="shared" si="5"/>
        <v>44806</v>
      </c>
      <c r="I156" s="142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41" t="str">
        <f>IFERROR(Inv_SY!O157/Inv_SY!$Q157-1,"")</f>
        <v/>
      </c>
    </row>
    <row r="157" spans="1:21">
      <c r="A157" s="55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59">
        <v>44805</v>
      </c>
      <c r="G157" s="55">
        <f t="shared" si="4"/>
        <v>30</v>
      </c>
      <c r="H157" s="57">
        <f t="shared" si="5"/>
        <v>44807</v>
      </c>
      <c r="I157" s="143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41" t="str">
        <f>IFERROR(Inv_SY!O158/Inv_SY!$Q158-1,"")</f>
        <v/>
      </c>
    </row>
    <row r="158" spans="1:21">
      <c r="A158" s="52" t="s">
        <v>208</v>
      </c>
      <c r="B158" s="52">
        <v>4</v>
      </c>
      <c r="C158" s="52">
        <v>2022</v>
      </c>
      <c r="D158" s="52" t="s">
        <v>209</v>
      </c>
      <c r="E158" s="52" t="s">
        <v>209</v>
      </c>
      <c r="F158" s="58">
        <v>44805</v>
      </c>
      <c r="G158" s="52">
        <f t="shared" si="4"/>
        <v>30</v>
      </c>
      <c r="H158" s="54">
        <f t="shared" si="5"/>
        <v>44808</v>
      </c>
      <c r="I158" s="142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41" t="str">
        <f>IFERROR(Inv_SY!O159/Inv_SY!$Q159-1,"")</f>
        <v/>
      </c>
    </row>
    <row r="159" spans="1:21">
      <c r="A159" s="55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59">
        <v>44805</v>
      </c>
      <c r="G159" s="55">
        <f t="shared" si="4"/>
        <v>30</v>
      </c>
      <c r="H159" s="57">
        <f t="shared" si="5"/>
        <v>44809</v>
      </c>
      <c r="I159" s="143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41" t="str">
        <f>IFERROR(Inv_SY!O160/Inv_SY!$Q160-1,"")</f>
        <v/>
      </c>
    </row>
    <row r="160" spans="1:21">
      <c r="A160" s="52" t="s">
        <v>208</v>
      </c>
      <c r="B160" s="52">
        <v>4</v>
      </c>
      <c r="C160" s="52">
        <v>2022</v>
      </c>
      <c r="D160" s="52" t="s">
        <v>209</v>
      </c>
      <c r="E160" s="52" t="s">
        <v>209</v>
      </c>
      <c r="F160" s="58">
        <v>44805</v>
      </c>
      <c r="G160" s="52">
        <f t="shared" si="4"/>
        <v>30</v>
      </c>
      <c r="H160" s="54">
        <f t="shared" si="5"/>
        <v>44810</v>
      </c>
      <c r="I160" s="142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41" t="str">
        <f>IFERROR(Inv_SY!O161/Inv_SY!$Q161-1,"")</f>
        <v/>
      </c>
    </row>
    <row r="161" spans="1:21">
      <c r="A161" s="55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59">
        <v>44805</v>
      </c>
      <c r="G161" s="55">
        <f t="shared" si="4"/>
        <v>30</v>
      </c>
      <c r="H161" s="57">
        <f t="shared" si="5"/>
        <v>44811</v>
      </c>
      <c r="I161" s="143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41" t="str">
        <f>IFERROR(Inv_SY!O162/Inv_SY!$Q162-1,"")</f>
        <v/>
      </c>
    </row>
    <row r="162" spans="1:21">
      <c r="A162" s="52" t="s">
        <v>208</v>
      </c>
      <c r="B162" s="52">
        <v>4</v>
      </c>
      <c r="C162" s="52">
        <v>2022</v>
      </c>
      <c r="D162" s="52" t="s">
        <v>209</v>
      </c>
      <c r="E162" s="52" t="s">
        <v>209</v>
      </c>
      <c r="F162" s="58">
        <v>44805</v>
      </c>
      <c r="G162" s="52">
        <f t="shared" si="4"/>
        <v>30</v>
      </c>
      <c r="H162" s="54">
        <f t="shared" si="5"/>
        <v>44812</v>
      </c>
      <c r="I162" s="142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41" t="str">
        <f>IFERROR(Inv_SY!O163/Inv_SY!$Q163-1,"")</f>
        <v/>
      </c>
    </row>
    <row r="163" spans="1:21">
      <c r="A163" s="55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59">
        <v>44805</v>
      </c>
      <c r="G163" s="55">
        <f t="shared" si="4"/>
        <v>30</v>
      </c>
      <c r="H163" s="57">
        <f t="shared" si="5"/>
        <v>44813</v>
      </c>
      <c r="I163" s="143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41" t="str">
        <f>IFERROR(Inv_SY!O164/Inv_SY!$Q164-1,"")</f>
        <v/>
      </c>
    </row>
    <row r="164" spans="1:21">
      <c r="A164" s="52" t="s">
        <v>208</v>
      </c>
      <c r="B164" s="52">
        <v>4</v>
      </c>
      <c r="C164" s="52">
        <v>2022</v>
      </c>
      <c r="D164" s="52" t="s">
        <v>209</v>
      </c>
      <c r="E164" s="52" t="s">
        <v>209</v>
      </c>
      <c r="F164" s="58">
        <v>44805</v>
      </c>
      <c r="G164" s="52">
        <f t="shared" si="4"/>
        <v>30</v>
      </c>
      <c r="H164" s="54">
        <f t="shared" si="5"/>
        <v>44814</v>
      </c>
      <c r="I164" s="142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41" t="str">
        <f>IFERROR(Inv_SY!O165/Inv_SY!$Q165-1,"")</f>
        <v/>
      </c>
    </row>
    <row r="165" spans="1:21">
      <c r="A165" s="55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59">
        <v>44805</v>
      </c>
      <c r="G165" s="55">
        <f t="shared" si="4"/>
        <v>30</v>
      </c>
      <c r="H165" s="57">
        <f t="shared" si="5"/>
        <v>44815</v>
      </c>
      <c r="I165" s="143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41" t="str">
        <f>IFERROR(Inv_SY!O166/Inv_SY!$Q166-1,"")</f>
        <v/>
      </c>
    </row>
    <row r="166" spans="1:21">
      <c r="A166" s="52" t="s">
        <v>208</v>
      </c>
      <c r="B166" s="52">
        <v>4</v>
      </c>
      <c r="C166" s="52">
        <v>2022</v>
      </c>
      <c r="D166" s="52" t="s">
        <v>209</v>
      </c>
      <c r="E166" s="52" t="s">
        <v>209</v>
      </c>
      <c r="F166" s="58">
        <v>44805</v>
      </c>
      <c r="G166" s="52">
        <f t="shared" si="4"/>
        <v>30</v>
      </c>
      <c r="H166" s="54">
        <f t="shared" si="5"/>
        <v>44816</v>
      </c>
      <c r="I166" s="142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41" t="str">
        <f>IFERROR(Inv_SY!O167/Inv_SY!$Q167-1,"")</f>
        <v/>
      </c>
    </row>
    <row r="167" spans="1:21">
      <c r="A167" s="55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59">
        <v>44805</v>
      </c>
      <c r="G167" s="55">
        <f t="shared" si="4"/>
        <v>30</v>
      </c>
      <c r="H167" s="57">
        <f t="shared" si="5"/>
        <v>44817</v>
      </c>
      <c r="I167" s="143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41" t="str">
        <f>IFERROR(Inv_SY!O168/Inv_SY!$Q168-1,"")</f>
        <v/>
      </c>
    </row>
    <row r="168" spans="1:21">
      <c r="A168" s="52" t="s">
        <v>208</v>
      </c>
      <c r="B168" s="52">
        <v>4</v>
      </c>
      <c r="C168" s="52">
        <v>2022</v>
      </c>
      <c r="D168" s="52" t="s">
        <v>209</v>
      </c>
      <c r="E168" s="52" t="s">
        <v>209</v>
      </c>
      <c r="F168" s="58">
        <v>44805</v>
      </c>
      <c r="G168" s="52">
        <f t="shared" si="4"/>
        <v>30</v>
      </c>
      <c r="H168" s="54">
        <f t="shared" si="5"/>
        <v>44818</v>
      </c>
      <c r="I168" s="142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41" t="str">
        <f>IFERROR(Inv_SY!O169/Inv_SY!$Q169-1,"")</f>
        <v/>
      </c>
    </row>
    <row r="169" spans="1:21">
      <c r="A169" s="55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59">
        <v>44805</v>
      </c>
      <c r="G169" s="55">
        <f t="shared" si="4"/>
        <v>30</v>
      </c>
      <c r="H169" s="57">
        <f t="shared" si="5"/>
        <v>44819</v>
      </c>
      <c r="I169" s="143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41" t="str">
        <f>IFERROR(Inv_SY!O170/Inv_SY!$Q170-1,"")</f>
        <v/>
      </c>
    </row>
    <row r="170" spans="1:21">
      <c r="A170" s="52" t="s">
        <v>208</v>
      </c>
      <c r="B170" s="52">
        <v>4</v>
      </c>
      <c r="C170" s="52">
        <v>2022</v>
      </c>
      <c r="D170" s="52" t="s">
        <v>209</v>
      </c>
      <c r="E170" s="52" t="s">
        <v>209</v>
      </c>
      <c r="F170" s="58">
        <v>44805</v>
      </c>
      <c r="G170" s="52">
        <f t="shared" si="4"/>
        <v>30</v>
      </c>
      <c r="H170" s="54">
        <f t="shared" si="5"/>
        <v>44820</v>
      </c>
      <c r="I170" s="142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41" t="str">
        <f>IFERROR(Inv_SY!O171/Inv_SY!$Q171-1,"")</f>
        <v/>
      </c>
    </row>
    <row r="171" spans="1:21">
      <c r="A171" s="55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59">
        <v>44805</v>
      </c>
      <c r="G171" s="55">
        <f t="shared" si="4"/>
        <v>30</v>
      </c>
      <c r="H171" s="57">
        <f t="shared" si="5"/>
        <v>44821</v>
      </c>
      <c r="I171" s="143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41" t="str">
        <f>IFERROR(Inv_SY!O172/Inv_SY!$Q172-1,"")</f>
        <v/>
      </c>
    </row>
    <row r="172" spans="1:21">
      <c r="A172" s="52" t="s">
        <v>208</v>
      </c>
      <c r="B172" s="52">
        <v>4</v>
      </c>
      <c r="C172" s="52">
        <v>2022</v>
      </c>
      <c r="D172" s="52" t="s">
        <v>209</v>
      </c>
      <c r="E172" s="52" t="s">
        <v>209</v>
      </c>
      <c r="F172" s="58">
        <v>44805</v>
      </c>
      <c r="G172" s="52">
        <f t="shared" si="4"/>
        <v>30</v>
      </c>
      <c r="H172" s="54">
        <f t="shared" si="5"/>
        <v>44822</v>
      </c>
      <c r="I172" s="142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41" t="str">
        <f>IFERROR(Inv_SY!O173/Inv_SY!$Q173-1,"")</f>
        <v/>
      </c>
    </row>
    <row r="173" spans="1:21">
      <c r="A173" s="55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59">
        <v>44805</v>
      </c>
      <c r="G173" s="55">
        <f t="shared" si="4"/>
        <v>30</v>
      </c>
      <c r="H173" s="57">
        <f t="shared" si="5"/>
        <v>44823</v>
      </c>
      <c r="I173" s="143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41" t="str">
        <f>IFERROR(Inv_SY!O174/Inv_SY!$Q174-1,"")</f>
        <v/>
      </c>
    </row>
    <row r="174" spans="1:21">
      <c r="A174" s="52" t="s">
        <v>208</v>
      </c>
      <c r="B174" s="52">
        <v>4</v>
      </c>
      <c r="C174" s="52">
        <v>2022</v>
      </c>
      <c r="D174" s="52" t="s">
        <v>209</v>
      </c>
      <c r="E174" s="52" t="s">
        <v>209</v>
      </c>
      <c r="F174" s="58">
        <v>44805</v>
      </c>
      <c r="G174" s="52">
        <f t="shared" si="4"/>
        <v>30</v>
      </c>
      <c r="H174" s="54">
        <f t="shared" si="5"/>
        <v>44824</v>
      </c>
      <c r="I174" s="142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41" t="str">
        <f>IFERROR(Inv_SY!O175/Inv_SY!$Q175-1,"")</f>
        <v/>
      </c>
    </row>
    <row r="175" spans="1:21">
      <c r="A175" s="55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59">
        <v>44805</v>
      </c>
      <c r="G175" s="55">
        <f t="shared" si="4"/>
        <v>30</v>
      </c>
      <c r="H175" s="57">
        <f t="shared" si="5"/>
        <v>44825</v>
      </c>
      <c r="I175" s="143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41" t="str">
        <f>IFERROR(Inv_SY!O176/Inv_SY!$Q176-1,"")</f>
        <v/>
      </c>
    </row>
    <row r="176" spans="1:21">
      <c r="A176" s="52" t="s">
        <v>208</v>
      </c>
      <c r="B176" s="52">
        <v>4</v>
      </c>
      <c r="C176" s="52">
        <v>2022</v>
      </c>
      <c r="D176" s="52" t="s">
        <v>209</v>
      </c>
      <c r="E176" s="52" t="s">
        <v>209</v>
      </c>
      <c r="F176" s="58">
        <v>44805</v>
      </c>
      <c r="G176" s="52">
        <f t="shared" si="4"/>
        <v>30</v>
      </c>
      <c r="H176" s="54">
        <f t="shared" si="5"/>
        <v>44826</v>
      </c>
      <c r="I176" s="142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41" t="str">
        <f>IFERROR(Inv_SY!O177/Inv_SY!$Q177-1,"")</f>
        <v/>
      </c>
    </row>
    <row r="177" spans="1:21">
      <c r="A177" s="55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59">
        <v>44805</v>
      </c>
      <c r="G177" s="55">
        <f t="shared" si="4"/>
        <v>30</v>
      </c>
      <c r="H177" s="57">
        <f t="shared" si="5"/>
        <v>44827</v>
      </c>
      <c r="I177" s="143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41" t="str">
        <f>IFERROR(Inv_SY!O178/Inv_SY!$Q178-1,"")</f>
        <v/>
      </c>
    </row>
    <row r="178" spans="1:21">
      <c r="A178" s="52" t="s">
        <v>208</v>
      </c>
      <c r="B178" s="52">
        <v>4</v>
      </c>
      <c r="C178" s="52">
        <v>2022</v>
      </c>
      <c r="D178" s="52" t="s">
        <v>209</v>
      </c>
      <c r="E178" s="52" t="s">
        <v>209</v>
      </c>
      <c r="F178" s="58">
        <v>44805</v>
      </c>
      <c r="G178" s="52">
        <f t="shared" si="4"/>
        <v>30</v>
      </c>
      <c r="H178" s="54">
        <f t="shared" si="5"/>
        <v>44828</v>
      </c>
      <c r="I178" s="142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41" t="str">
        <f>IFERROR(Inv_SY!O179/Inv_SY!$Q179-1,"")</f>
        <v/>
      </c>
    </row>
    <row r="179" spans="1:21">
      <c r="A179" s="55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59">
        <v>44805</v>
      </c>
      <c r="G179" s="55">
        <f t="shared" si="4"/>
        <v>30</v>
      </c>
      <c r="H179" s="57">
        <f t="shared" si="5"/>
        <v>44829</v>
      </c>
      <c r="I179" s="143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41" t="str">
        <f>IFERROR(Inv_SY!O180/Inv_SY!$Q180-1,"")</f>
        <v/>
      </c>
    </row>
    <row r="180" spans="1:21">
      <c r="A180" s="52" t="s">
        <v>208</v>
      </c>
      <c r="B180" s="52">
        <v>4</v>
      </c>
      <c r="C180" s="52">
        <v>2022</v>
      </c>
      <c r="D180" s="52" t="s">
        <v>209</v>
      </c>
      <c r="E180" s="52" t="s">
        <v>209</v>
      </c>
      <c r="F180" s="58">
        <v>44805</v>
      </c>
      <c r="G180" s="52">
        <f t="shared" si="4"/>
        <v>30</v>
      </c>
      <c r="H180" s="54">
        <f t="shared" si="5"/>
        <v>44830</v>
      </c>
      <c r="I180" s="142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41" t="str">
        <f>IFERROR(Inv_SY!O181/Inv_SY!$Q181-1,"")</f>
        <v/>
      </c>
    </row>
    <row r="181" spans="1:21">
      <c r="A181" s="55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59">
        <v>44805</v>
      </c>
      <c r="G181" s="55">
        <f t="shared" si="4"/>
        <v>30</v>
      </c>
      <c r="H181" s="57">
        <f t="shared" si="5"/>
        <v>44831</v>
      </c>
      <c r="I181" s="143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41" t="str">
        <f>IFERROR(Inv_SY!O182/Inv_SY!$Q182-1,"")</f>
        <v/>
      </c>
    </row>
    <row r="182" spans="1:21">
      <c r="A182" s="52" t="s">
        <v>208</v>
      </c>
      <c r="B182" s="52">
        <v>4</v>
      </c>
      <c r="C182" s="52">
        <v>2022</v>
      </c>
      <c r="D182" s="52" t="s">
        <v>209</v>
      </c>
      <c r="E182" s="52" t="s">
        <v>209</v>
      </c>
      <c r="F182" s="58">
        <v>44805</v>
      </c>
      <c r="G182" s="52">
        <f t="shared" si="4"/>
        <v>30</v>
      </c>
      <c r="H182" s="54">
        <f t="shared" si="5"/>
        <v>44832</v>
      </c>
      <c r="I182" s="142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41" t="str">
        <f>IFERROR(Inv_SY!O183/Inv_SY!$Q183-1,"")</f>
        <v/>
      </c>
    </row>
    <row r="183" spans="1:21">
      <c r="A183" s="55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59">
        <v>44805</v>
      </c>
      <c r="G183" s="55">
        <f t="shared" si="4"/>
        <v>30</v>
      </c>
      <c r="H183" s="57">
        <f t="shared" si="5"/>
        <v>44833</v>
      </c>
      <c r="I183" s="143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41" t="str">
        <f>IFERROR(Inv_SY!O184/Inv_SY!$Q184-1,"")</f>
        <v/>
      </c>
    </row>
    <row r="184" spans="1:21">
      <c r="A184" s="52" t="s">
        <v>208</v>
      </c>
      <c r="B184" s="52">
        <v>4</v>
      </c>
      <c r="C184" s="52">
        <v>2022</v>
      </c>
      <c r="D184" s="52" t="s">
        <v>209</v>
      </c>
      <c r="E184" s="52" t="s">
        <v>209</v>
      </c>
      <c r="F184" s="58">
        <v>44805</v>
      </c>
      <c r="G184" s="52">
        <f t="shared" si="4"/>
        <v>30</v>
      </c>
      <c r="H184" s="54">
        <f t="shared" si="5"/>
        <v>44834</v>
      </c>
      <c r="I184" s="142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41" t="str">
        <f>IFERROR(Inv_SY!O185/Inv_SY!$Q185-1,"")</f>
        <v/>
      </c>
    </row>
    <row r="185" spans="1:21">
      <c r="A185" s="55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59">
        <v>44835</v>
      </c>
      <c r="G185" s="55">
        <f t="shared" si="4"/>
        <v>31</v>
      </c>
      <c r="H185" s="57">
        <f t="shared" si="5"/>
        <v>44835</v>
      </c>
      <c r="I185" s="143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41" t="str">
        <f>IFERROR(Inv_SY!O186/Inv_SY!$Q186-1,"")</f>
        <v/>
      </c>
    </row>
    <row r="186" spans="1:21">
      <c r="A186" s="52" t="s">
        <v>208</v>
      </c>
      <c r="B186" s="52">
        <v>4</v>
      </c>
      <c r="C186" s="52">
        <v>2022</v>
      </c>
      <c r="D186" s="52" t="s">
        <v>209</v>
      </c>
      <c r="E186" s="52" t="s">
        <v>209</v>
      </c>
      <c r="F186" s="58">
        <v>44835</v>
      </c>
      <c r="G186" s="52">
        <f t="shared" si="4"/>
        <v>31</v>
      </c>
      <c r="H186" s="54">
        <f t="shared" si="5"/>
        <v>44836</v>
      </c>
      <c r="I186" s="142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41" t="str">
        <f>IFERROR(Inv_SY!O187/Inv_SY!$Q187-1,"")</f>
        <v/>
      </c>
    </row>
    <row r="187" spans="1:21">
      <c r="A187" s="55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59">
        <v>44835</v>
      </c>
      <c r="G187" s="55">
        <f t="shared" si="4"/>
        <v>31</v>
      </c>
      <c r="H187" s="57">
        <f t="shared" si="5"/>
        <v>44837</v>
      </c>
      <c r="I187" s="143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41" t="str">
        <f>IFERROR(Inv_SY!O188/Inv_SY!$Q188-1,"")</f>
        <v/>
      </c>
    </row>
    <row r="188" spans="1:21">
      <c r="A188" s="52" t="s">
        <v>208</v>
      </c>
      <c r="B188" s="52">
        <v>4</v>
      </c>
      <c r="C188" s="52">
        <v>2022</v>
      </c>
      <c r="D188" s="52" t="s">
        <v>209</v>
      </c>
      <c r="E188" s="52" t="s">
        <v>209</v>
      </c>
      <c r="F188" s="58">
        <v>44835</v>
      </c>
      <c r="G188" s="52">
        <f t="shared" si="4"/>
        <v>31</v>
      </c>
      <c r="H188" s="54">
        <f t="shared" si="5"/>
        <v>44838</v>
      </c>
      <c r="I188" s="142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41" t="str">
        <f>IFERROR(Inv_SY!O189/Inv_SY!$Q189-1,"")</f>
        <v/>
      </c>
    </row>
    <row r="189" spans="1:21">
      <c r="A189" s="55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59">
        <v>44835</v>
      </c>
      <c r="G189" s="55">
        <f t="shared" si="4"/>
        <v>31</v>
      </c>
      <c r="H189" s="57">
        <f t="shared" si="5"/>
        <v>44839</v>
      </c>
      <c r="I189" s="143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41" t="str">
        <f>IFERROR(Inv_SY!O190/Inv_SY!$Q190-1,"")</f>
        <v/>
      </c>
    </row>
    <row r="190" spans="1:21">
      <c r="A190" s="52" t="s">
        <v>208</v>
      </c>
      <c r="B190" s="52">
        <v>4</v>
      </c>
      <c r="C190" s="52">
        <v>2022</v>
      </c>
      <c r="D190" s="52" t="s">
        <v>209</v>
      </c>
      <c r="E190" s="52" t="s">
        <v>209</v>
      </c>
      <c r="F190" s="58">
        <v>44835</v>
      </c>
      <c r="G190" s="52">
        <f t="shared" si="4"/>
        <v>31</v>
      </c>
      <c r="H190" s="54">
        <f t="shared" si="5"/>
        <v>44840</v>
      </c>
      <c r="I190" s="142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41" t="str">
        <f>IFERROR(Inv_SY!O191/Inv_SY!$Q191-1,"")</f>
        <v/>
      </c>
    </row>
    <row r="191" spans="1:21">
      <c r="A191" s="55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59">
        <v>44835</v>
      </c>
      <c r="G191" s="55">
        <f t="shared" si="4"/>
        <v>31</v>
      </c>
      <c r="H191" s="57">
        <f t="shared" si="5"/>
        <v>44841</v>
      </c>
      <c r="I191" s="143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41" t="str">
        <f>IFERROR(Inv_SY!O192/Inv_SY!$Q192-1,"")</f>
        <v/>
      </c>
    </row>
    <row r="192" spans="1:21">
      <c r="A192" s="52" t="s">
        <v>208</v>
      </c>
      <c r="B192" s="52">
        <v>4</v>
      </c>
      <c r="C192" s="52">
        <v>2022</v>
      </c>
      <c r="D192" s="52" t="s">
        <v>209</v>
      </c>
      <c r="E192" s="52" t="s">
        <v>209</v>
      </c>
      <c r="F192" s="58">
        <v>44835</v>
      </c>
      <c r="G192" s="52">
        <f t="shared" si="4"/>
        <v>31</v>
      </c>
      <c r="H192" s="54">
        <f t="shared" si="5"/>
        <v>44842</v>
      </c>
      <c r="I192" s="142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41" t="str">
        <f>IFERROR(Inv_SY!O193/Inv_SY!$Q193-1,"")</f>
        <v/>
      </c>
    </row>
    <row r="193" spans="1:21">
      <c r="A193" s="55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59">
        <v>44835</v>
      </c>
      <c r="G193" s="55">
        <f t="shared" si="4"/>
        <v>31</v>
      </c>
      <c r="H193" s="57">
        <f t="shared" si="5"/>
        <v>44843</v>
      </c>
      <c r="I193" s="143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41" t="str">
        <f>IFERROR(Inv_SY!O194/Inv_SY!$Q194-1,"")</f>
        <v/>
      </c>
    </row>
    <row r="194" spans="1:21">
      <c r="A194" s="52" t="s">
        <v>208</v>
      </c>
      <c r="B194" s="52">
        <v>4</v>
      </c>
      <c r="C194" s="52">
        <v>2022</v>
      </c>
      <c r="D194" s="52" t="s">
        <v>209</v>
      </c>
      <c r="E194" s="52" t="s">
        <v>209</v>
      </c>
      <c r="F194" s="58">
        <v>44835</v>
      </c>
      <c r="G194" s="52">
        <f t="shared" si="4"/>
        <v>31</v>
      </c>
      <c r="H194" s="54">
        <f t="shared" si="5"/>
        <v>44844</v>
      </c>
      <c r="I194" s="142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41" t="str">
        <f>IFERROR(Inv_SY!O195/Inv_SY!$Q195-1,"")</f>
        <v/>
      </c>
    </row>
    <row r="195" spans="1:21">
      <c r="A195" s="55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59">
        <v>44835</v>
      </c>
      <c r="G195" s="55">
        <f t="shared" ref="G195:G258" si="6">DAY(EOMONTH(F195,0))</f>
        <v>31</v>
      </c>
      <c r="H195" s="57">
        <f t="shared" si="5"/>
        <v>44845</v>
      </c>
      <c r="I195" s="143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41" t="str">
        <f>IFERROR(Inv_SY!O196/Inv_SY!$Q196-1,"")</f>
        <v/>
      </c>
    </row>
    <row r="196" spans="1:21">
      <c r="A196" s="52" t="s">
        <v>208</v>
      </c>
      <c r="B196" s="52">
        <v>4</v>
      </c>
      <c r="C196" s="52">
        <v>2022</v>
      </c>
      <c r="D196" s="52" t="s">
        <v>209</v>
      </c>
      <c r="E196" s="52" t="s">
        <v>209</v>
      </c>
      <c r="F196" s="58">
        <v>44835</v>
      </c>
      <c r="G196" s="52">
        <f t="shared" si="6"/>
        <v>31</v>
      </c>
      <c r="H196" s="54">
        <f t="shared" ref="H196:H259" si="7">H195+1</f>
        <v>44846</v>
      </c>
      <c r="I196" s="142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41" t="str">
        <f>IFERROR(Inv_SY!O197/Inv_SY!$Q197-1,"")</f>
        <v/>
      </c>
    </row>
    <row r="197" spans="1:21">
      <c r="A197" s="55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59">
        <v>44835</v>
      </c>
      <c r="G197" s="55">
        <f t="shared" si="6"/>
        <v>31</v>
      </c>
      <c r="H197" s="57">
        <f t="shared" si="7"/>
        <v>44847</v>
      </c>
      <c r="I197" s="143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41" t="str">
        <f>IFERROR(Inv_SY!O198/Inv_SY!$Q198-1,"")</f>
        <v/>
      </c>
    </row>
    <row r="198" spans="1:21">
      <c r="A198" s="52" t="s">
        <v>208</v>
      </c>
      <c r="B198" s="52">
        <v>4</v>
      </c>
      <c r="C198" s="52">
        <v>2022</v>
      </c>
      <c r="D198" s="52" t="s">
        <v>209</v>
      </c>
      <c r="E198" s="52" t="s">
        <v>209</v>
      </c>
      <c r="F198" s="58">
        <v>44835</v>
      </c>
      <c r="G198" s="52">
        <f t="shared" si="6"/>
        <v>31</v>
      </c>
      <c r="H198" s="54">
        <f t="shared" si="7"/>
        <v>44848</v>
      </c>
      <c r="I198" s="142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41" t="str">
        <f>IFERROR(Inv_SY!O199/Inv_SY!$Q199-1,"")</f>
        <v/>
      </c>
    </row>
    <row r="199" spans="1:21">
      <c r="A199" s="55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59">
        <v>44835</v>
      </c>
      <c r="G199" s="55">
        <f t="shared" si="6"/>
        <v>31</v>
      </c>
      <c r="H199" s="57">
        <f t="shared" si="7"/>
        <v>44849</v>
      </c>
      <c r="I199" s="143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41" t="str">
        <f>IFERROR(Inv_SY!O200/Inv_SY!$Q200-1,"")</f>
        <v/>
      </c>
    </row>
    <row r="200" spans="1:21">
      <c r="A200" s="52" t="s">
        <v>208</v>
      </c>
      <c r="B200" s="52">
        <v>4</v>
      </c>
      <c r="C200" s="52">
        <v>2022</v>
      </c>
      <c r="D200" s="52" t="s">
        <v>209</v>
      </c>
      <c r="E200" s="52" t="s">
        <v>209</v>
      </c>
      <c r="F200" s="58">
        <v>44835</v>
      </c>
      <c r="G200" s="52">
        <f t="shared" si="6"/>
        <v>31</v>
      </c>
      <c r="H200" s="54">
        <f t="shared" si="7"/>
        <v>44850</v>
      </c>
      <c r="I200" s="142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41" t="str">
        <f>IFERROR(Inv_SY!O201/Inv_SY!$Q201-1,"")</f>
        <v/>
      </c>
    </row>
    <row r="201" spans="1:21">
      <c r="A201" s="55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59">
        <v>44835</v>
      </c>
      <c r="G201" s="55">
        <f t="shared" si="6"/>
        <v>31</v>
      </c>
      <c r="H201" s="57">
        <f t="shared" si="7"/>
        <v>44851</v>
      </c>
      <c r="I201" s="143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41" t="str">
        <f>IFERROR(Inv_SY!O202/Inv_SY!$Q202-1,"")</f>
        <v/>
      </c>
    </row>
    <row r="202" spans="1:21">
      <c r="A202" s="52" t="s">
        <v>208</v>
      </c>
      <c r="B202" s="52">
        <v>4</v>
      </c>
      <c r="C202" s="52">
        <v>2022</v>
      </c>
      <c r="D202" s="52" t="s">
        <v>209</v>
      </c>
      <c r="E202" s="52" t="s">
        <v>209</v>
      </c>
      <c r="F202" s="58">
        <v>44835</v>
      </c>
      <c r="G202" s="52">
        <f t="shared" si="6"/>
        <v>31</v>
      </c>
      <c r="H202" s="54">
        <f t="shared" si="7"/>
        <v>44852</v>
      </c>
      <c r="I202" s="142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41" t="str">
        <f>IFERROR(Inv_SY!O203/Inv_SY!$Q203-1,"")</f>
        <v/>
      </c>
    </row>
    <row r="203" spans="1:21">
      <c r="A203" s="55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59">
        <v>44835</v>
      </c>
      <c r="G203" s="55">
        <f t="shared" si="6"/>
        <v>31</v>
      </c>
      <c r="H203" s="57">
        <f t="shared" si="7"/>
        <v>44853</v>
      </c>
      <c r="I203" s="143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41" t="str">
        <f>IFERROR(Inv_SY!O204/Inv_SY!$Q204-1,"")</f>
        <v/>
      </c>
    </row>
    <row r="204" spans="1:21">
      <c r="A204" s="52" t="s">
        <v>208</v>
      </c>
      <c r="B204" s="52">
        <v>4</v>
      </c>
      <c r="C204" s="52">
        <v>2022</v>
      </c>
      <c r="D204" s="52" t="s">
        <v>209</v>
      </c>
      <c r="E204" s="52" t="s">
        <v>209</v>
      </c>
      <c r="F204" s="58">
        <v>44835</v>
      </c>
      <c r="G204" s="52">
        <f t="shared" si="6"/>
        <v>31</v>
      </c>
      <c r="H204" s="54">
        <f t="shared" si="7"/>
        <v>44854</v>
      </c>
      <c r="I204" s="142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41" t="str">
        <f>IFERROR(Inv_SY!O205/Inv_SY!$Q205-1,"")</f>
        <v/>
      </c>
    </row>
    <row r="205" spans="1:21">
      <c r="A205" s="55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59">
        <v>44835</v>
      </c>
      <c r="G205" s="55">
        <f t="shared" si="6"/>
        <v>31</v>
      </c>
      <c r="H205" s="57">
        <f t="shared" si="7"/>
        <v>44855</v>
      </c>
      <c r="I205" s="143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41" t="str">
        <f>IFERROR(Inv_SY!O206/Inv_SY!$Q206-1,"")</f>
        <v/>
      </c>
    </row>
    <row r="206" spans="1:21">
      <c r="A206" s="52" t="s">
        <v>208</v>
      </c>
      <c r="B206" s="52">
        <v>4</v>
      </c>
      <c r="C206" s="52">
        <v>2022</v>
      </c>
      <c r="D206" s="52" t="s">
        <v>209</v>
      </c>
      <c r="E206" s="52" t="s">
        <v>209</v>
      </c>
      <c r="F206" s="58">
        <v>44835</v>
      </c>
      <c r="G206" s="52">
        <f t="shared" si="6"/>
        <v>31</v>
      </c>
      <c r="H206" s="54">
        <f t="shared" si="7"/>
        <v>44856</v>
      </c>
      <c r="I206" s="142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41" t="str">
        <f>IFERROR(Inv_SY!O207/Inv_SY!$Q207-1,"")</f>
        <v/>
      </c>
    </row>
    <row r="207" spans="1:21">
      <c r="A207" s="55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59">
        <v>44835</v>
      </c>
      <c r="G207" s="55">
        <f t="shared" si="6"/>
        <v>31</v>
      </c>
      <c r="H207" s="57">
        <f t="shared" si="7"/>
        <v>44857</v>
      </c>
      <c r="I207" s="143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41" t="str">
        <f>IFERROR(Inv_SY!O208/Inv_SY!$Q208-1,"")</f>
        <v/>
      </c>
    </row>
    <row r="208" spans="1:21">
      <c r="A208" s="52" t="s">
        <v>208</v>
      </c>
      <c r="B208" s="52">
        <v>4</v>
      </c>
      <c r="C208" s="52">
        <v>2022</v>
      </c>
      <c r="D208" s="52" t="s">
        <v>209</v>
      </c>
      <c r="E208" s="52" t="s">
        <v>209</v>
      </c>
      <c r="F208" s="58">
        <v>44835</v>
      </c>
      <c r="G208" s="52">
        <f t="shared" si="6"/>
        <v>31</v>
      </c>
      <c r="H208" s="54">
        <f t="shared" si="7"/>
        <v>44858</v>
      </c>
      <c r="I208" s="142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41" t="str">
        <f>IFERROR(Inv_SY!O209/Inv_SY!$Q209-1,"")</f>
        <v/>
      </c>
    </row>
    <row r="209" spans="1:21">
      <c r="A209" s="55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59">
        <v>44835</v>
      </c>
      <c r="G209" s="55">
        <f t="shared" si="6"/>
        <v>31</v>
      </c>
      <c r="H209" s="57">
        <f t="shared" si="7"/>
        <v>44859</v>
      </c>
      <c r="I209" s="143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41" t="str">
        <f>IFERROR(Inv_SY!O210/Inv_SY!$Q210-1,"")</f>
        <v/>
      </c>
    </row>
    <row r="210" spans="1:21">
      <c r="A210" s="52" t="s">
        <v>208</v>
      </c>
      <c r="B210" s="52">
        <v>4</v>
      </c>
      <c r="C210" s="52">
        <v>2022</v>
      </c>
      <c r="D210" s="52" t="s">
        <v>209</v>
      </c>
      <c r="E210" s="52" t="s">
        <v>209</v>
      </c>
      <c r="F210" s="58">
        <v>44835</v>
      </c>
      <c r="G210" s="52">
        <f t="shared" si="6"/>
        <v>31</v>
      </c>
      <c r="H210" s="54">
        <f t="shared" si="7"/>
        <v>44860</v>
      </c>
      <c r="I210" s="142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41" t="str">
        <f>IFERROR(Inv_SY!O211/Inv_SY!$Q211-1,"")</f>
        <v/>
      </c>
    </row>
    <row r="211" spans="1:21">
      <c r="A211" s="55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59">
        <v>44835</v>
      </c>
      <c r="G211" s="55">
        <f t="shared" si="6"/>
        <v>31</v>
      </c>
      <c r="H211" s="57">
        <f t="shared" si="7"/>
        <v>44861</v>
      </c>
      <c r="I211" s="143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41" t="str">
        <f>IFERROR(Inv_SY!O212/Inv_SY!$Q212-1,"")</f>
        <v/>
      </c>
    </row>
    <row r="212" spans="1:21">
      <c r="A212" s="52" t="s">
        <v>208</v>
      </c>
      <c r="B212" s="52">
        <v>4</v>
      </c>
      <c r="C212" s="52">
        <v>2022</v>
      </c>
      <c r="D212" s="52" t="s">
        <v>209</v>
      </c>
      <c r="E212" s="52" t="s">
        <v>209</v>
      </c>
      <c r="F212" s="58">
        <v>44835</v>
      </c>
      <c r="G212" s="52">
        <f t="shared" si="6"/>
        <v>31</v>
      </c>
      <c r="H212" s="54">
        <f t="shared" si="7"/>
        <v>44862</v>
      </c>
      <c r="I212" s="142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41" t="str">
        <f>IFERROR(Inv_SY!O213/Inv_SY!$Q213-1,"")</f>
        <v/>
      </c>
    </row>
    <row r="213" spans="1:21">
      <c r="A213" s="55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59">
        <v>44835</v>
      </c>
      <c r="G213" s="55">
        <f t="shared" si="6"/>
        <v>31</v>
      </c>
      <c r="H213" s="57">
        <f t="shared" si="7"/>
        <v>44863</v>
      </c>
      <c r="I213" s="143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41" t="str">
        <f>IFERROR(Inv_SY!O214/Inv_SY!$Q214-1,"")</f>
        <v/>
      </c>
    </row>
    <row r="214" spans="1:21">
      <c r="A214" s="52" t="s">
        <v>208</v>
      </c>
      <c r="B214" s="52">
        <v>4</v>
      </c>
      <c r="C214" s="52">
        <v>2022</v>
      </c>
      <c r="D214" s="52" t="s">
        <v>209</v>
      </c>
      <c r="E214" s="52" t="s">
        <v>209</v>
      </c>
      <c r="F214" s="58">
        <v>44835</v>
      </c>
      <c r="G214" s="52">
        <f t="shared" si="6"/>
        <v>31</v>
      </c>
      <c r="H214" s="54">
        <f t="shared" si="7"/>
        <v>44864</v>
      </c>
      <c r="I214" s="142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41" t="str">
        <f>IFERROR(Inv_SY!O215/Inv_SY!$Q215-1,"")</f>
        <v/>
      </c>
    </row>
    <row r="215" spans="1:21">
      <c r="A215" s="55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59">
        <v>44835</v>
      </c>
      <c r="G215" s="55">
        <f t="shared" si="6"/>
        <v>31</v>
      </c>
      <c r="H215" s="57">
        <f t="shared" si="7"/>
        <v>44865</v>
      </c>
      <c r="I215" s="143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41" t="str">
        <f>IFERROR(Inv_SY!O216/Inv_SY!$Q216-1,"")</f>
        <v/>
      </c>
    </row>
    <row r="216" spans="1:21">
      <c r="A216" s="52" t="s">
        <v>208</v>
      </c>
      <c r="B216" s="52">
        <v>4</v>
      </c>
      <c r="C216" s="52">
        <v>2022</v>
      </c>
      <c r="D216" s="52" t="s">
        <v>209</v>
      </c>
      <c r="E216" s="52" t="s">
        <v>209</v>
      </c>
      <c r="F216" s="58">
        <v>44866</v>
      </c>
      <c r="G216" s="52">
        <f t="shared" si="6"/>
        <v>30</v>
      </c>
      <c r="H216" s="54">
        <f t="shared" si="7"/>
        <v>44866</v>
      </c>
      <c r="I216" s="142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41" t="str">
        <f>IFERROR(Inv_SY!O217/Inv_SY!$Q217-1,"")</f>
        <v/>
      </c>
    </row>
    <row r="217" spans="1:21">
      <c r="A217" s="55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59">
        <v>44866</v>
      </c>
      <c r="G217" s="55">
        <f t="shared" si="6"/>
        <v>30</v>
      </c>
      <c r="H217" s="57">
        <f t="shared" si="7"/>
        <v>44867</v>
      </c>
      <c r="I217" s="143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41" t="str">
        <f>IFERROR(Inv_SY!O218/Inv_SY!$Q218-1,"")</f>
        <v/>
      </c>
    </row>
    <row r="218" spans="1:21">
      <c r="A218" s="52" t="s">
        <v>208</v>
      </c>
      <c r="B218" s="52">
        <v>4</v>
      </c>
      <c r="C218" s="52">
        <v>2022</v>
      </c>
      <c r="D218" s="52" t="s">
        <v>209</v>
      </c>
      <c r="E218" s="52" t="s">
        <v>209</v>
      </c>
      <c r="F218" s="58">
        <v>44866</v>
      </c>
      <c r="G218" s="52">
        <f t="shared" si="6"/>
        <v>30</v>
      </c>
      <c r="H218" s="54">
        <f t="shared" si="7"/>
        <v>44868</v>
      </c>
      <c r="I218" s="142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41" t="str">
        <f>IFERROR(Inv_SY!O219/Inv_SY!$Q219-1,"")</f>
        <v/>
      </c>
    </row>
    <row r="219" spans="1:21">
      <c r="A219" s="55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59">
        <v>44866</v>
      </c>
      <c r="G219" s="55">
        <f t="shared" si="6"/>
        <v>30</v>
      </c>
      <c r="H219" s="57">
        <f t="shared" si="7"/>
        <v>44869</v>
      </c>
      <c r="I219" s="143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41" t="str">
        <f>IFERROR(Inv_SY!O220/Inv_SY!$Q220-1,"")</f>
        <v/>
      </c>
    </row>
    <row r="220" spans="1:21">
      <c r="A220" s="52" t="s">
        <v>208</v>
      </c>
      <c r="B220" s="52">
        <v>4</v>
      </c>
      <c r="C220" s="52">
        <v>2022</v>
      </c>
      <c r="D220" s="52" t="s">
        <v>209</v>
      </c>
      <c r="E220" s="52" t="s">
        <v>209</v>
      </c>
      <c r="F220" s="58">
        <v>44866</v>
      </c>
      <c r="G220" s="52">
        <f t="shared" si="6"/>
        <v>30</v>
      </c>
      <c r="H220" s="54">
        <f t="shared" si="7"/>
        <v>44870</v>
      </c>
      <c r="I220" s="142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41" t="str">
        <f>IFERROR(Inv_SY!O221/Inv_SY!$Q221-1,"")</f>
        <v/>
      </c>
    </row>
    <row r="221" spans="1:21">
      <c r="A221" s="55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59">
        <v>44866</v>
      </c>
      <c r="G221" s="55">
        <f t="shared" si="6"/>
        <v>30</v>
      </c>
      <c r="H221" s="57">
        <f t="shared" si="7"/>
        <v>44871</v>
      </c>
      <c r="I221" s="143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41" t="str">
        <f>IFERROR(Inv_SY!O222/Inv_SY!$Q222-1,"")</f>
        <v/>
      </c>
    </row>
    <row r="222" spans="1:21">
      <c r="A222" s="52" t="s">
        <v>208</v>
      </c>
      <c r="B222" s="52">
        <v>4</v>
      </c>
      <c r="C222" s="52">
        <v>2022</v>
      </c>
      <c r="D222" s="52" t="s">
        <v>209</v>
      </c>
      <c r="E222" s="52" t="s">
        <v>209</v>
      </c>
      <c r="F222" s="58">
        <v>44866</v>
      </c>
      <c r="G222" s="52">
        <f t="shared" si="6"/>
        <v>30</v>
      </c>
      <c r="H222" s="54">
        <f t="shared" si="7"/>
        <v>44872</v>
      </c>
      <c r="I222" s="142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41" t="str">
        <f>IFERROR(Inv_SY!O223/Inv_SY!$Q223-1,"")</f>
        <v/>
      </c>
    </row>
    <row r="223" spans="1:21">
      <c r="A223" s="55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59">
        <v>44866</v>
      </c>
      <c r="G223" s="55">
        <f t="shared" si="6"/>
        <v>30</v>
      </c>
      <c r="H223" s="57">
        <f t="shared" si="7"/>
        <v>44873</v>
      </c>
      <c r="I223" s="143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41" t="str">
        <f>IFERROR(Inv_SY!O224/Inv_SY!$Q224-1,"")</f>
        <v/>
      </c>
    </row>
    <row r="224" spans="1:21">
      <c r="A224" s="52" t="s">
        <v>208</v>
      </c>
      <c r="B224" s="52">
        <v>4</v>
      </c>
      <c r="C224" s="52">
        <v>2022</v>
      </c>
      <c r="D224" s="52" t="s">
        <v>209</v>
      </c>
      <c r="E224" s="52" t="s">
        <v>209</v>
      </c>
      <c r="F224" s="58">
        <v>44866</v>
      </c>
      <c r="G224" s="52">
        <f t="shared" si="6"/>
        <v>30</v>
      </c>
      <c r="H224" s="54">
        <f t="shared" si="7"/>
        <v>44874</v>
      </c>
      <c r="I224" s="142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41" t="str">
        <f>IFERROR(Inv_SY!O225/Inv_SY!$Q225-1,"")</f>
        <v/>
      </c>
    </row>
    <row r="225" spans="1:21">
      <c r="A225" s="55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59">
        <v>44866</v>
      </c>
      <c r="G225" s="55">
        <f t="shared" si="6"/>
        <v>30</v>
      </c>
      <c r="H225" s="57">
        <f t="shared" si="7"/>
        <v>44875</v>
      </c>
      <c r="I225" s="143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41" t="str">
        <f>IFERROR(Inv_SY!O226/Inv_SY!$Q226-1,"")</f>
        <v/>
      </c>
    </row>
    <row r="226" spans="1:21">
      <c r="A226" s="52" t="s">
        <v>208</v>
      </c>
      <c r="B226" s="52">
        <v>4</v>
      </c>
      <c r="C226" s="52">
        <v>2022</v>
      </c>
      <c r="D226" s="52" t="s">
        <v>209</v>
      </c>
      <c r="E226" s="52" t="s">
        <v>209</v>
      </c>
      <c r="F226" s="58">
        <v>44866</v>
      </c>
      <c r="G226" s="52">
        <f t="shared" si="6"/>
        <v>30</v>
      </c>
      <c r="H226" s="54">
        <f t="shared" si="7"/>
        <v>44876</v>
      </c>
      <c r="I226" s="142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41" t="str">
        <f>IFERROR(Inv_SY!O227/Inv_SY!$Q227-1,"")</f>
        <v/>
      </c>
    </row>
    <row r="227" spans="1:21">
      <c r="A227" s="55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59">
        <v>44866</v>
      </c>
      <c r="G227" s="55">
        <f t="shared" si="6"/>
        <v>30</v>
      </c>
      <c r="H227" s="57">
        <f t="shared" si="7"/>
        <v>44877</v>
      </c>
      <c r="I227" s="143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41" t="str">
        <f>IFERROR(Inv_SY!O228/Inv_SY!$Q228-1,"")</f>
        <v/>
      </c>
    </row>
    <row r="228" spans="1:21">
      <c r="A228" s="52" t="s">
        <v>208</v>
      </c>
      <c r="B228" s="52">
        <v>4</v>
      </c>
      <c r="C228" s="52">
        <v>2022</v>
      </c>
      <c r="D228" s="52" t="s">
        <v>209</v>
      </c>
      <c r="E228" s="52" t="s">
        <v>209</v>
      </c>
      <c r="F228" s="58">
        <v>44866</v>
      </c>
      <c r="G228" s="52">
        <f t="shared" si="6"/>
        <v>30</v>
      </c>
      <c r="H228" s="54">
        <f t="shared" si="7"/>
        <v>44878</v>
      </c>
      <c r="I228" s="142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41" t="str">
        <f>IFERROR(Inv_SY!O229/Inv_SY!$Q229-1,"")</f>
        <v/>
      </c>
    </row>
    <row r="229" spans="1:21">
      <c r="A229" s="55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59">
        <v>44866</v>
      </c>
      <c r="G229" s="55">
        <f t="shared" si="6"/>
        <v>30</v>
      </c>
      <c r="H229" s="57">
        <f t="shared" si="7"/>
        <v>44879</v>
      </c>
      <c r="I229" s="143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41" t="str">
        <f>IFERROR(Inv_SY!O230/Inv_SY!$Q230-1,"")</f>
        <v/>
      </c>
    </row>
    <row r="230" spans="1:21">
      <c r="A230" s="52" t="s">
        <v>208</v>
      </c>
      <c r="B230" s="52">
        <v>4</v>
      </c>
      <c r="C230" s="52">
        <v>2022</v>
      </c>
      <c r="D230" s="52" t="s">
        <v>209</v>
      </c>
      <c r="E230" s="52" t="s">
        <v>209</v>
      </c>
      <c r="F230" s="58">
        <v>44866</v>
      </c>
      <c r="G230" s="52">
        <f t="shared" si="6"/>
        <v>30</v>
      </c>
      <c r="H230" s="54">
        <f t="shared" si="7"/>
        <v>44880</v>
      </c>
      <c r="I230" s="142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41" t="str">
        <f>IFERROR(Inv_SY!O231/Inv_SY!$Q231-1,"")</f>
        <v/>
      </c>
    </row>
    <row r="231" spans="1:21">
      <c r="A231" s="55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59">
        <v>44866</v>
      </c>
      <c r="G231" s="55">
        <f t="shared" si="6"/>
        <v>30</v>
      </c>
      <c r="H231" s="57">
        <f t="shared" si="7"/>
        <v>44881</v>
      </c>
      <c r="I231" s="143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41" t="str">
        <f>IFERROR(Inv_SY!O232/Inv_SY!$Q232-1,"")</f>
        <v/>
      </c>
    </row>
    <row r="232" spans="1:21">
      <c r="A232" s="52" t="s">
        <v>208</v>
      </c>
      <c r="B232" s="52">
        <v>4</v>
      </c>
      <c r="C232" s="52">
        <v>2022</v>
      </c>
      <c r="D232" s="52" t="s">
        <v>209</v>
      </c>
      <c r="E232" s="52" t="s">
        <v>209</v>
      </c>
      <c r="F232" s="58">
        <v>44866</v>
      </c>
      <c r="G232" s="52">
        <f t="shared" si="6"/>
        <v>30</v>
      </c>
      <c r="H232" s="54">
        <f t="shared" si="7"/>
        <v>44882</v>
      </c>
      <c r="I232" s="142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41" t="str">
        <f>IFERROR(Inv_SY!O233/Inv_SY!$Q233-1,"")</f>
        <v/>
      </c>
    </row>
    <row r="233" spans="1:21">
      <c r="A233" s="55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59">
        <v>44866</v>
      </c>
      <c r="G233" s="55">
        <f t="shared" si="6"/>
        <v>30</v>
      </c>
      <c r="H233" s="57">
        <f t="shared" si="7"/>
        <v>44883</v>
      </c>
      <c r="I233" s="143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41" t="str">
        <f>IFERROR(Inv_SY!O234/Inv_SY!$Q234-1,"")</f>
        <v/>
      </c>
    </row>
    <row r="234" spans="1:21">
      <c r="A234" s="52" t="s">
        <v>208</v>
      </c>
      <c r="B234" s="52">
        <v>4</v>
      </c>
      <c r="C234" s="52">
        <v>2022</v>
      </c>
      <c r="D234" s="52" t="s">
        <v>209</v>
      </c>
      <c r="E234" s="52" t="s">
        <v>209</v>
      </c>
      <c r="F234" s="58">
        <v>44866</v>
      </c>
      <c r="G234" s="52">
        <f t="shared" si="6"/>
        <v>30</v>
      </c>
      <c r="H234" s="54">
        <f t="shared" si="7"/>
        <v>44884</v>
      </c>
      <c r="I234" s="142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41" t="str">
        <f>IFERROR(Inv_SY!O235/Inv_SY!$Q235-1,"")</f>
        <v/>
      </c>
    </row>
    <row r="235" spans="1:21">
      <c r="A235" s="55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59">
        <v>44866</v>
      </c>
      <c r="G235" s="55">
        <f t="shared" si="6"/>
        <v>30</v>
      </c>
      <c r="H235" s="57">
        <f t="shared" si="7"/>
        <v>44885</v>
      </c>
      <c r="I235" s="143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41" t="str">
        <f>IFERROR(Inv_SY!O236/Inv_SY!$Q236-1,"")</f>
        <v/>
      </c>
    </row>
    <row r="236" spans="1:21">
      <c r="A236" s="52" t="s">
        <v>208</v>
      </c>
      <c r="B236" s="52">
        <v>4</v>
      </c>
      <c r="C236" s="52">
        <v>2022</v>
      </c>
      <c r="D236" s="52" t="s">
        <v>209</v>
      </c>
      <c r="E236" s="52" t="s">
        <v>209</v>
      </c>
      <c r="F236" s="58">
        <v>44866</v>
      </c>
      <c r="G236" s="52">
        <f t="shared" si="6"/>
        <v>30</v>
      </c>
      <c r="H236" s="54">
        <f t="shared" si="7"/>
        <v>44886</v>
      </c>
      <c r="I236" s="142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41" t="str">
        <f>IFERROR(Inv_SY!O237/Inv_SY!$Q237-1,"")</f>
        <v/>
      </c>
    </row>
    <row r="237" spans="1:21">
      <c r="A237" s="55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59">
        <v>44866</v>
      </c>
      <c r="G237" s="55">
        <f t="shared" si="6"/>
        <v>30</v>
      </c>
      <c r="H237" s="57">
        <f t="shared" si="7"/>
        <v>44887</v>
      </c>
      <c r="I237" s="143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41" t="str">
        <f>IFERROR(Inv_SY!O238/Inv_SY!$Q238-1,"")</f>
        <v/>
      </c>
    </row>
    <row r="238" spans="1:21">
      <c r="A238" s="52" t="s">
        <v>208</v>
      </c>
      <c r="B238" s="52">
        <v>4</v>
      </c>
      <c r="C238" s="52">
        <v>2022</v>
      </c>
      <c r="D238" s="52" t="s">
        <v>209</v>
      </c>
      <c r="E238" s="52" t="s">
        <v>209</v>
      </c>
      <c r="F238" s="58">
        <v>44866</v>
      </c>
      <c r="G238" s="52">
        <f t="shared" si="6"/>
        <v>30</v>
      </c>
      <c r="H238" s="54">
        <f t="shared" si="7"/>
        <v>44888</v>
      </c>
      <c r="I238" s="142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41" t="str">
        <f>IFERROR(Inv_SY!O239/Inv_SY!$Q239-1,"")</f>
        <v/>
      </c>
    </row>
    <row r="239" spans="1:21">
      <c r="A239" s="55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59">
        <v>44866</v>
      </c>
      <c r="G239" s="55">
        <f t="shared" si="6"/>
        <v>30</v>
      </c>
      <c r="H239" s="57">
        <f t="shared" si="7"/>
        <v>44889</v>
      </c>
      <c r="I239" s="143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41" t="str">
        <f>IFERROR(Inv_SY!O240/Inv_SY!$Q240-1,"")</f>
        <v/>
      </c>
    </row>
    <row r="240" spans="1:21">
      <c r="A240" s="52" t="s">
        <v>208</v>
      </c>
      <c r="B240" s="52">
        <v>4</v>
      </c>
      <c r="C240" s="52">
        <v>2022</v>
      </c>
      <c r="D240" s="52" t="s">
        <v>209</v>
      </c>
      <c r="E240" s="52" t="s">
        <v>209</v>
      </c>
      <c r="F240" s="58">
        <v>44866</v>
      </c>
      <c r="G240" s="52">
        <f t="shared" si="6"/>
        <v>30</v>
      </c>
      <c r="H240" s="54">
        <f t="shared" si="7"/>
        <v>44890</v>
      </c>
      <c r="I240" s="142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41" t="str">
        <f>IFERROR(Inv_SY!O241/Inv_SY!$Q241-1,"")</f>
        <v/>
      </c>
    </row>
    <row r="241" spans="1:21">
      <c r="A241" s="55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59">
        <v>44866</v>
      </c>
      <c r="G241" s="55">
        <f t="shared" si="6"/>
        <v>30</v>
      </c>
      <c r="H241" s="57">
        <f t="shared" si="7"/>
        <v>44891</v>
      </c>
      <c r="I241" s="143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41" t="str">
        <f>IFERROR(Inv_SY!O242/Inv_SY!$Q242-1,"")</f>
        <v/>
      </c>
    </row>
    <row r="242" spans="1:21">
      <c r="A242" s="52" t="s">
        <v>208</v>
      </c>
      <c r="B242" s="52">
        <v>4</v>
      </c>
      <c r="C242" s="52">
        <v>2022</v>
      </c>
      <c r="D242" s="52" t="s">
        <v>209</v>
      </c>
      <c r="E242" s="52" t="s">
        <v>209</v>
      </c>
      <c r="F242" s="58">
        <v>44866</v>
      </c>
      <c r="G242" s="52">
        <f t="shared" si="6"/>
        <v>30</v>
      </c>
      <c r="H242" s="54">
        <f t="shared" si="7"/>
        <v>44892</v>
      </c>
      <c r="I242" s="142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41" t="str">
        <f>IFERROR(Inv_SY!O243/Inv_SY!$Q243-1,"")</f>
        <v/>
      </c>
    </row>
    <row r="243" spans="1:21">
      <c r="A243" s="55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59">
        <v>44866</v>
      </c>
      <c r="G243" s="55">
        <f t="shared" si="6"/>
        <v>30</v>
      </c>
      <c r="H243" s="57">
        <f t="shared" si="7"/>
        <v>44893</v>
      </c>
      <c r="I243" s="143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41" t="str">
        <f>IFERROR(Inv_SY!O244/Inv_SY!$Q244-1,"")</f>
        <v/>
      </c>
    </row>
    <row r="244" spans="1:21">
      <c r="A244" s="52" t="s">
        <v>208</v>
      </c>
      <c r="B244" s="52">
        <v>4</v>
      </c>
      <c r="C244" s="52">
        <v>2022</v>
      </c>
      <c r="D244" s="52" t="s">
        <v>209</v>
      </c>
      <c r="E244" s="52" t="s">
        <v>209</v>
      </c>
      <c r="F244" s="58">
        <v>44866</v>
      </c>
      <c r="G244" s="52">
        <f t="shared" si="6"/>
        <v>30</v>
      </c>
      <c r="H244" s="54">
        <f t="shared" si="7"/>
        <v>44894</v>
      </c>
      <c r="I244" s="142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41" t="str">
        <f>IFERROR(Inv_SY!O245/Inv_SY!$Q245-1,"")</f>
        <v/>
      </c>
    </row>
    <row r="245" spans="1:21">
      <c r="A245" s="55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59">
        <v>44866</v>
      </c>
      <c r="G245" s="55">
        <f t="shared" si="6"/>
        <v>30</v>
      </c>
      <c r="H245" s="57">
        <f t="shared" si="7"/>
        <v>44895</v>
      </c>
      <c r="I245" s="143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41" t="str">
        <f>IFERROR(Inv_SY!O246/Inv_SY!$Q246-1,"")</f>
        <v/>
      </c>
    </row>
    <row r="246" spans="1:21">
      <c r="A246" s="52" t="s">
        <v>208</v>
      </c>
      <c r="B246" s="52">
        <v>4</v>
      </c>
      <c r="C246" s="52">
        <v>2022</v>
      </c>
      <c r="D246" s="52" t="s">
        <v>209</v>
      </c>
      <c r="E246" s="52" t="s">
        <v>209</v>
      </c>
      <c r="F246" s="58">
        <v>44896</v>
      </c>
      <c r="G246" s="52">
        <f t="shared" si="6"/>
        <v>31</v>
      </c>
      <c r="H246" s="54">
        <f t="shared" si="7"/>
        <v>44896</v>
      </c>
      <c r="I246" s="142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41" t="str">
        <f>IFERROR(Inv_SY!O247/Inv_SY!$Q247-1,"")</f>
        <v/>
      </c>
    </row>
    <row r="247" spans="1:21">
      <c r="A247" s="55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59">
        <v>44896</v>
      </c>
      <c r="G247" s="55">
        <f t="shared" si="6"/>
        <v>31</v>
      </c>
      <c r="H247" s="57">
        <f t="shared" si="7"/>
        <v>44897</v>
      </c>
      <c r="I247" s="143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41" t="str">
        <f>IFERROR(Inv_SY!O248/Inv_SY!$Q248-1,"")</f>
        <v/>
      </c>
    </row>
    <row r="248" spans="1:21">
      <c r="A248" s="52" t="s">
        <v>208</v>
      </c>
      <c r="B248" s="52">
        <v>4</v>
      </c>
      <c r="C248" s="52">
        <v>2022</v>
      </c>
      <c r="D248" s="52" t="s">
        <v>209</v>
      </c>
      <c r="E248" s="52" t="s">
        <v>209</v>
      </c>
      <c r="F248" s="58">
        <v>44896</v>
      </c>
      <c r="G248" s="52">
        <f t="shared" si="6"/>
        <v>31</v>
      </c>
      <c r="H248" s="54">
        <f t="shared" si="7"/>
        <v>44898</v>
      </c>
      <c r="I248" s="142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41" t="str">
        <f>IFERROR(Inv_SY!O249/Inv_SY!$Q249-1,"")</f>
        <v/>
      </c>
    </row>
    <row r="249" spans="1:21">
      <c r="A249" s="55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59">
        <v>44896</v>
      </c>
      <c r="G249" s="55">
        <f t="shared" si="6"/>
        <v>31</v>
      </c>
      <c r="H249" s="57">
        <f t="shared" si="7"/>
        <v>44899</v>
      </c>
      <c r="I249" s="143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41" t="str">
        <f>IFERROR(Inv_SY!O250/Inv_SY!$Q250-1,"")</f>
        <v/>
      </c>
    </row>
    <row r="250" spans="1:21">
      <c r="A250" s="52" t="s">
        <v>208</v>
      </c>
      <c r="B250" s="52">
        <v>4</v>
      </c>
      <c r="C250" s="52">
        <v>2022</v>
      </c>
      <c r="D250" s="52" t="s">
        <v>209</v>
      </c>
      <c r="E250" s="52" t="s">
        <v>209</v>
      </c>
      <c r="F250" s="58">
        <v>44896</v>
      </c>
      <c r="G250" s="52">
        <f t="shared" si="6"/>
        <v>31</v>
      </c>
      <c r="H250" s="54">
        <f t="shared" si="7"/>
        <v>44900</v>
      </c>
      <c r="I250" s="142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41" t="str">
        <f>IFERROR(Inv_SY!O251/Inv_SY!$Q251-1,"")</f>
        <v/>
      </c>
    </row>
    <row r="251" spans="1:21">
      <c r="A251" s="55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59">
        <v>44896</v>
      </c>
      <c r="G251" s="55">
        <f t="shared" si="6"/>
        <v>31</v>
      </c>
      <c r="H251" s="57">
        <f t="shared" si="7"/>
        <v>44901</v>
      </c>
      <c r="I251" s="143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41" t="str">
        <f>IFERROR(Inv_SY!O252/Inv_SY!$Q252-1,"")</f>
        <v/>
      </c>
    </row>
    <row r="252" spans="1:21">
      <c r="A252" s="52" t="s">
        <v>208</v>
      </c>
      <c r="B252" s="52">
        <v>4</v>
      </c>
      <c r="C252" s="52">
        <v>2022</v>
      </c>
      <c r="D252" s="52" t="s">
        <v>209</v>
      </c>
      <c r="E252" s="52" t="s">
        <v>209</v>
      </c>
      <c r="F252" s="58">
        <v>44896</v>
      </c>
      <c r="G252" s="52">
        <f t="shared" si="6"/>
        <v>31</v>
      </c>
      <c r="H252" s="54">
        <f t="shared" si="7"/>
        <v>44902</v>
      </c>
      <c r="I252" s="142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41" t="str">
        <f>IFERROR(Inv_SY!O253/Inv_SY!$Q253-1,"")</f>
        <v/>
      </c>
    </row>
    <row r="253" spans="1:21">
      <c r="A253" s="55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59">
        <v>44896</v>
      </c>
      <c r="G253" s="55">
        <f t="shared" si="6"/>
        <v>31</v>
      </c>
      <c r="H253" s="57">
        <f t="shared" si="7"/>
        <v>44903</v>
      </c>
      <c r="I253" s="143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41" t="str">
        <f>IFERROR(Inv_SY!O254/Inv_SY!$Q254-1,"")</f>
        <v/>
      </c>
    </row>
    <row r="254" spans="1:21">
      <c r="A254" s="52" t="s">
        <v>208</v>
      </c>
      <c r="B254" s="52">
        <v>4</v>
      </c>
      <c r="C254" s="52">
        <v>2022</v>
      </c>
      <c r="D254" s="52" t="s">
        <v>209</v>
      </c>
      <c r="E254" s="52" t="s">
        <v>209</v>
      </c>
      <c r="F254" s="58">
        <v>44896</v>
      </c>
      <c r="G254" s="52">
        <f t="shared" si="6"/>
        <v>31</v>
      </c>
      <c r="H254" s="54">
        <f t="shared" si="7"/>
        <v>44904</v>
      </c>
      <c r="I254" s="142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41" t="str">
        <f>IFERROR(Inv_SY!O255/Inv_SY!$Q255-1,"")</f>
        <v/>
      </c>
    </row>
    <row r="255" spans="1:21">
      <c r="A255" s="55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59">
        <v>44896</v>
      </c>
      <c r="G255" s="55">
        <f t="shared" si="6"/>
        <v>31</v>
      </c>
      <c r="H255" s="57">
        <f t="shared" si="7"/>
        <v>44905</v>
      </c>
      <c r="I255" s="143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41" t="str">
        <f>IFERROR(Inv_SY!O256/Inv_SY!$Q256-1,"")</f>
        <v/>
      </c>
    </row>
    <row r="256" spans="1:21">
      <c r="A256" s="52" t="s">
        <v>208</v>
      </c>
      <c r="B256" s="52">
        <v>4</v>
      </c>
      <c r="C256" s="52">
        <v>2022</v>
      </c>
      <c r="D256" s="52" t="s">
        <v>209</v>
      </c>
      <c r="E256" s="52" t="s">
        <v>209</v>
      </c>
      <c r="F256" s="58">
        <v>44896</v>
      </c>
      <c r="G256" s="52">
        <f t="shared" si="6"/>
        <v>31</v>
      </c>
      <c r="H256" s="54">
        <f t="shared" si="7"/>
        <v>44906</v>
      </c>
      <c r="I256" s="142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41" t="str">
        <f>IFERROR(Inv_SY!O257/Inv_SY!$Q257-1,"")</f>
        <v/>
      </c>
    </row>
    <row r="257" spans="1:21">
      <c r="A257" s="55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59">
        <v>44896</v>
      </c>
      <c r="G257" s="55">
        <f t="shared" si="6"/>
        <v>31</v>
      </c>
      <c r="H257" s="57">
        <f t="shared" si="7"/>
        <v>44907</v>
      </c>
      <c r="I257" s="143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41" t="str">
        <f>IFERROR(Inv_SY!O258/Inv_SY!$Q258-1,"")</f>
        <v/>
      </c>
    </row>
    <row r="258" spans="1:21">
      <c r="A258" s="52" t="s">
        <v>208</v>
      </c>
      <c r="B258" s="52">
        <v>4</v>
      </c>
      <c r="C258" s="52">
        <v>2022</v>
      </c>
      <c r="D258" s="52" t="s">
        <v>209</v>
      </c>
      <c r="E258" s="52" t="s">
        <v>209</v>
      </c>
      <c r="F258" s="58">
        <v>44896</v>
      </c>
      <c r="G258" s="52">
        <f t="shared" si="6"/>
        <v>31</v>
      </c>
      <c r="H258" s="54">
        <f t="shared" si="7"/>
        <v>44908</v>
      </c>
      <c r="I258" s="142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41" t="str">
        <f>IFERROR(Inv_SY!O259/Inv_SY!$Q259-1,"")</f>
        <v/>
      </c>
    </row>
    <row r="259" spans="1:21">
      <c r="A259" s="55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59">
        <v>44896</v>
      </c>
      <c r="G259" s="55">
        <f t="shared" ref="G259:G322" si="8">DAY(EOMONTH(F259,0))</f>
        <v>31</v>
      </c>
      <c r="H259" s="57">
        <f t="shared" si="7"/>
        <v>44909</v>
      </c>
      <c r="I259" s="143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41" t="str">
        <f>IFERROR(Inv_SY!O260/Inv_SY!$Q260-1,"")</f>
        <v/>
      </c>
    </row>
    <row r="260" spans="1:21">
      <c r="A260" s="52" t="s">
        <v>208</v>
      </c>
      <c r="B260" s="52">
        <v>4</v>
      </c>
      <c r="C260" s="52">
        <v>2022</v>
      </c>
      <c r="D260" s="52" t="s">
        <v>209</v>
      </c>
      <c r="E260" s="52" t="s">
        <v>209</v>
      </c>
      <c r="F260" s="58">
        <v>44896</v>
      </c>
      <c r="G260" s="52">
        <f t="shared" si="8"/>
        <v>31</v>
      </c>
      <c r="H260" s="54">
        <f t="shared" ref="H260:H323" si="9">H259+1</f>
        <v>44910</v>
      </c>
      <c r="I260" s="142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41" t="str">
        <f>IFERROR(Inv_SY!O261/Inv_SY!$Q261-1,"")</f>
        <v/>
      </c>
    </row>
    <row r="261" spans="1:21">
      <c r="A261" s="55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59">
        <v>44896</v>
      </c>
      <c r="G261" s="55">
        <f t="shared" si="8"/>
        <v>31</v>
      </c>
      <c r="H261" s="57">
        <f t="shared" si="9"/>
        <v>44911</v>
      </c>
      <c r="I261" s="143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41" t="str">
        <f>IFERROR(Inv_SY!O262/Inv_SY!$Q262-1,"")</f>
        <v/>
      </c>
    </row>
    <row r="262" spans="1:21">
      <c r="A262" s="52" t="s">
        <v>208</v>
      </c>
      <c r="B262" s="52">
        <v>4</v>
      </c>
      <c r="C262" s="52">
        <v>2022</v>
      </c>
      <c r="D262" s="52" t="s">
        <v>209</v>
      </c>
      <c r="E262" s="52" t="s">
        <v>209</v>
      </c>
      <c r="F262" s="58">
        <v>44896</v>
      </c>
      <c r="G262" s="52">
        <f t="shared" si="8"/>
        <v>31</v>
      </c>
      <c r="H262" s="54">
        <f t="shared" si="9"/>
        <v>44912</v>
      </c>
      <c r="I262" s="142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41" t="str">
        <f>IFERROR(Inv_SY!O263/Inv_SY!$Q263-1,"")</f>
        <v/>
      </c>
    </row>
    <row r="263" spans="1:21">
      <c r="A263" s="55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59">
        <v>44896</v>
      </c>
      <c r="G263" s="55">
        <f t="shared" si="8"/>
        <v>31</v>
      </c>
      <c r="H263" s="57">
        <f t="shared" si="9"/>
        <v>44913</v>
      </c>
      <c r="I263" s="143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41" t="str">
        <f>IFERROR(Inv_SY!O264/Inv_SY!$Q264-1,"")</f>
        <v/>
      </c>
    </row>
    <row r="264" spans="1:21">
      <c r="A264" s="52" t="s">
        <v>208</v>
      </c>
      <c r="B264" s="52">
        <v>4</v>
      </c>
      <c r="C264" s="52">
        <v>2022</v>
      </c>
      <c r="D264" s="52" t="s">
        <v>209</v>
      </c>
      <c r="E264" s="52" t="s">
        <v>209</v>
      </c>
      <c r="F264" s="58">
        <v>44896</v>
      </c>
      <c r="G264" s="52">
        <f t="shared" si="8"/>
        <v>31</v>
      </c>
      <c r="H264" s="54">
        <f t="shared" si="9"/>
        <v>44914</v>
      </c>
      <c r="I264" s="142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41" t="str">
        <f>IFERROR(Inv_SY!O265/Inv_SY!$Q265-1,"")</f>
        <v/>
      </c>
    </row>
    <row r="265" spans="1:21">
      <c r="A265" s="55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59">
        <v>44896</v>
      </c>
      <c r="G265" s="55">
        <f t="shared" si="8"/>
        <v>31</v>
      </c>
      <c r="H265" s="57">
        <f t="shared" si="9"/>
        <v>44915</v>
      </c>
      <c r="I265" s="143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41" t="str">
        <f>IFERROR(Inv_SY!O266/Inv_SY!$Q266-1,"")</f>
        <v/>
      </c>
    </row>
    <row r="266" spans="1:21">
      <c r="A266" s="52" t="s">
        <v>208</v>
      </c>
      <c r="B266" s="52">
        <v>4</v>
      </c>
      <c r="C266" s="52">
        <v>2022</v>
      </c>
      <c r="D266" s="52" t="s">
        <v>209</v>
      </c>
      <c r="E266" s="52" t="s">
        <v>209</v>
      </c>
      <c r="F266" s="58">
        <v>44896</v>
      </c>
      <c r="G266" s="52">
        <f t="shared" si="8"/>
        <v>31</v>
      </c>
      <c r="H266" s="54">
        <f t="shared" si="9"/>
        <v>44916</v>
      </c>
      <c r="I266" s="142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41" t="str">
        <f>IFERROR(Inv_SY!O267/Inv_SY!$Q267-1,"")</f>
        <v/>
      </c>
    </row>
    <row r="267" spans="1:21">
      <c r="A267" s="55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59">
        <v>44896</v>
      </c>
      <c r="G267" s="55">
        <f t="shared" si="8"/>
        <v>31</v>
      </c>
      <c r="H267" s="57">
        <f t="shared" si="9"/>
        <v>44917</v>
      </c>
      <c r="I267" s="143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41" t="str">
        <f>IFERROR(Inv_SY!O268/Inv_SY!$Q268-1,"")</f>
        <v/>
      </c>
    </row>
    <row r="268" spans="1:21">
      <c r="A268" s="52" t="s">
        <v>208</v>
      </c>
      <c r="B268" s="52">
        <v>4</v>
      </c>
      <c r="C268" s="52">
        <v>2022</v>
      </c>
      <c r="D268" s="52" t="s">
        <v>209</v>
      </c>
      <c r="E268" s="52" t="s">
        <v>209</v>
      </c>
      <c r="F268" s="58">
        <v>44896</v>
      </c>
      <c r="G268" s="52">
        <f t="shared" si="8"/>
        <v>31</v>
      </c>
      <c r="H268" s="54">
        <f t="shared" si="9"/>
        <v>44918</v>
      </c>
      <c r="I268" s="142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41" t="str">
        <f>IFERROR(Inv_SY!O269/Inv_SY!$Q269-1,"")</f>
        <v/>
      </c>
    </row>
    <row r="269" spans="1:21">
      <c r="A269" s="55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59">
        <v>44896</v>
      </c>
      <c r="G269" s="55">
        <f t="shared" si="8"/>
        <v>31</v>
      </c>
      <c r="H269" s="57">
        <f t="shared" si="9"/>
        <v>44919</v>
      </c>
      <c r="I269" s="143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41" t="str">
        <f>IFERROR(Inv_SY!O270/Inv_SY!$Q270-1,"")</f>
        <v/>
      </c>
    </row>
    <row r="270" spans="1:21">
      <c r="A270" s="52" t="s">
        <v>208</v>
      </c>
      <c r="B270" s="52">
        <v>4</v>
      </c>
      <c r="C270" s="52">
        <v>2022</v>
      </c>
      <c r="D270" s="52" t="s">
        <v>209</v>
      </c>
      <c r="E270" s="52" t="s">
        <v>209</v>
      </c>
      <c r="F270" s="58">
        <v>44896</v>
      </c>
      <c r="G270" s="52">
        <f t="shared" si="8"/>
        <v>31</v>
      </c>
      <c r="H270" s="54">
        <f t="shared" si="9"/>
        <v>44920</v>
      </c>
      <c r="I270" s="142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41" t="str">
        <f>IFERROR(Inv_SY!O271/Inv_SY!$Q271-1,"")</f>
        <v/>
      </c>
    </row>
    <row r="271" spans="1:21">
      <c r="A271" s="55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59">
        <v>44896</v>
      </c>
      <c r="G271" s="55">
        <f t="shared" si="8"/>
        <v>31</v>
      </c>
      <c r="H271" s="57">
        <f t="shared" si="9"/>
        <v>44921</v>
      </c>
      <c r="I271" s="143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41" t="str">
        <f>IFERROR(Inv_SY!O272/Inv_SY!$Q272-1,"")</f>
        <v/>
      </c>
    </row>
    <row r="272" spans="1:21">
      <c r="A272" s="52" t="s">
        <v>208</v>
      </c>
      <c r="B272" s="52">
        <v>4</v>
      </c>
      <c r="C272" s="52">
        <v>2022</v>
      </c>
      <c r="D272" s="52" t="s">
        <v>209</v>
      </c>
      <c r="E272" s="52" t="s">
        <v>209</v>
      </c>
      <c r="F272" s="58">
        <v>44896</v>
      </c>
      <c r="G272" s="52">
        <f t="shared" si="8"/>
        <v>31</v>
      </c>
      <c r="H272" s="54">
        <f t="shared" si="9"/>
        <v>44922</v>
      </c>
      <c r="I272" s="142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41" t="str">
        <f>IFERROR(Inv_SY!O273/Inv_SY!$Q273-1,"")</f>
        <v/>
      </c>
    </row>
    <row r="273" spans="1:21">
      <c r="A273" s="55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59">
        <v>44896</v>
      </c>
      <c r="G273" s="55">
        <f t="shared" si="8"/>
        <v>31</v>
      </c>
      <c r="H273" s="57">
        <f t="shared" si="9"/>
        <v>44923</v>
      </c>
      <c r="I273" s="143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41" t="str">
        <f>IFERROR(Inv_SY!O274/Inv_SY!$Q274-1,"")</f>
        <v/>
      </c>
    </row>
    <row r="274" spans="1:21">
      <c r="A274" s="52" t="s">
        <v>208</v>
      </c>
      <c r="B274" s="52">
        <v>4</v>
      </c>
      <c r="C274" s="52">
        <v>2022</v>
      </c>
      <c r="D274" s="52" t="s">
        <v>209</v>
      </c>
      <c r="E274" s="52" t="s">
        <v>209</v>
      </c>
      <c r="F274" s="58">
        <v>44896</v>
      </c>
      <c r="G274" s="52">
        <f t="shared" si="8"/>
        <v>31</v>
      </c>
      <c r="H274" s="54">
        <f t="shared" si="9"/>
        <v>44924</v>
      </c>
      <c r="I274" s="142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41" t="str">
        <f>IFERROR(Inv_SY!O275/Inv_SY!$Q275-1,"")</f>
        <v/>
      </c>
    </row>
    <row r="275" spans="1:21">
      <c r="A275" s="55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59">
        <v>44896</v>
      </c>
      <c r="G275" s="55">
        <f t="shared" si="8"/>
        <v>31</v>
      </c>
      <c r="H275" s="57">
        <f t="shared" si="9"/>
        <v>44925</v>
      </c>
      <c r="I275" s="143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41" t="str">
        <f>IFERROR(Inv_SY!O276/Inv_SY!$Q276-1,"")</f>
        <v/>
      </c>
    </row>
    <row r="276" spans="1:21">
      <c r="A276" s="52" t="s">
        <v>208</v>
      </c>
      <c r="B276" s="52">
        <v>4</v>
      </c>
      <c r="C276" s="52">
        <v>2022</v>
      </c>
      <c r="D276" s="52" t="s">
        <v>209</v>
      </c>
      <c r="E276" s="52" t="s">
        <v>209</v>
      </c>
      <c r="F276" s="58">
        <v>44896</v>
      </c>
      <c r="G276" s="52">
        <f t="shared" si="8"/>
        <v>31</v>
      </c>
      <c r="H276" s="54">
        <f t="shared" si="9"/>
        <v>44926</v>
      </c>
      <c r="I276" s="142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41" t="str">
        <f>IFERROR(Inv_SY!O277/Inv_SY!$Q277-1,"")</f>
        <v/>
      </c>
    </row>
    <row r="277" spans="1:21">
      <c r="A277" s="55" t="s">
        <v>208</v>
      </c>
      <c r="B277" s="55">
        <v>4</v>
      </c>
      <c r="C277" s="55">
        <v>2023</v>
      </c>
      <c r="D277" s="55" t="s">
        <v>209</v>
      </c>
      <c r="E277" s="55" t="s">
        <v>209</v>
      </c>
      <c r="F277" s="59">
        <v>44927</v>
      </c>
      <c r="G277" s="55">
        <f t="shared" si="8"/>
        <v>31</v>
      </c>
      <c r="H277" s="57">
        <f t="shared" si="9"/>
        <v>44927</v>
      </c>
      <c r="I277" s="143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41" t="str">
        <f>IFERROR(Inv_SY!O278/Inv_SY!$Q278-1,"")</f>
        <v/>
      </c>
    </row>
    <row r="278" spans="1:21">
      <c r="A278" s="52" t="s">
        <v>208</v>
      </c>
      <c r="B278" s="52">
        <v>4</v>
      </c>
      <c r="C278" s="55">
        <v>2023</v>
      </c>
      <c r="D278" s="52" t="s">
        <v>209</v>
      </c>
      <c r="E278" s="52" t="s">
        <v>209</v>
      </c>
      <c r="F278" s="58">
        <v>44927</v>
      </c>
      <c r="G278" s="52">
        <f t="shared" si="8"/>
        <v>31</v>
      </c>
      <c r="H278" s="54">
        <f t="shared" si="9"/>
        <v>44928</v>
      </c>
      <c r="I278" s="142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41" t="str">
        <f>IFERROR(Inv_SY!O279/Inv_SY!$Q279-1,"")</f>
        <v/>
      </c>
    </row>
    <row r="279" spans="1:21">
      <c r="A279" s="55" t="s">
        <v>208</v>
      </c>
      <c r="B279" s="55">
        <v>4</v>
      </c>
      <c r="C279" s="55">
        <v>2023</v>
      </c>
      <c r="D279" s="55" t="s">
        <v>209</v>
      </c>
      <c r="E279" s="55" t="s">
        <v>209</v>
      </c>
      <c r="F279" s="59">
        <v>44927</v>
      </c>
      <c r="G279" s="55">
        <f t="shared" si="8"/>
        <v>31</v>
      </c>
      <c r="H279" s="57">
        <f t="shared" si="9"/>
        <v>44929</v>
      </c>
      <c r="I279" s="143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41" t="str">
        <f>IFERROR(Inv_SY!O280/Inv_SY!$Q280-1,"")</f>
        <v/>
      </c>
    </row>
    <row r="280" spans="1:21">
      <c r="A280" s="52" t="s">
        <v>208</v>
      </c>
      <c r="B280" s="52">
        <v>4</v>
      </c>
      <c r="C280" s="55">
        <v>2023</v>
      </c>
      <c r="D280" s="52" t="s">
        <v>209</v>
      </c>
      <c r="E280" s="52" t="s">
        <v>209</v>
      </c>
      <c r="F280" s="58">
        <v>44927</v>
      </c>
      <c r="G280" s="52">
        <f t="shared" si="8"/>
        <v>31</v>
      </c>
      <c r="H280" s="54">
        <f t="shared" si="9"/>
        <v>44930</v>
      </c>
      <c r="I280" s="142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41" t="str">
        <f>IFERROR(Inv_SY!O281/Inv_SY!$Q281-1,"")</f>
        <v/>
      </c>
    </row>
    <row r="281" spans="1:21">
      <c r="A281" s="55" t="s">
        <v>208</v>
      </c>
      <c r="B281" s="55">
        <v>4</v>
      </c>
      <c r="C281" s="55">
        <v>2023</v>
      </c>
      <c r="D281" s="55" t="s">
        <v>209</v>
      </c>
      <c r="E281" s="55" t="s">
        <v>209</v>
      </c>
      <c r="F281" s="59">
        <v>44927</v>
      </c>
      <c r="G281" s="55">
        <f t="shared" si="8"/>
        <v>31</v>
      </c>
      <c r="H281" s="57">
        <f t="shared" si="9"/>
        <v>44931</v>
      </c>
      <c r="I281" s="143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41" t="str">
        <f>IFERROR(Inv_SY!O282/Inv_SY!$Q282-1,"")</f>
        <v/>
      </c>
    </row>
    <row r="282" spans="1:21">
      <c r="A282" s="52" t="s">
        <v>208</v>
      </c>
      <c r="B282" s="52">
        <v>4</v>
      </c>
      <c r="C282" s="55">
        <v>2023</v>
      </c>
      <c r="D282" s="52" t="s">
        <v>209</v>
      </c>
      <c r="E282" s="52" t="s">
        <v>209</v>
      </c>
      <c r="F282" s="58">
        <v>44927</v>
      </c>
      <c r="G282" s="52">
        <f t="shared" si="8"/>
        <v>31</v>
      </c>
      <c r="H282" s="54">
        <f t="shared" si="9"/>
        <v>44932</v>
      </c>
      <c r="I282" s="142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41" t="str">
        <f>IFERROR(Inv_SY!O283/Inv_SY!$Q283-1,"")</f>
        <v/>
      </c>
    </row>
    <row r="283" spans="1:21">
      <c r="A283" s="55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59">
        <v>44927</v>
      </c>
      <c r="G283" s="55">
        <f t="shared" si="8"/>
        <v>31</v>
      </c>
      <c r="H283" s="57">
        <f t="shared" si="9"/>
        <v>44933</v>
      </c>
      <c r="I283" s="143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41" t="str">
        <f>IFERROR(Inv_SY!O284/Inv_SY!$Q284-1,"")</f>
        <v/>
      </c>
    </row>
    <row r="284" spans="1:21">
      <c r="A284" s="52" t="s">
        <v>208</v>
      </c>
      <c r="B284" s="52">
        <v>4</v>
      </c>
      <c r="C284" s="55">
        <v>2023</v>
      </c>
      <c r="D284" s="52" t="s">
        <v>209</v>
      </c>
      <c r="E284" s="52" t="s">
        <v>209</v>
      </c>
      <c r="F284" s="58">
        <v>44927</v>
      </c>
      <c r="G284" s="52">
        <f t="shared" si="8"/>
        <v>31</v>
      </c>
      <c r="H284" s="54">
        <f t="shared" si="9"/>
        <v>44934</v>
      </c>
      <c r="I284" s="142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41" t="str">
        <f>IFERROR(Inv_SY!O285/Inv_SY!$Q285-1,"")</f>
        <v/>
      </c>
    </row>
    <row r="285" spans="1:21">
      <c r="A285" s="55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59">
        <v>44927</v>
      </c>
      <c r="G285" s="55">
        <f t="shared" si="8"/>
        <v>31</v>
      </c>
      <c r="H285" s="57">
        <f t="shared" si="9"/>
        <v>44935</v>
      </c>
      <c r="I285" s="143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41" t="str">
        <f>IFERROR(Inv_SY!O286/Inv_SY!$Q286-1,"")</f>
        <v/>
      </c>
    </row>
    <row r="286" spans="1:21">
      <c r="A286" s="52" t="s">
        <v>208</v>
      </c>
      <c r="B286" s="52">
        <v>4</v>
      </c>
      <c r="C286" s="55">
        <v>2023</v>
      </c>
      <c r="D286" s="52" t="s">
        <v>209</v>
      </c>
      <c r="E286" s="52" t="s">
        <v>209</v>
      </c>
      <c r="F286" s="58">
        <v>44927</v>
      </c>
      <c r="G286" s="52">
        <f t="shared" si="8"/>
        <v>31</v>
      </c>
      <c r="H286" s="54">
        <f t="shared" si="9"/>
        <v>44936</v>
      </c>
      <c r="I286" s="142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41" t="str">
        <f>IFERROR(Inv_SY!O287/Inv_SY!$Q287-1,"")</f>
        <v/>
      </c>
    </row>
    <row r="287" spans="1:21">
      <c r="A287" s="55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59">
        <v>44927</v>
      </c>
      <c r="G287" s="55">
        <f t="shared" si="8"/>
        <v>31</v>
      </c>
      <c r="H287" s="57">
        <f t="shared" si="9"/>
        <v>44937</v>
      </c>
      <c r="I287" s="143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41" t="str">
        <f>IFERROR(Inv_SY!O288/Inv_SY!$Q288-1,"")</f>
        <v/>
      </c>
    </row>
    <row r="288" spans="1:21">
      <c r="A288" s="52" t="s">
        <v>208</v>
      </c>
      <c r="B288" s="52">
        <v>4</v>
      </c>
      <c r="C288" s="55">
        <v>2023</v>
      </c>
      <c r="D288" s="52" t="s">
        <v>209</v>
      </c>
      <c r="E288" s="52" t="s">
        <v>209</v>
      </c>
      <c r="F288" s="58">
        <v>44927</v>
      </c>
      <c r="G288" s="52">
        <f t="shared" si="8"/>
        <v>31</v>
      </c>
      <c r="H288" s="54">
        <f t="shared" si="9"/>
        <v>44938</v>
      </c>
      <c r="I288" s="142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41" t="str">
        <f>IFERROR(Inv_SY!O289/Inv_SY!$Q289-1,"")</f>
        <v/>
      </c>
    </row>
    <row r="289" spans="1:21">
      <c r="A289" s="55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59">
        <v>44927</v>
      </c>
      <c r="G289" s="55">
        <f t="shared" si="8"/>
        <v>31</v>
      </c>
      <c r="H289" s="57">
        <f t="shared" si="9"/>
        <v>44939</v>
      </c>
      <c r="I289" s="143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41" t="str">
        <f>IFERROR(Inv_SY!O290/Inv_SY!$Q290-1,"")</f>
        <v/>
      </c>
    </row>
    <row r="290" spans="1:21">
      <c r="A290" s="52" t="s">
        <v>208</v>
      </c>
      <c r="B290" s="52">
        <v>4</v>
      </c>
      <c r="C290" s="55">
        <v>2023</v>
      </c>
      <c r="D290" s="52" t="s">
        <v>209</v>
      </c>
      <c r="E290" s="52" t="s">
        <v>209</v>
      </c>
      <c r="F290" s="58">
        <v>44927</v>
      </c>
      <c r="G290" s="52">
        <f t="shared" si="8"/>
        <v>31</v>
      </c>
      <c r="H290" s="54">
        <f t="shared" si="9"/>
        <v>44940</v>
      </c>
      <c r="I290" s="142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41" t="str">
        <f>IFERROR(Inv_SY!O291/Inv_SY!$Q291-1,"")</f>
        <v/>
      </c>
    </row>
    <row r="291" spans="1:21">
      <c r="A291" s="55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59">
        <v>44927</v>
      </c>
      <c r="G291" s="55">
        <f t="shared" si="8"/>
        <v>31</v>
      </c>
      <c r="H291" s="57">
        <f t="shared" si="9"/>
        <v>44941</v>
      </c>
      <c r="I291" s="143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41" t="str">
        <f>IFERROR(Inv_SY!O292/Inv_SY!$Q292-1,"")</f>
        <v/>
      </c>
    </row>
    <row r="292" spans="1:21">
      <c r="A292" s="52" t="s">
        <v>208</v>
      </c>
      <c r="B292" s="52">
        <v>4</v>
      </c>
      <c r="C292" s="55">
        <v>2023</v>
      </c>
      <c r="D292" s="52" t="s">
        <v>209</v>
      </c>
      <c r="E292" s="52" t="s">
        <v>209</v>
      </c>
      <c r="F292" s="58">
        <v>44927</v>
      </c>
      <c r="G292" s="52">
        <f t="shared" si="8"/>
        <v>31</v>
      </c>
      <c r="H292" s="54">
        <f t="shared" si="9"/>
        <v>44942</v>
      </c>
      <c r="I292" s="142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41" t="str">
        <f>IFERROR(Inv_SY!O293/Inv_SY!$Q293-1,"")</f>
        <v/>
      </c>
    </row>
    <row r="293" spans="1:21">
      <c r="A293" s="55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59">
        <v>44927</v>
      </c>
      <c r="G293" s="55">
        <f t="shared" si="8"/>
        <v>31</v>
      </c>
      <c r="H293" s="57">
        <f t="shared" si="9"/>
        <v>44943</v>
      </c>
      <c r="I293" s="143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41" t="str">
        <f>IFERROR(Inv_SY!O294/Inv_SY!$Q294-1,"")</f>
        <v/>
      </c>
    </row>
    <row r="294" spans="1:21">
      <c r="A294" s="52" t="s">
        <v>208</v>
      </c>
      <c r="B294" s="52">
        <v>4</v>
      </c>
      <c r="C294" s="55">
        <v>2023</v>
      </c>
      <c r="D294" s="52" t="s">
        <v>209</v>
      </c>
      <c r="E294" s="52" t="s">
        <v>209</v>
      </c>
      <c r="F294" s="58">
        <v>44927</v>
      </c>
      <c r="G294" s="52">
        <f t="shared" si="8"/>
        <v>31</v>
      </c>
      <c r="H294" s="54">
        <f t="shared" si="9"/>
        <v>44944</v>
      </c>
      <c r="I294" s="142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41" t="str">
        <f>IFERROR(Inv_SY!O295/Inv_SY!$Q295-1,"")</f>
        <v/>
      </c>
    </row>
    <row r="295" spans="1:21">
      <c r="A295" s="55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59">
        <v>44927</v>
      </c>
      <c r="G295" s="55">
        <f t="shared" si="8"/>
        <v>31</v>
      </c>
      <c r="H295" s="57">
        <f t="shared" si="9"/>
        <v>44945</v>
      </c>
      <c r="I295" s="143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41" t="str">
        <f>IFERROR(Inv_SY!O296/Inv_SY!$Q296-1,"")</f>
        <v/>
      </c>
    </row>
    <row r="296" spans="1:21">
      <c r="A296" s="52" t="s">
        <v>208</v>
      </c>
      <c r="B296" s="52">
        <v>4</v>
      </c>
      <c r="C296" s="55">
        <v>2023</v>
      </c>
      <c r="D296" s="52" t="s">
        <v>209</v>
      </c>
      <c r="E296" s="52" t="s">
        <v>209</v>
      </c>
      <c r="F296" s="58">
        <v>44927</v>
      </c>
      <c r="G296" s="52">
        <f t="shared" si="8"/>
        <v>31</v>
      </c>
      <c r="H296" s="54">
        <f t="shared" si="9"/>
        <v>44946</v>
      </c>
      <c r="I296" s="142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41" t="str">
        <f>IFERROR(Inv_SY!O297/Inv_SY!$Q297-1,"")</f>
        <v/>
      </c>
    </row>
    <row r="297" spans="1:21">
      <c r="A297" s="55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59">
        <v>44927</v>
      </c>
      <c r="G297" s="55">
        <f t="shared" si="8"/>
        <v>31</v>
      </c>
      <c r="H297" s="57">
        <f t="shared" si="9"/>
        <v>44947</v>
      </c>
      <c r="I297" s="143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41" t="str">
        <f>IFERROR(Inv_SY!O298/Inv_SY!$Q298-1,"")</f>
        <v/>
      </c>
    </row>
    <row r="298" spans="1:21">
      <c r="A298" s="52" t="s">
        <v>208</v>
      </c>
      <c r="B298" s="52">
        <v>4</v>
      </c>
      <c r="C298" s="55">
        <v>2023</v>
      </c>
      <c r="D298" s="52" t="s">
        <v>209</v>
      </c>
      <c r="E298" s="52" t="s">
        <v>209</v>
      </c>
      <c r="F298" s="58">
        <v>44927</v>
      </c>
      <c r="G298" s="52">
        <f t="shared" si="8"/>
        <v>31</v>
      </c>
      <c r="H298" s="54">
        <f t="shared" si="9"/>
        <v>44948</v>
      </c>
      <c r="I298" s="142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41" t="str">
        <f>IFERROR(Inv_SY!O299/Inv_SY!$Q299-1,"")</f>
        <v/>
      </c>
    </row>
    <row r="299" spans="1:21">
      <c r="A299" s="55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59">
        <v>44927</v>
      </c>
      <c r="G299" s="55">
        <f t="shared" si="8"/>
        <v>31</v>
      </c>
      <c r="H299" s="57">
        <f t="shared" si="9"/>
        <v>44949</v>
      </c>
      <c r="I299" s="143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41" t="str">
        <f>IFERROR(Inv_SY!O300/Inv_SY!$Q300-1,"")</f>
        <v/>
      </c>
    </row>
    <row r="300" spans="1:21">
      <c r="A300" s="52" t="s">
        <v>208</v>
      </c>
      <c r="B300" s="52">
        <v>4</v>
      </c>
      <c r="C300" s="55">
        <v>2023</v>
      </c>
      <c r="D300" s="52" t="s">
        <v>209</v>
      </c>
      <c r="E300" s="52" t="s">
        <v>209</v>
      </c>
      <c r="F300" s="58">
        <v>44927</v>
      </c>
      <c r="G300" s="52">
        <f t="shared" si="8"/>
        <v>31</v>
      </c>
      <c r="H300" s="54">
        <f t="shared" si="9"/>
        <v>44950</v>
      </c>
      <c r="I300" s="142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41" t="str">
        <f>IFERROR(Inv_SY!O301/Inv_SY!$Q301-1,"")</f>
        <v/>
      </c>
    </row>
    <row r="301" spans="1:21">
      <c r="A301" s="55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59">
        <v>44927</v>
      </c>
      <c r="G301" s="55">
        <f t="shared" si="8"/>
        <v>31</v>
      </c>
      <c r="H301" s="57">
        <f t="shared" si="9"/>
        <v>44951</v>
      </c>
      <c r="I301" s="143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41" t="str">
        <f>IFERROR(Inv_SY!O302/Inv_SY!$Q302-1,"")</f>
        <v/>
      </c>
    </row>
    <row r="302" spans="1:21">
      <c r="A302" s="52" t="s">
        <v>208</v>
      </c>
      <c r="B302" s="52">
        <v>4</v>
      </c>
      <c r="C302" s="55">
        <v>2023</v>
      </c>
      <c r="D302" s="52" t="s">
        <v>209</v>
      </c>
      <c r="E302" s="52" t="s">
        <v>209</v>
      </c>
      <c r="F302" s="58">
        <v>44927</v>
      </c>
      <c r="G302" s="52">
        <f t="shared" si="8"/>
        <v>31</v>
      </c>
      <c r="H302" s="54">
        <f t="shared" si="9"/>
        <v>44952</v>
      </c>
      <c r="I302" s="142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41" t="str">
        <f>IFERROR(Inv_SY!O303/Inv_SY!$Q303-1,"")</f>
        <v/>
      </c>
    </row>
    <row r="303" spans="1:21">
      <c r="A303" s="55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59">
        <v>44927</v>
      </c>
      <c r="G303" s="55">
        <f t="shared" si="8"/>
        <v>31</v>
      </c>
      <c r="H303" s="57">
        <f t="shared" si="9"/>
        <v>44953</v>
      </c>
      <c r="I303" s="143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41" t="str">
        <f>IFERROR(Inv_SY!O304/Inv_SY!$Q304-1,"")</f>
        <v/>
      </c>
    </row>
    <row r="304" spans="1:21">
      <c r="A304" s="52" t="s">
        <v>208</v>
      </c>
      <c r="B304" s="52">
        <v>4</v>
      </c>
      <c r="C304" s="55">
        <v>2023</v>
      </c>
      <c r="D304" s="52" t="s">
        <v>209</v>
      </c>
      <c r="E304" s="52" t="s">
        <v>209</v>
      </c>
      <c r="F304" s="58">
        <v>44927</v>
      </c>
      <c r="G304" s="52">
        <f t="shared" si="8"/>
        <v>31</v>
      </c>
      <c r="H304" s="54">
        <f t="shared" si="9"/>
        <v>44954</v>
      </c>
      <c r="I304" s="142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41" t="str">
        <f>IFERROR(Inv_SY!O305/Inv_SY!$Q305-1,"")</f>
        <v/>
      </c>
    </row>
    <row r="305" spans="1:21">
      <c r="A305" s="55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59">
        <v>44927</v>
      </c>
      <c r="G305" s="55">
        <f t="shared" si="8"/>
        <v>31</v>
      </c>
      <c r="H305" s="57">
        <f t="shared" si="9"/>
        <v>44955</v>
      </c>
      <c r="I305" s="143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41" t="str">
        <f>IFERROR(Inv_SY!O306/Inv_SY!$Q306-1,"")</f>
        <v/>
      </c>
    </row>
    <row r="306" spans="1:21">
      <c r="A306" s="52" t="s">
        <v>208</v>
      </c>
      <c r="B306" s="52">
        <v>4</v>
      </c>
      <c r="C306" s="55">
        <v>2023</v>
      </c>
      <c r="D306" s="52" t="s">
        <v>209</v>
      </c>
      <c r="E306" s="52" t="s">
        <v>209</v>
      </c>
      <c r="F306" s="58">
        <v>44927</v>
      </c>
      <c r="G306" s="52">
        <f t="shared" si="8"/>
        <v>31</v>
      </c>
      <c r="H306" s="54">
        <f t="shared" si="9"/>
        <v>44956</v>
      </c>
      <c r="I306" s="142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41" t="str">
        <f>IFERROR(Inv_SY!O307/Inv_SY!$Q307-1,"")</f>
        <v/>
      </c>
    </row>
    <row r="307" spans="1:21">
      <c r="A307" s="55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59">
        <v>44927</v>
      </c>
      <c r="G307" s="55">
        <f t="shared" si="8"/>
        <v>31</v>
      </c>
      <c r="H307" s="57">
        <f t="shared" si="9"/>
        <v>44957</v>
      </c>
      <c r="I307" s="143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41" t="str">
        <f>IFERROR(Inv_SY!O308/Inv_SY!$Q308-1,"")</f>
        <v/>
      </c>
    </row>
    <row r="308" spans="1:21">
      <c r="A308" s="52" t="s">
        <v>208</v>
      </c>
      <c r="B308" s="52">
        <v>4</v>
      </c>
      <c r="C308" s="55">
        <v>2023</v>
      </c>
      <c r="D308" s="52" t="s">
        <v>209</v>
      </c>
      <c r="E308" s="52" t="s">
        <v>209</v>
      </c>
      <c r="F308" s="58">
        <v>44958</v>
      </c>
      <c r="G308" s="52">
        <f t="shared" si="8"/>
        <v>28</v>
      </c>
      <c r="H308" s="54">
        <f t="shared" si="9"/>
        <v>44958</v>
      </c>
      <c r="I308" s="142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41" t="str">
        <f>IFERROR(Inv_SY!O309/Inv_SY!$Q309-1,"")</f>
        <v/>
      </c>
    </row>
    <row r="309" spans="1:21">
      <c r="A309" s="55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59">
        <v>44958</v>
      </c>
      <c r="G309" s="55">
        <f t="shared" si="8"/>
        <v>28</v>
      </c>
      <c r="H309" s="57">
        <f t="shared" si="9"/>
        <v>44959</v>
      </c>
      <c r="I309" s="143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41" t="str">
        <f>IFERROR(Inv_SY!O310/Inv_SY!$Q310-1,"")</f>
        <v/>
      </c>
    </row>
    <row r="310" spans="1:21">
      <c r="A310" s="52" t="s">
        <v>208</v>
      </c>
      <c r="B310" s="52">
        <v>4</v>
      </c>
      <c r="C310" s="55">
        <v>2023</v>
      </c>
      <c r="D310" s="52" t="s">
        <v>209</v>
      </c>
      <c r="E310" s="52" t="s">
        <v>209</v>
      </c>
      <c r="F310" s="58">
        <v>44958</v>
      </c>
      <c r="G310" s="52">
        <f t="shared" si="8"/>
        <v>28</v>
      </c>
      <c r="H310" s="54">
        <f t="shared" si="9"/>
        <v>44960</v>
      </c>
      <c r="I310" s="142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41" t="str">
        <f>IFERROR(Inv_SY!O311/Inv_SY!$Q311-1,"")</f>
        <v/>
      </c>
    </row>
    <row r="311" spans="1:21">
      <c r="A311" s="55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59">
        <v>44958</v>
      </c>
      <c r="G311" s="55">
        <f t="shared" si="8"/>
        <v>28</v>
      </c>
      <c r="H311" s="57">
        <f t="shared" si="9"/>
        <v>44961</v>
      </c>
      <c r="I311" s="143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41" t="str">
        <f>IFERROR(Inv_SY!O312/Inv_SY!$Q312-1,"")</f>
        <v/>
      </c>
    </row>
    <row r="312" spans="1:21">
      <c r="A312" s="52" t="s">
        <v>208</v>
      </c>
      <c r="B312" s="52">
        <v>4</v>
      </c>
      <c r="C312" s="55">
        <v>2023</v>
      </c>
      <c r="D312" s="52" t="s">
        <v>209</v>
      </c>
      <c r="E312" s="52" t="s">
        <v>209</v>
      </c>
      <c r="F312" s="58">
        <v>44958</v>
      </c>
      <c r="G312" s="52">
        <f t="shared" si="8"/>
        <v>28</v>
      </c>
      <c r="H312" s="54">
        <f t="shared" si="9"/>
        <v>44962</v>
      </c>
      <c r="I312" s="142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41" t="str">
        <f>IFERROR(Inv_SY!O313/Inv_SY!$Q313-1,"")</f>
        <v/>
      </c>
    </row>
    <row r="313" spans="1:21">
      <c r="A313" s="55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59">
        <v>44958</v>
      </c>
      <c r="G313" s="55">
        <f t="shared" si="8"/>
        <v>28</v>
      </c>
      <c r="H313" s="57">
        <f t="shared" si="9"/>
        <v>44963</v>
      </c>
      <c r="I313" s="143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41" t="str">
        <f>IFERROR(Inv_SY!O314/Inv_SY!$Q314-1,"")</f>
        <v/>
      </c>
    </row>
    <row r="314" spans="1:21">
      <c r="A314" s="52" t="s">
        <v>208</v>
      </c>
      <c r="B314" s="52">
        <v>4</v>
      </c>
      <c r="C314" s="55">
        <v>2023</v>
      </c>
      <c r="D314" s="52" t="s">
        <v>209</v>
      </c>
      <c r="E314" s="52" t="s">
        <v>209</v>
      </c>
      <c r="F314" s="58">
        <v>44958</v>
      </c>
      <c r="G314" s="52">
        <f t="shared" si="8"/>
        <v>28</v>
      </c>
      <c r="H314" s="54">
        <f t="shared" si="9"/>
        <v>44964</v>
      </c>
      <c r="I314" s="142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41" t="str">
        <f>IFERROR(Inv_SY!O315/Inv_SY!$Q315-1,"")</f>
        <v/>
      </c>
    </row>
    <row r="315" spans="1:21">
      <c r="A315" s="55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59">
        <v>44958</v>
      </c>
      <c r="G315" s="55">
        <f t="shared" si="8"/>
        <v>28</v>
      </c>
      <c r="H315" s="57">
        <f t="shared" si="9"/>
        <v>44965</v>
      </c>
      <c r="I315" s="143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41" t="str">
        <f>IFERROR(Inv_SY!O316/Inv_SY!$Q316-1,"")</f>
        <v/>
      </c>
    </row>
    <row r="316" spans="1:21">
      <c r="A316" s="52" t="s">
        <v>208</v>
      </c>
      <c r="B316" s="52">
        <v>4</v>
      </c>
      <c r="C316" s="55">
        <v>2023</v>
      </c>
      <c r="D316" s="52" t="s">
        <v>209</v>
      </c>
      <c r="E316" s="52" t="s">
        <v>209</v>
      </c>
      <c r="F316" s="58">
        <v>44958</v>
      </c>
      <c r="G316" s="52">
        <f t="shared" si="8"/>
        <v>28</v>
      </c>
      <c r="H316" s="54">
        <f t="shared" si="9"/>
        <v>44966</v>
      </c>
      <c r="I316" s="142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41" t="str">
        <f>IFERROR(Inv_SY!O317/Inv_SY!$Q317-1,"")</f>
        <v/>
      </c>
    </row>
    <row r="317" spans="1:21">
      <c r="A317" s="55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59">
        <v>44958</v>
      </c>
      <c r="G317" s="55">
        <f t="shared" si="8"/>
        <v>28</v>
      </c>
      <c r="H317" s="57">
        <f t="shared" si="9"/>
        <v>44967</v>
      </c>
      <c r="I317" s="143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41" t="str">
        <f>IFERROR(Inv_SY!O318/Inv_SY!$Q318-1,"")</f>
        <v/>
      </c>
    </row>
    <row r="318" spans="1:21">
      <c r="A318" s="52" t="s">
        <v>208</v>
      </c>
      <c r="B318" s="52">
        <v>4</v>
      </c>
      <c r="C318" s="55">
        <v>2023</v>
      </c>
      <c r="D318" s="52" t="s">
        <v>209</v>
      </c>
      <c r="E318" s="52" t="s">
        <v>209</v>
      </c>
      <c r="F318" s="58">
        <v>44958</v>
      </c>
      <c r="G318" s="52">
        <f t="shared" si="8"/>
        <v>28</v>
      </c>
      <c r="H318" s="54">
        <f t="shared" si="9"/>
        <v>44968</v>
      </c>
      <c r="I318" s="142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41" t="str">
        <f>IFERROR(Inv_SY!O319/Inv_SY!$Q319-1,"")</f>
        <v/>
      </c>
    </row>
    <row r="319" spans="1:21">
      <c r="A319" s="55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59">
        <v>44958</v>
      </c>
      <c r="G319" s="55">
        <f t="shared" si="8"/>
        <v>28</v>
      </c>
      <c r="H319" s="57">
        <f t="shared" si="9"/>
        <v>44969</v>
      </c>
      <c r="I319" s="143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41" t="str">
        <f>IFERROR(Inv_SY!O320/Inv_SY!$Q320-1,"")</f>
        <v/>
      </c>
    </row>
    <row r="320" spans="1:21">
      <c r="A320" s="52" t="s">
        <v>208</v>
      </c>
      <c r="B320" s="52">
        <v>4</v>
      </c>
      <c r="C320" s="55">
        <v>2023</v>
      </c>
      <c r="D320" s="52" t="s">
        <v>209</v>
      </c>
      <c r="E320" s="52" t="s">
        <v>209</v>
      </c>
      <c r="F320" s="58">
        <v>44958</v>
      </c>
      <c r="G320" s="52">
        <f t="shared" si="8"/>
        <v>28</v>
      </c>
      <c r="H320" s="54">
        <f t="shared" si="9"/>
        <v>44970</v>
      </c>
      <c r="I320" s="142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41" t="str">
        <f>IFERROR(Inv_SY!O321/Inv_SY!$Q321-1,"")</f>
        <v/>
      </c>
    </row>
    <row r="321" spans="1:21">
      <c r="A321" s="55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59">
        <v>44958</v>
      </c>
      <c r="G321" s="55">
        <f t="shared" si="8"/>
        <v>28</v>
      </c>
      <c r="H321" s="57">
        <f t="shared" si="9"/>
        <v>44971</v>
      </c>
      <c r="I321" s="143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41" t="str">
        <f>IFERROR(Inv_SY!O322/Inv_SY!$Q322-1,"")</f>
        <v/>
      </c>
    </row>
    <row r="322" spans="1:21">
      <c r="A322" s="52" t="s">
        <v>208</v>
      </c>
      <c r="B322" s="52">
        <v>4</v>
      </c>
      <c r="C322" s="55">
        <v>2023</v>
      </c>
      <c r="D322" s="52" t="s">
        <v>209</v>
      </c>
      <c r="E322" s="52" t="s">
        <v>209</v>
      </c>
      <c r="F322" s="58">
        <v>44958</v>
      </c>
      <c r="G322" s="52">
        <f t="shared" si="8"/>
        <v>28</v>
      </c>
      <c r="H322" s="54">
        <f t="shared" si="9"/>
        <v>44972</v>
      </c>
      <c r="I322" s="142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41" t="str">
        <f>IFERROR(Inv_SY!O323/Inv_SY!$Q323-1,"")</f>
        <v/>
      </c>
    </row>
    <row r="323" spans="1:21">
      <c r="A323" s="55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59">
        <v>44958</v>
      </c>
      <c r="G323" s="55">
        <f t="shared" ref="G323:G366" si="10">DAY(EOMONTH(F323,0))</f>
        <v>28</v>
      </c>
      <c r="H323" s="57">
        <f t="shared" si="9"/>
        <v>44973</v>
      </c>
      <c r="I323" s="143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41" t="str">
        <f>IFERROR(Inv_SY!O324/Inv_SY!$Q324-1,"")</f>
        <v/>
      </c>
    </row>
    <row r="324" spans="1:21">
      <c r="A324" s="52" t="s">
        <v>208</v>
      </c>
      <c r="B324" s="52">
        <v>4</v>
      </c>
      <c r="C324" s="55">
        <v>2023</v>
      </c>
      <c r="D324" s="52" t="s">
        <v>209</v>
      </c>
      <c r="E324" s="52" t="s">
        <v>209</v>
      </c>
      <c r="F324" s="58">
        <v>44958</v>
      </c>
      <c r="G324" s="52">
        <f t="shared" si="10"/>
        <v>28</v>
      </c>
      <c r="H324" s="54">
        <f t="shared" ref="H324:H366" si="11">H323+1</f>
        <v>44974</v>
      </c>
      <c r="I324" s="142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41" t="str">
        <f>IFERROR(Inv_SY!O325/Inv_SY!$Q325-1,"")</f>
        <v/>
      </c>
    </row>
    <row r="325" spans="1:21">
      <c r="A325" s="55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59">
        <v>44958</v>
      </c>
      <c r="G325" s="55">
        <f t="shared" si="10"/>
        <v>28</v>
      </c>
      <c r="H325" s="57">
        <f t="shared" si="11"/>
        <v>44975</v>
      </c>
      <c r="I325" s="143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41" t="str">
        <f>IFERROR(Inv_SY!O326/Inv_SY!$Q326-1,"")</f>
        <v/>
      </c>
    </row>
    <row r="326" spans="1:21">
      <c r="A326" s="52" t="s">
        <v>208</v>
      </c>
      <c r="B326" s="52">
        <v>4</v>
      </c>
      <c r="C326" s="55">
        <v>2023</v>
      </c>
      <c r="D326" s="52" t="s">
        <v>209</v>
      </c>
      <c r="E326" s="52" t="s">
        <v>209</v>
      </c>
      <c r="F326" s="58">
        <v>44958</v>
      </c>
      <c r="G326" s="52">
        <f t="shared" si="10"/>
        <v>28</v>
      </c>
      <c r="H326" s="54">
        <f t="shared" si="11"/>
        <v>44976</v>
      </c>
      <c r="I326" s="142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41" t="str">
        <f>IFERROR(Inv_SY!O327/Inv_SY!$Q327-1,"")</f>
        <v/>
      </c>
    </row>
    <row r="327" spans="1:21">
      <c r="A327" s="55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59">
        <v>44958</v>
      </c>
      <c r="G327" s="55">
        <f t="shared" si="10"/>
        <v>28</v>
      </c>
      <c r="H327" s="57">
        <f t="shared" si="11"/>
        <v>44977</v>
      </c>
      <c r="I327" s="143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41" t="str">
        <f>IFERROR(Inv_SY!O328/Inv_SY!$Q328-1,"")</f>
        <v/>
      </c>
    </row>
    <row r="328" spans="1:21">
      <c r="A328" s="52" t="s">
        <v>208</v>
      </c>
      <c r="B328" s="52">
        <v>4</v>
      </c>
      <c r="C328" s="55">
        <v>2023</v>
      </c>
      <c r="D328" s="52" t="s">
        <v>209</v>
      </c>
      <c r="E328" s="52" t="s">
        <v>209</v>
      </c>
      <c r="F328" s="58">
        <v>44958</v>
      </c>
      <c r="G328" s="52">
        <f t="shared" si="10"/>
        <v>28</v>
      </c>
      <c r="H328" s="54">
        <f t="shared" si="11"/>
        <v>44978</v>
      </c>
      <c r="I328" s="142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41" t="str">
        <f>IFERROR(Inv_SY!O329/Inv_SY!$Q329-1,"")</f>
        <v/>
      </c>
    </row>
    <row r="329" spans="1:21">
      <c r="A329" s="55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59">
        <v>44958</v>
      </c>
      <c r="G329" s="55">
        <f t="shared" si="10"/>
        <v>28</v>
      </c>
      <c r="H329" s="57">
        <f t="shared" si="11"/>
        <v>44979</v>
      </c>
      <c r="I329" s="143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41" t="str">
        <f>IFERROR(Inv_SY!O330/Inv_SY!$Q330-1,"")</f>
        <v/>
      </c>
    </row>
    <row r="330" spans="1:21">
      <c r="A330" s="52" t="s">
        <v>208</v>
      </c>
      <c r="B330" s="52">
        <v>4</v>
      </c>
      <c r="C330" s="55">
        <v>2023</v>
      </c>
      <c r="D330" s="52" t="s">
        <v>209</v>
      </c>
      <c r="E330" s="52" t="s">
        <v>209</v>
      </c>
      <c r="F330" s="58">
        <v>44958</v>
      </c>
      <c r="G330" s="52">
        <f t="shared" si="10"/>
        <v>28</v>
      </c>
      <c r="H330" s="54">
        <f t="shared" si="11"/>
        <v>44980</v>
      </c>
      <c r="I330" s="142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41" t="str">
        <f>IFERROR(Inv_SY!O331/Inv_SY!$Q331-1,"")</f>
        <v/>
      </c>
    </row>
    <row r="331" spans="1:21">
      <c r="A331" s="55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59">
        <v>44958</v>
      </c>
      <c r="G331" s="55">
        <f t="shared" si="10"/>
        <v>28</v>
      </c>
      <c r="H331" s="57">
        <f t="shared" si="11"/>
        <v>44981</v>
      </c>
      <c r="I331" s="143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41" t="str">
        <f>IFERROR(Inv_SY!O332/Inv_SY!$Q332-1,"")</f>
        <v/>
      </c>
    </row>
    <row r="332" spans="1:21">
      <c r="A332" s="52" t="s">
        <v>208</v>
      </c>
      <c r="B332" s="52">
        <v>4</v>
      </c>
      <c r="C332" s="55">
        <v>2023</v>
      </c>
      <c r="D332" s="52" t="s">
        <v>209</v>
      </c>
      <c r="E332" s="52" t="s">
        <v>209</v>
      </c>
      <c r="F332" s="58">
        <v>44958</v>
      </c>
      <c r="G332" s="52">
        <f t="shared" si="10"/>
        <v>28</v>
      </c>
      <c r="H332" s="54">
        <f t="shared" si="11"/>
        <v>44982</v>
      </c>
      <c r="I332" s="142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41" t="str">
        <f>IFERROR(Inv_SY!O333/Inv_SY!$Q333-1,"")</f>
        <v/>
      </c>
    </row>
    <row r="333" spans="1:21">
      <c r="A333" s="55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59">
        <v>44958</v>
      </c>
      <c r="G333" s="55">
        <f t="shared" si="10"/>
        <v>28</v>
      </c>
      <c r="H333" s="57">
        <f t="shared" si="11"/>
        <v>44983</v>
      </c>
      <c r="I333" s="143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41" t="str">
        <f>IFERROR(Inv_SY!O334/Inv_SY!$Q334-1,"")</f>
        <v/>
      </c>
    </row>
    <row r="334" spans="1:21">
      <c r="A334" s="52" t="s">
        <v>208</v>
      </c>
      <c r="B334" s="52">
        <v>4</v>
      </c>
      <c r="C334" s="55">
        <v>2023</v>
      </c>
      <c r="D334" s="52" t="s">
        <v>209</v>
      </c>
      <c r="E334" s="52" t="s">
        <v>209</v>
      </c>
      <c r="F334" s="58">
        <v>44958</v>
      </c>
      <c r="G334" s="52">
        <f t="shared" si="10"/>
        <v>28</v>
      </c>
      <c r="H334" s="54">
        <f t="shared" si="11"/>
        <v>44984</v>
      </c>
      <c r="I334" s="142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41" t="str">
        <f>IFERROR(Inv_SY!O335/Inv_SY!$Q335-1,"")</f>
        <v/>
      </c>
    </row>
    <row r="335" spans="1:21">
      <c r="A335" s="55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59">
        <v>44958</v>
      </c>
      <c r="G335" s="55">
        <f t="shared" si="10"/>
        <v>28</v>
      </c>
      <c r="H335" s="57">
        <f t="shared" si="11"/>
        <v>44985</v>
      </c>
      <c r="I335" s="143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41" t="str">
        <f>IFERROR(Inv_SY!O336/Inv_SY!$Q336-1,"")</f>
        <v/>
      </c>
    </row>
    <row r="336" spans="1:21">
      <c r="A336" s="52" t="s">
        <v>208</v>
      </c>
      <c r="B336" s="52">
        <v>4</v>
      </c>
      <c r="C336" s="55">
        <v>2023</v>
      </c>
      <c r="D336" s="52" t="s">
        <v>209</v>
      </c>
      <c r="E336" s="52" t="s">
        <v>209</v>
      </c>
      <c r="F336" s="58">
        <v>44986</v>
      </c>
      <c r="G336" s="52">
        <f t="shared" si="10"/>
        <v>31</v>
      </c>
      <c r="H336" s="54">
        <f t="shared" si="11"/>
        <v>44986</v>
      </c>
      <c r="I336" s="142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41" t="str">
        <f>IFERROR(Inv_SY!O337/Inv_SY!$Q337-1,"")</f>
        <v/>
      </c>
    </row>
    <row r="337" spans="1:21">
      <c r="A337" s="55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59">
        <v>44986</v>
      </c>
      <c r="G337" s="55">
        <f t="shared" si="10"/>
        <v>31</v>
      </c>
      <c r="H337" s="57">
        <f t="shared" si="11"/>
        <v>44987</v>
      </c>
      <c r="I337" s="143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41" t="str">
        <f>IFERROR(Inv_SY!O338/Inv_SY!$Q338-1,"")</f>
        <v/>
      </c>
    </row>
    <row r="338" spans="1:21">
      <c r="A338" s="52" t="s">
        <v>208</v>
      </c>
      <c r="B338" s="52">
        <v>4</v>
      </c>
      <c r="C338" s="55">
        <v>2023</v>
      </c>
      <c r="D338" s="52" t="s">
        <v>209</v>
      </c>
      <c r="E338" s="52" t="s">
        <v>209</v>
      </c>
      <c r="F338" s="58">
        <v>44986</v>
      </c>
      <c r="G338" s="52">
        <f t="shared" si="10"/>
        <v>31</v>
      </c>
      <c r="H338" s="54">
        <f t="shared" si="11"/>
        <v>44988</v>
      </c>
      <c r="I338" s="142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41" t="str">
        <f>IFERROR(Inv_SY!O339/Inv_SY!$Q339-1,"")</f>
        <v/>
      </c>
    </row>
    <row r="339" spans="1:21">
      <c r="A339" s="55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59">
        <v>44986</v>
      </c>
      <c r="G339" s="55">
        <f t="shared" si="10"/>
        <v>31</v>
      </c>
      <c r="H339" s="57">
        <f t="shared" si="11"/>
        <v>44989</v>
      </c>
      <c r="I339" s="143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41" t="str">
        <f>IFERROR(Inv_SY!O340/Inv_SY!$Q340-1,"")</f>
        <v/>
      </c>
    </row>
    <row r="340" spans="1:21">
      <c r="A340" s="52" t="s">
        <v>208</v>
      </c>
      <c r="B340" s="52">
        <v>4</v>
      </c>
      <c r="C340" s="55">
        <v>2023</v>
      </c>
      <c r="D340" s="52" t="s">
        <v>209</v>
      </c>
      <c r="E340" s="52" t="s">
        <v>209</v>
      </c>
      <c r="F340" s="58">
        <v>44986</v>
      </c>
      <c r="G340" s="52">
        <f t="shared" si="10"/>
        <v>31</v>
      </c>
      <c r="H340" s="54">
        <f t="shared" si="11"/>
        <v>44990</v>
      </c>
      <c r="I340" s="142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41" t="str">
        <f>IFERROR(Inv_SY!O341/Inv_SY!$Q341-1,"")</f>
        <v/>
      </c>
    </row>
    <row r="341" spans="1:21">
      <c r="A341" s="55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59">
        <v>44986</v>
      </c>
      <c r="G341" s="55">
        <f t="shared" si="10"/>
        <v>31</v>
      </c>
      <c r="H341" s="57">
        <f t="shared" si="11"/>
        <v>44991</v>
      </c>
      <c r="I341" s="143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41" t="str">
        <f>IFERROR(Inv_SY!O342/Inv_SY!$Q342-1,"")</f>
        <v/>
      </c>
    </row>
    <row r="342" spans="1:21">
      <c r="A342" s="52" t="s">
        <v>208</v>
      </c>
      <c r="B342" s="52">
        <v>4</v>
      </c>
      <c r="C342" s="55">
        <v>2023</v>
      </c>
      <c r="D342" s="52" t="s">
        <v>209</v>
      </c>
      <c r="E342" s="52" t="s">
        <v>209</v>
      </c>
      <c r="F342" s="58">
        <v>44986</v>
      </c>
      <c r="G342" s="52">
        <f t="shared" si="10"/>
        <v>31</v>
      </c>
      <c r="H342" s="54">
        <f t="shared" si="11"/>
        <v>44992</v>
      </c>
      <c r="I342" s="142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41" t="str">
        <f>IFERROR(Inv_SY!O343/Inv_SY!$Q343-1,"")</f>
        <v/>
      </c>
    </row>
    <row r="343" spans="1:21">
      <c r="A343" s="55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59">
        <v>44986</v>
      </c>
      <c r="G343" s="55">
        <f t="shared" si="10"/>
        <v>31</v>
      </c>
      <c r="H343" s="57">
        <f t="shared" si="11"/>
        <v>44993</v>
      </c>
      <c r="I343" s="143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41" t="str">
        <f>IFERROR(Inv_SY!O344/Inv_SY!$Q344-1,"")</f>
        <v/>
      </c>
    </row>
    <row r="344" spans="1:21">
      <c r="A344" s="52" t="s">
        <v>208</v>
      </c>
      <c r="B344" s="52">
        <v>4</v>
      </c>
      <c r="C344" s="55">
        <v>2023</v>
      </c>
      <c r="D344" s="52" t="s">
        <v>209</v>
      </c>
      <c r="E344" s="52" t="s">
        <v>209</v>
      </c>
      <c r="F344" s="58">
        <v>44986</v>
      </c>
      <c r="G344" s="52">
        <f t="shared" si="10"/>
        <v>31</v>
      </c>
      <c r="H344" s="54">
        <f t="shared" si="11"/>
        <v>44994</v>
      </c>
      <c r="I344" s="142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41" t="str">
        <f>IFERROR(Inv_SY!O345/Inv_SY!$Q345-1,"")</f>
        <v/>
      </c>
    </row>
    <row r="345" spans="1:21">
      <c r="A345" s="55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59">
        <v>44986</v>
      </c>
      <c r="G345" s="55">
        <f t="shared" si="10"/>
        <v>31</v>
      </c>
      <c r="H345" s="57">
        <f t="shared" si="11"/>
        <v>44995</v>
      </c>
      <c r="I345" s="143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41" t="str">
        <f>IFERROR(Inv_SY!O346/Inv_SY!$Q346-1,"")</f>
        <v/>
      </c>
    </row>
    <row r="346" spans="1:21">
      <c r="A346" s="52" t="s">
        <v>208</v>
      </c>
      <c r="B346" s="52">
        <v>4</v>
      </c>
      <c r="C346" s="55">
        <v>2023</v>
      </c>
      <c r="D346" s="52" t="s">
        <v>209</v>
      </c>
      <c r="E346" s="52" t="s">
        <v>209</v>
      </c>
      <c r="F346" s="58">
        <v>44986</v>
      </c>
      <c r="G346" s="52">
        <f t="shared" si="10"/>
        <v>31</v>
      </c>
      <c r="H346" s="54">
        <f t="shared" si="11"/>
        <v>44996</v>
      </c>
      <c r="I346" s="142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41" t="str">
        <f>IFERROR(Inv_SY!O347/Inv_SY!$Q347-1,"")</f>
        <v/>
      </c>
    </row>
    <row r="347" spans="1:21">
      <c r="A347" s="55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59">
        <v>44986</v>
      </c>
      <c r="G347" s="55">
        <f t="shared" si="10"/>
        <v>31</v>
      </c>
      <c r="H347" s="57">
        <f t="shared" si="11"/>
        <v>44997</v>
      </c>
      <c r="I347" s="143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41" t="str">
        <f>IFERROR(Inv_SY!O348/Inv_SY!$Q348-1,"")</f>
        <v/>
      </c>
    </row>
    <row r="348" spans="1:21">
      <c r="A348" s="52" t="s">
        <v>208</v>
      </c>
      <c r="B348" s="52">
        <v>4</v>
      </c>
      <c r="C348" s="55">
        <v>2023</v>
      </c>
      <c r="D348" s="52" t="s">
        <v>209</v>
      </c>
      <c r="E348" s="52" t="s">
        <v>209</v>
      </c>
      <c r="F348" s="58">
        <v>44986</v>
      </c>
      <c r="G348" s="52">
        <f t="shared" si="10"/>
        <v>31</v>
      </c>
      <c r="H348" s="54">
        <f t="shared" si="11"/>
        <v>44998</v>
      </c>
      <c r="I348" s="142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41" t="str">
        <f>IFERROR(Inv_SY!O349/Inv_SY!$Q349-1,"")</f>
        <v/>
      </c>
    </row>
    <row r="349" spans="1:21">
      <c r="A349" s="55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59">
        <v>44986</v>
      </c>
      <c r="G349" s="55">
        <f t="shared" si="10"/>
        <v>31</v>
      </c>
      <c r="H349" s="57">
        <f t="shared" si="11"/>
        <v>44999</v>
      </c>
      <c r="I349" s="143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41" t="str">
        <f>IFERROR(Inv_SY!O350/Inv_SY!$Q350-1,"")</f>
        <v/>
      </c>
    </row>
    <row r="350" spans="1:21">
      <c r="A350" s="52" t="s">
        <v>208</v>
      </c>
      <c r="B350" s="52">
        <v>4</v>
      </c>
      <c r="C350" s="55">
        <v>2023</v>
      </c>
      <c r="D350" s="52" t="s">
        <v>209</v>
      </c>
      <c r="E350" s="52" t="s">
        <v>209</v>
      </c>
      <c r="F350" s="58">
        <v>44986</v>
      </c>
      <c r="G350" s="52">
        <f t="shared" si="10"/>
        <v>31</v>
      </c>
      <c r="H350" s="54">
        <f t="shared" si="11"/>
        <v>45000</v>
      </c>
      <c r="I350" s="142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41" t="str">
        <f>IFERROR(Inv_SY!O351/Inv_SY!$Q351-1,"")</f>
        <v/>
      </c>
    </row>
    <row r="351" spans="1:21">
      <c r="A351" s="55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59">
        <v>44986</v>
      </c>
      <c r="G351" s="55">
        <f t="shared" si="10"/>
        <v>31</v>
      </c>
      <c r="H351" s="57">
        <f t="shared" si="11"/>
        <v>45001</v>
      </c>
      <c r="I351" s="143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41" t="str">
        <f>IFERROR(Inv_SY!O352/Inv_SY!$Q352-1,"")</f>
        <v/>
      </c>
    </row>
    <row r="352" spans="1:21">
      <c r="A352" s="52" t="s">
        <v>208</v>
      </c>
      <c r="B352" s="52">
        <v>4</v>
      </c>
      <c r="C352" s="55">
        <v>2023</v>
      </c>
      <c r="D352" s="52" t="s">
        <v>209</v>
      </c>
      <c r="E352" s="52" t="s">
        <v>209</v>
      </c>
      <c r="F352" s="58">
        <v>44986</v>
      </c>
      <c r="G352" s="52">
        <f t="shared" si="10"/>
        <v>31</v>
      </c>
      <c r="H352" s="54">
        <f t="shared" si="11"/>
        <v>45002</v>
      </c>
      <c r="I352" s="142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41" t="str">
        <f>IFERROR(Inv_SY!O353/Inv_SY!$Q353-1,"")</f>
        <v/>
      </c>
    </row>
    <row r="353" spans="1:21">
      <c r="A353" s="55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59">
        <v>44986</v>
      </c>
      <c r="G353" s="55">
        <f t="shared" si="10"/>
        <v>31</v>
      </c>
      <c r="H353" s="57">
        <f t="shared" si="11"/>
        <v>45003</v>
      </c>
      <c r="I353" s="143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41" t="str">
        <f>IFERROR(Inv_SY!O354/Inv_SY!$Q354-1,"")</f>
        <v/>
      </c>
    </row>
    <row r="354" spans="1:21">
      <c r="A354" s="52" t="s">
        <v>208</v>
      </c>
      <c r="B354" s="52">
        <v>4</v>
      </c>
      <c r="C354" s="55">
        <v>2023</v>
      </c>
      <c r="D354" s="52" t="s">
        <v>209</v>
      </c>
      <c r="E354" s="52" t="s">
        <v>209</v>
      </c>
      <c r="F354" s="58">
        <v>44986</v>
      </c>
      <c r="G354" s="52">
        <f t="shared" si="10"/>
        <v>31</v>
      </c>
      <c r="H354" s="54">
        <f t="shared" si="11"/>
        <v>45004</v>
      </c>
      <c r="I354" s="142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41" t="str">
        <f>IFERROR(Inv_SY!O355/Inv_SY!$Q355-1,"")</f>
        <v/>
      </c>
    </row>
    <row r="355" spans="1:21">
      <c r="A355" s="55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59">
        <v>44986</v>
      </c>
      <c r="G355" s="55">
        <f t="shared" si="10"/>
        <v>31</v>
      </c>
      <c r="H355" s="57">
        <f t="shared" si="11"/>
        <v>45005</v>
      </c>
      <c r="I355" s="143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41" t="str">
        <f>IFERROR(Inv_SY!O356/Inv_SY!$Q356-1,"")</f>
        <v/>
      </c>
    </row>
    <row r="356" spans="1:21">
      <c r="A356" s="52" t="s">
        <v>208</v>
      </c>
      <c r="B356" s="52">
        <v>4</v>
      </c>
      <c r="C356" s="55">
        <v>2023</v>
      </c>
      <c r="D356" s="52" t="s">
        <v>209</v>
      </c>
      <c r="E356" s="52" t="s">
        <v>209</v>
      </c>
      <c r="F356" s="58">
        <v>44986</v>
      </c>
      <c r="G356" s="52">
        <f t="shared" si="10"/>
        <v>31</v>
      </c>
      <c r="H356" s="54">
        <f t="shared" si="11"/>
        <v>45006</v>
      </c>
      <c r="I356" s="142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41" t="str">
        <f>IFERROR(Inv_SY!O357/Inv_SY!$Q357-1,"")</f>
        <v/>
      </c>
    </row>
    <row r="357" spans="1:21">
      <c r="A357" s="55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59">
        <v>44986</v>
      </c>
      <c r="G357" s="55">
        <f t="shared" si="10"/>
        <v>31</v>
      </c>
      <c r="H357" s="57">
        <f t="shared" si="11"/>
        <v>45007</v>
      </c>
      <c r="I357" s="143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41" t="str">
        <f>IFERROR(Inv_SY!O358/Inv_SY!$Q358-1,"")</f>
        <v/>
      </c>
    </row>
    <row r="358" spans="1:21">
      <c r="A358" s="52" t="s">
        <v>208</v>
      </c>
      <c r="B358" s="52">
        <v>4</v>
      </c>
      <c r="C358" s="55">
        <v>2023</v>
      </c>
      <c r="D358" s="52" t="s">
        <v>209</v>
      </c>
      <c r="E358" s="52" t="s">
        <v>209</v>
      </c>
      <c r="F358" s="58">
        <v>44986</v>
      </c>
      <c r="G358" s="52">
        <f t="shared" si="10"/>
        <v>31</v>
      </c>
      <c r="H358" s="54">
        <f t="shared" si="11"/>
        <v>45008</v>
      </c>
      <c r="I358" s="142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41" t="str">
        <f>IFERROR(Inv_SY!O359/Inv_SY!$Q359-1,"")</f>
        <v/>
      </c>
    </row>
    <row r="359" spans="1:21">
      <c r="A359" s="55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59">
        <v>44986</v>
      </c>
      <c r="G359" s="55">
        <f t="shared" si="10"/>
        <v>31</v>
      </c>
      <c r="H359" s="57">
        <f t="shared" si="11"/>
        <v>45009</v>
      </c>
      <c r="I359" s="143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41" t="str">
        <f>IFERROR(Inv_SY!O360/Inv_SY!$Q360-1,"")</f>
        <v/>
      </c>
    </row>
    <row r="360" spans="1:21">
      <c r="A360" s="52" t="s">
        <v>208</v>
      </c>
      <c r="B360" s="52">
        <v>4</v>
      </c>
      <c r="C360" s="55">
        <v>2023</v>
      </c>
      <c r="D360" s="52" t="s">
        <v>209</v>
      </c>
      <c r="E360" s="52" t="s">
        <v>209</v>
      </c>
      <c r="F360" s="58">
        <v>44986</v>
      </c>
      <c r="G360" s="52">
        <f t="shared" si="10"/>
        <v>31</v>
      </c>
      <c r="H360" s="54">
        <f t="shared" si="11"/>
        <v>45010</v>
      </c>
      <c r="I360" s="142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41" t="str">
        <f>IFERROR(Inv_SY!O361/Inv_SY!$Q361-1,"")</f>
        <v/>
      </c>
    </row>
    <row r="361" spans="1:21">
      <c r="A361" s="55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59">
        <v>44986</v>
      </c>
      <c r="G361" s="55">
        <f t="shared" si="10"/>
        <v>31</v>
      </c>
      <c r="H361" s="57">
        <f t="shared" si="11"/>
        <v>45011</v>
      </c>
      <c r="I361" s="143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41" t="str">
        <f>IFERROR(Inv_SY!O362/Inv_SY!$Q362-1,"")</f>
        <v/>
      </c>
    </row>
    <row r="362" spans="1:21">
      <c r="A362" s="52" t="s">
        <v>208</v>
      </c>
      <c r="B362" s="52">
        <v>4</v>
      </c>
      <c r="C362" s="55">
        <v>2023</v>
      </c>
      <c r="D362" s="52" t="s">
        <v>209</v>
      </c>
      <c r="E362" s="52" t="s">
        <v>209</v>
      </c>
      <c r="F362" s="58">
        <v>44986</v>
      </c>
      <c r="G362" s="52">
        <f t="shared" si="10"/>
        <v>31</v>
      </c>
      <c r="H362" s="54">
        <f t="shared" si="11"/>
        <v>45012</v>
      </c>
      <c r="I362" s="142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41" t="str">
        <f>IFERROR(Inv_SY!O363/Inv_SY!$Q363-1,"")</f>
        <v/>
      </c>
    </row>
    <row r="363" spans="1:21">
      <c r="A363" s="55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59">
        <v>44986</v>
      </c>
      <c r="G363" s="55">
        <f t="shared" si="10"/>
        <v>31</v>
      </c>
      <c r="H363" s="57">
        <f t="shared" si="11"/>
        <v>45013</v>
      </c>
      <c r="I363" s="143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41" t="str">
        <f>IFERROR(Inv_SY!O364/Inv_SY!$Q364-1,"")</f>
        <v/>
      </c>
    </row>
    <row r="364" spans="1:21">
      <c r="A364" s="52" t="s">
        <v>208</v>
      </c>
      <c r="B364" s="52">
        <v>4</v>
      </c>
      <c r="C364" s="55">
        <v>2023</v>
      </c>
      <c r="D364" s="52" t="s">
        <v>209</v>
      </c>
      <c r="E364" s="52" t="s">
        <v>209</v>
      </c>
      <c r="F364" s="58">
        <v>44986</v>
      </c>
      <c r="G364" s="52">
        <f t="shared" si="10"/>
        <v>31</v>
      </c>
      <c r="H364" s="54">
        <f t="shared" si="11"/>
        <v>45014</v>
      </c>
      <c r="I364" s="142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41" t="str">
        <f>IFERROR(Inv_SY!O365/Inv_SY!$Q365-1,"")</f>
        <v/>
      </c>
    </row>
    <row r="365" spans="1:21">
      <c r="A365" s="55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59">
        <v>44986</v>
      </c>
      <c r="G365" s="55">
        <f t="shared" si="10"/>
        <v>31</v>
      </c>
      <c r="H365" s="57">
        <f t="shared" si="11"/>
        <v>45015</v>
      </c>
      <c r="I365" s="143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41" t="str">
        <f>IFERROR(Inv_SY!O366/Inv_SY!$Q366-1,"")</f>
        <v/>
      </c>
    </row>
    <row r="366" spans="1:21">
      <c r="A366" s="60" t="s">
        <v>208</v>
      </c>
      <c r="B366" s="60">
        <v>4</v>
      </c>
      <c r="C366" s="55">
        <v>2023</v>
      </c>
      <c r="D366" s="60" t="s">
        <v>209</v>
      </c>
      <c r="E366" s="60" t="s">
        <v>209</v>
      </c>
      <c r="F366" s="61">
        <v>44986</v>
      </c>
      <c r="G366" s="60">
        <f t="shared" si="10"/>
        <v>31</v>
      </c>
      <c r="H366" s="62">
        <f t="shared" si="11"/>
        <v>45016</v>
      </c>
      <c r="I366" s="144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41" t="str">
        <f>IFERROR(Inv_SY!O367/Inv_SY!$Q367-1,"")</f>
        <v/>
      </c>
    </row>
    <row r="367" spans="1:21">
      <c r="A367" s="60" t="s">
        <v>210</v>
      </c>
      <c r="B367" s="60">
        <v>4</v>
      </c>
      <c r="C367" s="55">
        <v>2023</v>
      </c>
      <c r="D367" s="60" t="s">
        <v>209</v>
      </c>
      <c r="E367" s="60" t="s">
        <v>209</v>
      </c>
      <c r="F367" s="61">
        <v>45017</v>
      </c>
      <c r="G367" s="60">
        <v>30</v>
      </c>
      <c r="H367" s="62">
        <v>45017</v>
      </c>
      <c r="I367" s="144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41" t="str">
        <f>IFERROR(Inv_SY!O368/Inv_SY!$Q368-1,"")</f>
        <v/>
      </c>
    </row>
    <row r="368" spans="1:21">
      <c r="A368" s="91" t="s">
        <v>210</v>
      </c>
      <c r="B368" s="60">
        <v>4</v>
      </c>
      <c r="C368" s="55">
        <v>2023</v>
      </c>
      <c r="D368" s="60" t="s">
        <v>209</v>
      </c>
      <c r="E368" s="60" t="s">
        <v>209</v>
      </c>
      <c r="F368" s="61">
        <v>45017</v>
      </c>
      <c r="G368" s="91">
        <v>30</v>
      </c>
      <c r="H368" s="93">
        <v>45018</v>
      </c>
      <c r="I368" s="145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41" t="str">
        <f>IFERROR(Inv_SY!O369/Inv_SY!$Q369-1,"")</f>
        <v/>
      </c>
    </row>
    <row r="369" spans="1:21">
      <c r="A369" s="91" t="s">
        <v>210</v>
      </c>
      <c r="B369" s="60">
        <v>4</v>
      </c>
      <c r="C369" s="55">
        <v>2023</v>
      </c>
      <c r="D369" s="60" t="s">
        <v>209</v>
      </c>
      <c r="E369" s="60" t="s">
        <v>209</v>
      </c>
      <c r="F369" s="61">
        <v>45017</v>
      </c>
      <c r="G369" s="91">
        <v>30</v>
      </c>
      <c r="H369" s="93">
        <v>45019</v>
      </c>
      <c r="I369" s="145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41" t="str">
        <f>IFERROR(Inv_SY!O370/Inv_SY!$Q370-1,"")</f>
        <v/>
      </c>
    </row>
    <row r="370" spans="1:21">
      <c r="A370" s="91" t="s">
        <v>210</v>
      </c>
      <c r="B370" s="60">
        <v>4</v>
      </c>
      <c r="C370" s="55">
        <v>2023</v>
      </c>
      <c r="D370" s="60" t="s">
        <v>209</v>
      </c>
      <c r="E370" s="60" t="s">
        <v>209</v>
      </c>
      <c r="F370" s="61">
        <v>45017</v>
      </c>
      <c r="G370" s="91">
        <v>30</v>
      </c>
      <c r="H370" s="93">
        <v>45020</v>
      </c>
      <c r="I370" s="145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41" t="str">
        <f>IFERROR(Inv_SY!O371/Inv_SY!$Q371-1,"")</f>
        <v/>
      </c>
    </row>
    <row r="371" spans="1:21">
      <c r="A371" s="91" t="s">
        <v>210</v>
      </c>
      <c r="B371" s="60">
        <v>4</v>
      </c>
      <c r="C371" s="55">
        <v>2023</v>
      </c>
      <c r="D371" s="60" t="s">
        <v>209</v>
      </c>
      <c r="E371" s="60" t="s">
        <v>209</v>
      </c>
      <c r="F371" s="61">
        <v>45017</v>
      </c>
      <c r="G371" s="91">
        <v>30</v>
      </c>
      <c r="H371" s="93">
        <v>45021</v>
      </c>
      <c r="I371" s="145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41" t="str">
        <f>IFERROR(Inv_SY!O372/Inv_SY!$Q372-1,"")</f>
        <v/>
      </c>
    </row>
    <row r="372" spans="1:21">
      <c r="A372" s="91" t="s">
        <v>210</v>
      </c>
      <c r="B372" s="60">
        <v>4</v>
      </c>
      <c r="C372" s="55">
        <v>2023</v>
      </c>
      <c r="D372" s="60" t="s">
        <v>209</v>
      </c>
      <c r="E372" s="60" t="s">
        <v>209</v>
      </c>
      <c r="F372" s="61">
        <v>45017</v>
      </c>
      <c r="G372" s="91">
        <v>30</v>
      </c>
      <c r="H372" s="93">
        <v>45022</v>
      </c>
      <c r="I372" s="145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41" t="str">
        <f>IFERROR(Inv_SY!O373/Inv_SY!$Q373-1,"")</f>
        <v/>
      </c>
    </row>
    <row r="373" spans="1:21">
      <c r="A373" s="91" t="s">
        <v>210</v>
      </c>
      <c r="B373" s="60">
        <v>4</v>
      </c>
      <c r="C373" s="55">
        <v>2023</v>
      </c>
      <c r="D373" s="60" t="s">
        <v>209</v>
      </c>
      <c r="E373" s="60" t="s">
        <v>209</v>
      </c>
      <c r="F373" s="61">
        <v>45017</v>
      </c>
      <c r="G373" s="91">
        <v>30</v>
      </c>
      <c r="H373" s="93">
        <v>45023</v>
      </c>
      <c r="I373" s="145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41" t="str">
        <f>IFERROR(Inv_SY!O374/Inv_SY!$Q374-1,"")</f>
        <v/>
      </c>
    </row>
    <row r="374" spans="1:21">
      <c r="A374" s="91" t="s">
        <v>210</v>
      </c>
      <c r="B374" s="60">
        <v>4</v>
      </c>
      <c r="C374" s="55">
        <v>2023</v>
      </c>
      <c r="D374" s="60" t="s">
        <v>209</v>
      </c>
      <c r="E374" s="60" t="s">
        <v>209</v>
      </c>
      <c r="F374" s="61">
        <v>45017</v>
      </c>
      <c r="G374" s="91">
        <v>30</v>
      </c>
      <c r="H374" s="93">
        <v>45024</v>
      </c>
      <c r="I374" s="145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41" t="str">
        <f>IFERROR(Inv_SY!O375/Inv_SY!$Q375-1,"")</f>
        <v/>
      </c>
    </row>
    <row r="375" spans="1:21">
      <c r="A375" s="91" t="s">
        <v>210</v>
      </c>
      <c r="B375" s="60">
        <v>4</v>
      </c>
      <c r="C375" s="55">
        <v>2023</v>
      </c>
      <c r="D375" s="60" t="s">
        <v>209</v>
      </c>
      <c r="E375" s="60" t="s">
        <v>209</v>
      </c>
      <c r="F375" s="61">
        <v>45017</v>
      </c>
      <c r="G375" s="91">
        <v>30</v>
      </c>
      <c r="H375" s="93">
        <v>45025</v>
      </c>
      <c r="I375" s="145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41" t="str">
        <f>IFERROR(Inv_SY!O376/Inv_SY!$Q376-1,"")</f>
        <v/>
      </c>
    </row>
    <row r="376" spans="1:21">
      <c r="A376" s="91" t="s">
        <v>210</v>
      </c>
      <c r="B376" s="60">
        <v>4</v>
      </c>
      <c r="C376" s="55">
        <v>2023</v>
      </c>
      <c r="D376" s="60" t="s">
        <v>209</v>
      </c>
      <c r="E376" s="60" t="s">
        <v>209</v>
      </c>
      <c r="F376" s="61">
        <v>45017</v>
      </c>
      <c r="G376" s="91">
        <v>30</v>
      </c>
      <c r="H376" s="93">
        <v>45026</v>
      </c>
      <c r="I376" s="145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41" t="str">
        <f>IFERROR(Inv_SY!O377/Inv_SY!$Q377-1,"")</f>
        <v/>
      </c>
    </row>
    <row r="377" spans="1:21">
      <c r="A377" s="91" t="s">
        <v>210</v>
      </c>
      <c r="B377" s="60">
        <v>4</v>
      </c>
      <c r="C377" s="55">
        <v>2023</v>
      </c>
      <c r="D377" s="60" t="s">
        <v>209</v>
      </c>
      <c r="E377" s="60" t="s">
        <v>209</v>
      </c>
      <c r="F377" s="61">
        <v>45017</v>
      </c>
      <c r="G377" s="91">
        <v>30</v>
      </c>
      <c r="H377" s="93">
        <v>45027</v>
      </c>
      <c r="I377" s="145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41" t="str">
        <f>IFERROR(Inv_SY!O378/Inv_SY!$Q378-1,"")</f>
        <v/>
      </c>
    </row>
    <row r="378" spans="1:21">
      <c r="A378" s="94" t="s">
        <v>210</v>
      </c>
      <c r="B378" s="60">
        <v>4</v>
      </c>
      <c r="C378" s="55">
        <v>2023</v>
      </c>
      <c r="D378" s="60" t="s">
        <v>209</v>
      </c>
      <c r="E378" s="60" t="s">
        <v>209</v>
      </c>
      <c r="F378" s="61">
        <v>45017</v>
      </c>
      <c r="G378" s="94">
        <v>30</v>
      </c>
      <c r="H378" s="96">
        <v>45028</v>
      </c>
      <c r="I378" s="146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41" t="str">
        <f>IFERROR(Inv_SY!O379/Inv_SY!$Q379-1,"")</f>
        <v/>
      </c>
    </row>
    <row r="379" spans="1:21">
      <c r="A379" s="94" t="s">
        <v>210</v>
      </c>
      <c r="B379" s="60">
        <v>4</v>
      </c>
      <c r="C379" s="55">
        <v>2023</v>
      </c>
      <c r="D379" s="60" t="s">
        <v>209</v>
      </c>
      <c r="E379" s="60" t="s">
        <v>209</v>
      </c>
      <c r="F379" s="61">
        <v>45017</v>
      </c>
      <c r="G379" s="94">
        <v>30</v>
      </c>
      <c r="H379" s="96">
        <v>45029</v>
      </c>
      <c r="I379" s="146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41" t="str">
        <f>IFERROR(Inv_SY!O380/Inv_SY!$Q380-1,"")</f>
        <v/>
      </c>
    </row>
    <row r="380" spans="1:21">
      <c r="A380" s="94" t="s">
        <v>210</v>
      </c>
      <c r="B380" s="60">
        <v>4</v>
      </c>
      <c r="C380" s="55">
        <v>2023</v>
      </c>
      <c r="D380" s="60" t="s">
        <v>209</v>
      </c>
      <c r="E380" s="60" t="s">
        <v>209</v>
      </c>
      <c r="F380" s="61">
        <v>45017</v>
      </c>
      <c r="G380" s="94">
        <v>30</v>
      </c>
      <c r="H380" s="96">
        <v>45030</v>
      </c>
      <c r="I380" s="146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41" t="str">
        <f>IFERROR(Inv_SY!O381/Inv_SY!$Q381-1,"")</f>
        <v/>
      </c>
    </row>
    <row r="381" spans="1:21">
      <c r="A381" s="94" t="s">
        <v>210</v>
      </c>
      <c r="B381" s="60">
        <v>4</v>
      </c>
      <c r="C381" s="55">
        <v>2023</v>
      </c>
      <c r="D381" s="60" t="s">
        <v>209</v>
      </c>
      <c r="E381" s="60" t="s">
        <v>209</v>
      </c>
      <c r="F381" s="61">
        <v>45017</v>
      </c>
      <c r="G381" s="94">
        <v>30</v>
      </c>
      <c r="H381" s="96">
        <v>45031</v>
      </c>
      <c r="I381" s="146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41" t="str">
        <f>IFERROR(Inv_SY!O382/Inv_SY!$Q382-1,"")</f>
        <v/>
      </c>
    </row>
    <row r="382" spans="1:21">
      <c r="A382" s="94" t="s">
        <v>210</v>
      </c>
      <c r="B382" s="60">
        <v>4</v>
      </c>
      <c r="C382" s="55">
        <v>2023</v>
      </c>
      <c r="D382" s="60" t="s">
        <v>209</v>
      </c>
      <c r="E382" s="60" t="s">
        <v>209</v>
      </c>
      <c r="F382" s="61">
        <v>45017</v>
      </c>
      <c r="G382" s="94">
        <v>30</v>
      </c>
      <c r="H382" s="96">
        <v>45032</v>
      </c>
      <c r="I382" s="146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41" t="str">
        <f>IFERROR(Inv_SY!O383/Inv_SY!$Q383-1,"")</f>
        <v/>
      </c>
    </row>
    <row r="383" spans="1:21">
      <c r="A383" s="94" t="s">
        <v>210</v>
      </c>
      <c r="B383" s="60">
        <v>4</v>
      </c>
      <c r="C383" s="55">
        <v>2023</v>
      </c>
      <c r="D383" s="60" t="s">
        <v>209</v>
      </c>
      <c r="E383" s="60" t="s">
        <v>209</v>
      </c>
      <c r="F383" s="61">
        <v>45017</v>
      </c>
      <c r="G383" s="94">
        <v>30</v>
      </c>
      <c r="H383" s="96">
        <v>45033</v>
      </c>
      <c r="I383" s="146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41" t="str">
        <f>IFERROR(Inv_SY!O384/Inv_SY!$Q384-1,"")</f>
        <v/>
      </c>
    </row>
    <row r="384" spans="1:21">
      <c r="A384" s="94" t="s">
        <v>210</v>
      </c>
      <c r="B384" s="60">
        <v>4</v>
      </c>
      <c r="C384" s="55">
        <v>2023</v>
      </c>
      <c r="D384" s="60" t="s">
        <v>209</v>
      </c>
      <c r="E384" s="60" t="s">
        <v>209</v>
      </c>
      <c r="F384" s="61">
        <v>45017</v>
      </c>
      <c r="G384" s="94">
        <v>30</v>
      </c>
      <c r="H384" s="96">
        <v>45034</v>
      </c>
      <c r="I384" s="146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41" t="str">
        <f>IFERROR(Inv_SY!O385/Inv_SY!$Q385-1,"")</f>
        <v/>
      </c>
    </row>
    <row r="385" spans="1:21">
      <c r="A385" s="94" t="s">
        <v>210</v>
      </c>
      <c r="B385" s="60">
        <v>4</v>
      </c>
      <c r="C385" s="55">
        <v>2023</v>
      </c>
      <c r="D385" s="60" t="s">
        <v>209</v>
      </c>
      <c r="E385" s="60" t="s">
        <v>209</v>
      </c>
      <c r="F385" s="61">
        <v>45017</v>
      </c>
      <c r="G385" s="94">
        <v>30</v>
      </c>
      <c r="H385" s="96">
        <v>45035</v>
      </c>
      <c r="I385" s="146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41" t="str">
        <f>IFERROR(Inv_SY!O386/Inv_SY!$Q386-1,"")</f>
        <v/>
      </c>
    </row>
    <row r="386" spans="1:21">
      <c r="A386" s="94" t="s">
        <v>210</v>
      </c>
      <c r="B386" s="60">
        <v>4</v>
      </c>
      <c r="C386" s="55">
        <v>2023</v>
      </c>
      <c r="D386" s="60" t="s">
        <v>209</v>
      </c>
      <c r="E386" s="60" t="s">
        <v>209</v>
      </c>
      <c r="F386" s="61">
        <v>45017</v>
      </c>
      <c r="G386" s="94">
        <v>30</v>
      </c>
      <c r="H386" s="96">
        <v>45036</v>
      </c>
      <c r="I386" s="146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41" t="str">
        <f>IFERROR(Inv_SY!O387/Inv_SY!$Q387-1,"")</f>
        <v/>
      </c>
    </row>
    <row r="387" spans="1:21">
      <c r="A387" s="94" t="s">
        <v>210</v>
      </c>
      <c r="B387" s="60">
        <v>4</v>
      </c>
      <c r="C387" s="55">
        <v>2023</v>
      </c>
      <c r="D387" s="60" t="s">
        <v>209</v>
      </c>
      <c r="E387" s="60" t="s">
        <v>209</v>
      </c>
      <c r="F387" s="61">
        <v>45017</v>
      </c>
      <c r="G387" s="94">
        <v>30</v>
      </c>
      <c r="H387" s="96">
        <v>45037</v>
      </c>
      <c r="I387" s="146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41" t="str">
        <f>IFERROR(Inv_SY!O388/Inv_SY!$Q388-1,"")</f>
        <v/>
      </c>
    </row>
    <row r="388" spans="1:21">
      <c r="A388" s="94" t="s">
        <v>210</v>
      </c>
      <c r="B388" s="60">
        <v>4</v>
      </c>
      <c r="C388" s="55">
        <v>2023</v>
      </c>
      <c r="D388" s="60" t="s">
        <v>209</v>
      </c>
      <c r="E388" s="60" t="s">
        <v>209</v>
      </c>
      <c r="F388" s="61">
        <v>45017</v>
      </c>
      <c r="G388" s="94">
        <v>30</v>
      </c>
      <c r="H388" s="96">
        <v>45038</v>
      </c>
      <c r="I388" s="146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41" t="str">
        <f>IFERROR(Inv_SY!O389/Inv_SY!$Q389-1,"")</f>
        <v/>
      </c>
    </row>
    <row r="389" spans="1:21">
      <c r="A389" s="94" t="s">
        <v>210</v>
      </c>
      <c r="B389" s="60">
        <v>4</v>
      </c>
      <c r="C389" s="55">
        <v>2023</v>
      </c>
      <c r="D389" s="60" t="s">
        <v>209</v>
      </c>
      <c r="E389" s="60" t="s">
        <v>209</v>
      </c>
      <c r="F389" s="61">
        <v>45017</v>
      </c>
      <c r="G389" s="94">
        <v>30</v>
      </c>
      <c r="H389" s="96">
        <v>45039</v>
      </c>
      <c r="I389" s="146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41" t="str">
        <f>IFERROR(Inv_SY!O390/Inv_SY!$Q390-1,"")</f>
        <v/>
      </c>
    </row>
    <row r="390" spans="1:21">
      <c r="A390" s="94" t="s">
        <v>210</v>
      </c>
      <c r="B390" s="60">
        <v>4</v>
      </c>
      <c r="C390" s="55">
        <v>2023</v>
      </c>
      <c r="D390" s="60" t="s">
        <v>209</v>
      </c>
      <c r="E390" s="60" t="s">
        <v>209</v>
      </c>
      <c r="F390" s="61">
        <v>45017</v>
      </c>
      <c r="G390" s="94">
        <v>30</v>
      </c>
      <c r="H390" s="96">
        <v>45040</v>
      </c>
      <c r="I390" s="146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41" t="str">
        <f>IFERROR(Inv_SY!O391/Inv_SY!$Q391-1,"")</f>
        <v/>
      </c>
    </row>
    <row r="391" spans="1:21">
      <c r="A391" s="94" t="s">
        <v>210</v>
      </c>
      <c r="B391" s="60">
        <v>4</v>
      </c>
      <c r="C391" s="55">
        <v>2023</v>
      </c>
      <c r="D391" s="60" t="s">
        <v>209</v>
      </c>
      <c r="E391" s="60" t="s">
        <v>209</v>
      </c>
      <c r="F391" s="61">
        <v>45017</v>
      </c>
      <c r="G391" s="94">
        <v>30</v>
      </c>
      <c r="H391" s="96">
        <v>45041</v>
      </c>
      <c r="I391" s="146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41" t="str">
        <f>IFERROR(Inv_SY!O392/Inv_SY!$Q392-1,"")</f>
        <v/>
      </c>
    </row>
    <row r="392" spans="1:21">
      <c r="A392" s="94" t="s">
        <v>210</v>
      </c>
      <c r="B392" s="60">
        <v>4</v>
      </c>
      <c r="C392" s="55">
        <v>2023</v>
      </c>
      <c r="D392" s="60" t="s">
        <v>209</v>
      </c>
      <c r="E392" s="60" t="s">
        <v>209</v>
      </c>
      <c r="F392" s="61">
        <v>45017</v>
      </c>
      <c r="G392" s="94">
        <v>30</v>
      </c>
      <c r="H392" s="96">
        <v>45042</v>
      </c>
      <c r="I392" s="146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41" t="str">
        <f>IFERROR(Inv_SY!O393/Inv_SY!$Q393-1,"")</f>
        <v/>
      </c>
    </row>
    <row r="393" spans="1:21">
      <c r="A393" s="94" t="s">
        <v>210</v>
      </c>
      <c r="B393" s="60">
        <v>4</v>
      </c>
      <c r="C393" s="55">
        <v>2023</v>
      </c>
      <c r="D393" s="60" t="s">
        <v>209</v>
      </c>
      <c r="E393" s="60" t="s">
        <v>209</v>
      </c>
      <c r="F393" s="61">
        <v>45017</v>
      </c>
      <c r="G393" s="94">
        <v>30</v>
      </c>
      <c r="H393" s="96">
        <v>45043</v>
      </c>
      <c r="I393" s="146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41" t="str">
        <f>IFERROR(Inv_SY!O394/Inv_SY!$Q394-1,"")</f>
        <v/>
      </c>
    </row>
    <row r="394" spans="1:21">
      <c r="A394" s="94" t="s">
        <v>210</v>
      </c>
      <c r="B394" s="60">
        <v>4</v>
      </c>
      <c r="C394" s="55">
        <v>2023</v>
      </c>
      <c r="D394" s="60" t="s">
        <v>209</v>
      </c>
      <c r="E394" s="60" t="s">
        <v>209</v>
      </c>
      <c r="F394" s="61">
        <v>45017</v>
      </c>
      <c r="G394" s="94">
        <v>30</v>
      </c>
      <c r="H394" s="96">
        <v>45044</v>
      </c>
      <c r="I394" s="146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41" t="str">
        <f>IFERROR(Inv_SY!O395/Inv_SY!$Q395-1,"")</f>
        <v/>
      </c>
    </row>
    <row r="395" spans="1:21">
      <c r="A395" s="94" t="s">
        <v>210</v>
      </c>
      <c r="B395" s="60">
        <v>4</v>
      </c>
      <c r="C395" s="55">
        <v>2023</v>
      </c>
      <c r="D395" s="60" t="s">
        <v>209</v>
      </c>
      <c r="E395" s="60" t="s">
        <v>209</v>
      </c>
      <c r="F395" s="61">
        <v>45017</v>
      </c>
      <c r="G395" s="94">
        <v>30</v>
      </c>
      <c r="H395" s="96">
        <v>45045</v>
      </c>
      <c r="I395" s="146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41" t="str">
        <f>IFERROR(Inv_SY!O396/Inv_SY!$Q396-1,"")</f>
        <v/>
      </c>
    </row>
    <row r="396" spans="1:21">
      <c r="A396" s="94" t="s">
        <v>210</v>
      </c>
      <c r="B396" s="60">
        <v>4</v>
      </c>
      <c r="C396" s="55">
        <v>2023</v>
      </c>
      <c r="D396" s="60" t="s">
        <v>209</v>
      </c>
      <c r="E396" s="60" t="s">
        <v>209</v>
      </c>
      <c r="F396" s="61">
        <v>45017</v>
      </c>
      <c r="G396" s="94">
        <v>30</v>
      </c>
      <c r="H396" s="96">
        <v>45046</v>
      </c>
      <c r="I396" s="146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41" t="str">
        <f>IFERROR(Inv_SY!O397/Inv_SY!$Q397-1,"")</f>
        <v/>
      </c>
    </row>
    <row r="397" spans="1:21">
      <c r="A397" s="94" t="s">
        <v>210</v>
      </c>
      <c r="B397" s="94">
        <v>4</v>
      </c>
      <c r="C397" s="55">
        <v>2023</v>
      </c>
      <c r="D397" s="94" t="s">
        <v>209</v>
      </c>
      <c r="E397" s="94" t="s">
        <v>209</v>
      </c>
      <c r="F397" s="95">
        <v>45047</v>
      </c>
      <c r="G397" s="94">
        <v>31</v>
      </c>
      <c r="H397" s="96">
        <v>45047</v>
      </c>
      <c r="I397" s="146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41" t="str">
        <f>IFERROR(Inv_SY!O398/Inv_SY!$Q398-1,"")</f>
        <v/>
      </c>
    </row>
    <row r="398" spans="1:21">
      <c r="A398" s="94" t="s">
        <v>210</v>
      </c>
      <c r="B398" s="94">
        <v>4</v>
      </c>
      <c r="C398" s="55">
        <v>2023</v>
      </c>
      <c r="D398" s="94" t="s">
        <v>209</v>
      </c>
      <c r="E398" s="94" t="s">
        <v>209</v>
      </c>
      <c r="F398" s="95">
        <v>45047</v>
      </c>
      <c r="G398" s="94">
        <v>31</v>
      </c>
      <c r="H398" s="96">
        <v>45048</v>
      </c>
      <c r="I398" s="146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41" t="str">
        <f>IFERROR(Inv_SY!O399/Inv_SY!$Q399-1,"")</f>
        <v/>
      </c>
    </row>
    <row r="399" spans="1:21">
      <c r="A399" s="94" t="s">
        <v>210</v>
      </c>
      <c r="B399" s="94">
        <v>4</v>
      </c>
      <c r="C399" s="55">
        <v>2023</v>
      </c>
      <c r="D399" s="94" t="s">
        <v>209</v>
      </c>
      <c r="E399" s="94" t="s">
        <v>209</v>
      </c>
      <c r="F399" s="95">
        <v>45047</v>
      </c>
      <c r="G399" s="94">
        <v>31</v>
      </c>
      <c r="H399" s="96">
        <v>45049</v>
      </c>
      <c r="I399" s="146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41" t="str">
        <f>IFERROR(Inv_SY!O400/Inv_SY!$Q400-1,"")</f>
        <v/>
      </c>
    </row>
    <row r="400" spans="1:21">
      <c r="A400" s="94" t="s">
        <v>210</v>
      </c>
      <c r="B400" s="94">
        <v>4</v>
      </c>
      <c r="C400" s="55">
        <v>2023</v>
      </c>
      <c r="D400" s="94" t="s">
        <v>209</v>
      </c>
      <c r="E400" s="94" t="s">
        <v>209</v>
      </c>
      <c r="F400" s="95">
        <v>45047</v>
      </c>
      <c r="G400" s="94">
        <v>31</v>
      </c>
      <c r="H400" s="96">
        <v>45050</v>
      </c>
      <c r="I400" s="146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41" t="str">
        <f>IFERROR(Inv_SY!O401/Inv_SY!$Q401-1,"")</f>
        <v/>
      </c>
    </row>
    <row r="401" spans="1:21">
      <c r="A401" s="94" t="s">
        <v>210</v>
      </c>
      <c r="B401" s="94">
        <v>4</v>
      </c>
      <c r="C401" s="55">
        <v>2023</v>
      </c>
      <c r="D401" s="94" t="s">
        <v>209</v>
      </c>
      <c r="E401" s="94" t="s">
        <v>209</v>
      </c>
      <c r="F401" s="95">
        <v>45047</v>
      </c>
      <c r="G401" s="94">
        <v>31</v>
      </c>
      <c r="H401" s="96">
        <v>45051</v>
      </c>
      <c r="I401" s="146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41" t="str">
        <f>IFERROR(Inv_SY!O402/Inv_SY!$Q402-1,"")</f>
        <v/>
      </c>
    </row>
    <row r="402" spans="1:21">
      <c r="A402" s="94" t="s">
        <v>210</v>
      </c>
      <c r="B402" s="94">
        <v>4</v>
      </c>
      <c r="C402" s="55">
        <v>2023</v>
      </c>
      <c r="D402" s="94" t="s">
        <v>209</v>
      </c>
      <c r="E402" s="94" t="s">
        <v>209</v>
      </c>
      <c r="F402" s="95">
        <v>45047</v>
      </c>
      <c r="G402" s="94">
        <v>31</v>
      </c>
      <c r="H402" s="96">
        <v>45052</v>
      </c>
      <c r="I402" s="146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41" t="str">
        <f>IFERROR(Inv_SY!O403/Inv_SY!$Q403-1,"")</f>
        <v/>
      </c>
    </row>
    <row r="403" spans="1:21">
      <c r="A403" s="94" t="s">
        <v>210</v>
      </c>
      <c r="B403" s="94">
        <v>4</v>
      </c>
      <c r="C403" s="55">
        <v>2023</v>
      </c>
      <c r="D403" s="94" t="s">
        <v>209</v>
      </c>
      <c r="E403" s="94" t="s">
        <v>209</v>
      </c>
      <c r="F403" s="95">
        <v>45047</v>
      </c>
      <c r="G403" s="94">
        <v>31</v>
      </c>
      <c r="H403" s="96">
        <v>45053</v>
      </c>
      <c r="I403" s="146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41" t="str">
        <f>IFERROR(Inv_SY!O404/Inv_SY!$Q404-1,"")</f>
        <v/>
      </c>
    </row>
    <row r="404" spans="1:21">
      <c r="A404" s="94" t="s">
        <v>210</v>
      </c>
      <c r="B404" s="94">
        <v>4</v>
      </c>
      <c r="C404" s="55">
        <v>2023</v>
      </c>
      <c r="D404" s="94" t="s">
        <v>209</v>
      </c>
      <c r="E404" s="94" t="s">
        <v>209</v>
      </c>
      <c r="F404" s="95">
        <v>45047</v>
      </c>
      <c r="G404" s="94">
        <v>31</v>
      </c>
      <c r="H404" s="96">
        <v>45054</v>
      </c>
      <c r="I404" s="146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41" t="str">
        <f>IFERROR(Inv_SY!O405/Inv_SY!$Q405-1,"")</f>
        <v/>
      </c>
    </row>
    <row r="405" spans="1:21">
      <c r="A405" s="94" t="s">
        <v>210</v>
      </c>
      <c r="B405" s="94">
        <v>4</v>
      </c>
      <c r="C405" s="55">
        <v>2023</v>
      </c>
      <c r="D405" s="94" t="s">
        <v>209</v>
      </c>
      <c r="E405" s="94" t="s">
        <v>209</v>
      </c>
      <c r="F405" s="95">
        <v>45047</v>
      </c>
      <c r="G405" s="94">
        <v>31</v>
      </c>
      <c r="H405" s="96">
        <v>45055</v>
      </c>
      <c r="I405" s="146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41" t="str">
        <f>IFERROR(Inv_SY!O406/Inv_SY!$Q406-1,"")</f>
        <v/>
      </c>
    </row>
    <row r="406" spans="1:21">
      <c r="A406" s="94" t="s">
        <v>210</v>
      </c>
      <c r="B406" s="94">
        <v>4</v>
      </c>
      <c r="C406" s="55">
        <v>2023</v>
      </c>
      <c r="D406" s="94" t="s">
        <v>209</v>
      </c>
      <c r="E406" s="94" t="s">
        <v>209</v>
      </c>
      <c r="F406" s="95">
        <v>45047</v>
      </c>
      <c r="G406" s="94">
        <v>31</v>
      </c>
      <c r="H406" s="96">
        <v>45056</v>
      </c>
      <c r="I406" s="146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41" t="str">
        <f>IFERROR(Inv_SY!O407/Inv_SY!$Q407-1,"")</f>
        <v/>
      </c>
    </row>
    <row r="407" spans="1:21">
      <c r="A407" s="94" t="s">
        <v>210</v>
      </c>
      <c r="B407" s="94">
        <v>4</v>
      </c>
      <c r="C407" s="55">
        <v>2023</v>
      </c>
      <c r="D407" s="94" t="s">
        <v>209</v>
      </c>
      <c r="E407" s="94" t="s">
        <v>209</v>
      </c>
      <c r="F407" s="95">
        <v>45047</v>
      </c>
      <c r="G407" s="94">
        <v>31</v>
      </c>
      <c r="H407" s="96">
        <v>45057</v>
      </c>
      <c r="I407" s="146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41" t="str">
        <f>IFERROR(Inv_SY!O408/Inv_SY!$Q408-1,"")</f>
        <v/>
      </c>
    </row>
    <row r="408" spans="1:21">
      <c r="A408" s="94" t="s">
        <v>210</v>
      </c>
      <c r="B408" s="94">
        <v>4</v>
      </c>
      <c r="C408" s="55">
        <v>2023</v>
      </c>
      <c r="D408" s="94" t="s">
        <v>209</v>
      </c>
      <c r="E408" s="94" t="s">
        <v>209</v>
      </c>
      <c r="F408" s="95">
        <v>45047</v>
      </c>
      <c r="G408" s="94">
        <v>31</v>
      </c>
      <c r="H408" s="96">
        <v>45058</v>
      </c>
      <c r="I408" s="146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41" t="str">
        <f>IFERROR(Inv_SY!O409/Inv_SY!$Q409-1,"")</f>
        <v/>
      </c>
    </row>
    <row r="409" spans="1:21">
      <c r="A409" s="94" t="s">
        <v>210</v>
      </c>
      <c r="B409" s="94">
        <v>4</v>
      </c>
      <c r="C409" s="55">
        <v>2023</v>
      </c>
      <c r="D409" s="94" t="s">
        <v>209</v>
      </c>
      <c r="E409" s="94" t="s">
        <v>209</v>
      </c>
      <c r="F409" s="95">
        <v>45047</v>
      </c>
      <c r="G409" s="94">
        <v>31</v>
      </c>
      <c r="H409" s="96">
        <v>45059</v>
      </c>
      <c r="I409" s="146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41" t="str">
        <f>IFERROR(Inv_SY!O410/Inv_SY!$Q410-1,"")</f>
        <v/>
      </c>
    </row>
    <row r="410" spans="1:21">
      <c r="A410" s="94" t="s">
        <v>210</v>
      </c>
      <c r="B410" s="94">
        <v>4</v>
      </c>
      <c r="C410" s="55">
        <v>2023</v>
      </c>
      <c r="D410" s="94" t="s">
        <v>209</v>
      </c>
      <c r="E410" s="94" t="s">
        <v>209</v>
      </c>
      <c r="F410" s="95">
        <v>45047</v>
      </c>
      <c r="G410" s="94">
        <v>31</v>
      </c>
      <c r="H410" s="96">
        <v>45060</v>
      </c>
      <c r="I410" s="146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41" t="str">
        <f>IFERROR(Inv_SY!O411/Inv_SY!$Q411-1,"")</f>
        <v/>
      </c>
    </row>
    <row r="411" spans="1:21">
      <c r="A411" s="94" t="s">
        <v>210</v>
      </c>
      <c r="B411" s="94">
        <v>4</v>
      </c>
      <c r="C411" s="55">
        <v>2023</v>
      </c>
      <c r="D411" s="94" t="s">
        <v>209</v>
      </c>
      <c r="E411" s="94" t="s">
        <v>209</v>
      </c>
      <c r="F411" s="95">
        <v>45047</v>
      </c>
      <c r="G411" s="94">
        <v>31</v>
      </c>
      <c r="H411" s="96">
        <v>45061</v>
      </c>
      <c r="I411" s="146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41" t="str">
        <f>IFERROR(Inv_SY!O412/Inv_SY!$Q412-1,"")</f>
        <v/>
      </c>
    </row>
    <row r="412" spans="1:21">
      <c r="A412" s="94" t="s">
        <v>210</v>
      </c>
      <c r="B412" s="94">
        <v>4</v>
      </c>
      <c r="C412" s="55">
        <v>2023</v>
      </c>
      <c r="D412" s="94" t="s">
        <v>209</v>
      </c>
      <c r="E412" s="94" t="s">
        <v>209</v>
      </c>
      <c r="F412" s="95">
        <v>45047</v>
      </c>
      <c r="G412" s="94">
        <v>31</v>
      </c>
      <c r="H412" s="96">
        <v>45062</v>
      </c>
      <c r="I412" s="146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41" t="str">
        <f>IFERROR(Inv_SY!O413/Inv_SY!$Q413-1,"")</f>
        <v/>
      </c>
    </row>
    <row r="413" spans="1:21">
      <c r="A413" s="94" t="s">
        <v>210</v>
      </c>
      <c r="B413" s="94">
        <v>4</v>
      </c>
      <c r="C413" s="55">
        <v>2023</v>
      </c>
      <c r="D413" s="94" t="s">
        <v>209</v>
      </c>
      <c r="E413" s="94" t="s">
        <v>209</v>
      </c>
      <c r="F413" s="95">
        <v>45047</v>
      </c>
      <c r="G413" s="94">
        <v>31</v>
      </c>
      <c r="H413" s="96">
        <v>45063</v>
      </c>
      <c r="I413" s="146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41" t="str">
        <f>IFERROR(Inv_SY!O414/Inv_SY!$Q414-1,"")</f>
        <v/>
      </c>
    </row>
    <row r="414" spans="1:21">
      <c r="A414" s="94" t="s">
        <v>210</v>
      </c>
      <c r="B414" s="94">
        <v>4</v>
      </c>
      <c r="C414" s="55">
        <v>2023</v>
      </c>
      <c r="D414" s="94" t="s">
        <v>209</v>
      </c>
      <c r="E414" s="94" t="s">
        <v>209</v>
      </c>
      <c r="F414" s="95">
        <v>45047</v>
      </c>
      <c r="G414" s="94">
        <v>31</v>
      </c>
      <c r="H414" s="96">
        <v>45064</v>
      </c>
      <c r="I414" s="146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41" t="str">
        <f>IFERROR(Inv_SY!O415/Inv_SY!$Q415-1,"")</f>
        <v/>
      </c>
    </row>
    <row r="415" spans="1:21">
      <c r="A415" s="94" t="s">
        <v>210</v>
      </c>
      <c r="B415" s="94">
        <v>4</v>
      </c>
      <c r="C415" s="55">
        <v>2023</v>
      </c>
      <c r="D415" s="94" t="s">
        <v>209</v>
      </c>
      <c r="E415" s="94" t="s">
        <v>209</v>
      </c>
      <c r="F415" s="95">
        <v>45047</v>
      </c>
      <c r="G415" s="94">
        <v>31</v>
      </c>
      <c r="H415" s="96">
        <v>45065</v>
      </c>
      <c r="I415" s="146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41" t="str">
        <f>IFERROR(Inv_SY!O416/Inv_SY!$Q416-1,"")</f>
        <v/>
      </c>
    </row>
    <row r="416" spans="1:21">
      <c r="A416" s="94" t="s">
        <v>210</v>
      </c>
      <c r="B416" s="94">
        <v>4</v>
      </c>
      <c r="C416" s="55">
        <v>2023</v>
      </c>
      <c r="D416" s="94" t="s">
        <v>209</v>
      </c>
      <c r="E416" s="94" t="s">
        <v>209</v>
      </c>
      <c r="F416" s="95">
        <v>45047</v>
      </c>
      <c r="G416" s="94">
        <v>31</v>
      </c>
      <c r="H416" s="96">
        <v>45066</v>
      </c>
      <c r="I416" s="146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41" t="str">
        <f>IFERROR(Inv_SY!O417/Inv_SY!$Q417-1,"")</f>
        <v/>
      </c>
    </row>
    <row r="417" spans="1:21">
      <c r="A417" s="94" t="s">
        <v>210</v>
      </c>
      <c r="B417" s="94">
        <v>4</v>
      </c>
      <c r="C417" s="55">
        <v>2023</v>
      </c>
      <c r="D417" s="94" t="s">
        <v>209</v>
      </c>
      <c r="E417" s="94" t="s">
        <v>209</v>
      </c>
      <c r="F417" s="95">
        <v>45047</v>
      </c>
      <c r="G417" s="94">
        <v>31</v>
      </c>
      <c r="H417" s="96">
        <v>45067</v>
      </c>
      <c r="I417" s="146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41" t="str">
        <f>IFERROR(Inv_SY!O418/Inv_SY!$Q418-1,"")</f>
        <v/>
      </c>
    </row>
    <row r="418" spans="1:21">
      <c r="A418" s="94" t="s">
        <v>210</v>
      </c>
      <c r="B418" s="94">
        <v>4</v>
      </c>
      <c r="C418" s="55">
        <v>2023</v>
      </c>
      <c r="D418" s="94" t="s">
        <v>209</v>
      </c>
      <c r="E418" s="94" t="s">
        <v>209</v>
      </c>
      <c r="F418" s="95">
        <v>45047</v>
      </c>
      <c r="G418" s="94">
        <v>31</v>
      </c>
      <c r="H418" s="96">
        <v>45068</v>
      </c>
      <c r="I418" s="146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41" t="str">
        <f>IFERROR(Inv_SY!O419/Inv_SY!$Q419-1,"")</f>
        <v/>
      </c>
    </row>
    <row r="419" spans="1:21">
      <c r="A419" s="94" t="s">
        <v>210</v>
      </c>
      <c r="B419" s="94">
        <v>4</v>
      </c>
      <c r="C419" s="55">
        <v>2023</v>
      </c>
      <c r="D419" s="94" t="s">
        <v>209</v>
      </c>
      <c r="E419" s="94" t="s">
        <v>209</v>
      </c>
      <c r="F419" s="95">
        <v>45047</v>
      </c>
      <c r="G419" s="94">
        <v>31</v>
      </c>
      <c r="H419" s="96">
        <v>45069</v>
      </c>
      <c r="I419" s="146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41" t="str">
        <f>IFERROR(Inv_SY!O420/Inv_SY!$Q420-1,"")</f>
        <v/>
      </c>
    </row>
    <row r="420" spans="1:21">
      <c r="A420" s="94" t="s">
        <v>210</v>
      </c>
      <c r="B420" s="94">
        <v>4</v>
      </c>
      <c r="C420" s="55">
        <v>2023</v>
      </c>
      <c r="D420" s="94" t="s">
        <v>209</v>
      </c>
      <c r="E420" s="94" t="s">
        <v>209</v>
      </c>
      <c r="F420" s="95">
        <v>45047</v>
      </c>
      <c r="G420" s="94">
        <v>31</v>
      </c>
      <c r="H420" s="96">
        <v>45070</v>
      </c>
      <c r="I420" s="146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41" t="str">
        <f>IFERROR(Inv_SY!O421/Inv_SY!$Q421-1,"")</f>
        <v/>
      </c>
    </row>
    <row r="421" spans="1:21">
      <c r="A421" s="94" t="s">
        <v>210</v>
      </c>
      <c r="B421" s="94">
        <v>4</v>
      </c>
      <c r="C421" s="55">
        <v>2023</v>
      </c>
      <c r="D421" s="94" t="s">
        <v>209</v>
      </c>
      <c r="E421" s="94" t="s">
        <v>209</v>
      </c>
      <c r="F421" s="95">
        <v>45047</v>
      </c>
      <c r="G421" s="94">
        <v>31</v>
      </c>
      <c r="H421" s="96">
        <v>45071</v>
      </c>
      <c r="I421" s="146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41" t="str">
        <f>IFERROR(Inv_SY!O422/Inv_SY!$Q422-1,"")</f>
        <v/>
      </c>
    </row>
    <row r="422" spans="1:21">
      <c r="A422" s="94" t="s">
        <v>210</v>
      </c>
      <c r="B422" s="94">
        <v>4</v>
      </c>
      <c r="C422" s="55">
        <v>2023</v>
      </c>
      <c r="D422" s="94" t="s">
        <v>209</v>
      </c>
      <c r="E422" s="94" t="s">
        <v>209</v>
      </c>
      <c r="F422" s="95">
        <v>45047</v>
      </c>
      <c r="G422" s="94">
        <v>31</v>
      </c>
      <c r="H422" s="96">
        <v>45072</v>
      </c>
      <c r="I422" s="146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41" t="str">
        <f>IFERROR(Inv_SY!O423/Inv_SY!$Q423-1,"")</f>
        <v/>
      </c>
    </row>
    <row r="423" spans="1:21">
      <c r="A423" s="94" t="s">
        <v>210</v>
      </c>
      <c r="B423" s="94">
        <v>4</v>
      </c>
      <c r="C423" s="55">
        <v>2023</v>
      </c>
      <c r="D423" s="94" t="s">
        <v>209</v>
      </c>
      <c r="E423" s="94" t="s">
        <v>209</v>
      </c>
      <c r="F423" s="95">
        <v>45047</v>
      </c>
      <c r="G423" s="94">
        <v>31</v>
      </c>
      <c r="H423" s="96">
        <v>45073</v>
      </c>
      <c r="I423" s="146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41" t="str">
        <f>IFERROR(Inv_SY!O424/Inv_SY!$Q424-1,"")</f>
        <v/>
      </c>
    </row>
    <row r="424" spans="1:21">
      <c r="A424" s="94" t="s">
        <v>210</v>
      </c>
      <c r="B424" s="94">
        <v>4</v>
      </c>
      <c r="C424" s="55">
        <v>2023</v>
      </c>
      <c r="D424" s="94" t="s">
        <v>209</v>
      </c>
      <c r="E424" s="94" t="s">
        <v>209</v>
      </c>
      <c r="F424" s="95">
        <v>45047</v>
      </c>
      <c r="G424" s="94">
        <v>31</v>
      </c>
      <c r="H424" s="96">
        <v>45074</v>
      </c>
      <c r="I424" s="146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41" t="str">
        <f>IFERROR(Inv_SY!O425/Inv_SY!$Q425-1,"")</f>
        <v/>
      </c>
    </row>
    <row r="425" spans="1:21">
      <c r="A425" s="94" t="s">
        <v>210</v>
      </c>
      <c r="B425" s="94">
        <v>4</v>
      </c>
      <c r="C425" s="55">
        <v>2023</v>
      </c>
      <c r="D425" s="94" t="s">
        <v>209</v>
      </c>
      <c r="E425" s="94" t="s">
        <v>209</v>
      </c>
      <c r="F425" s="95">
        <v>45047</v>
      </c>
      <c r="G425" s="94">
        <v>31</v>
      </c>
      <c r="H425" s="96">
        <v>45075</v>
      </c>
      <c r="I425" s="146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41" t="str">
        <f>IFERROR(Inv_SY!O426/Inv_SY!$Q426-1,"")</f>
        <v/>
      </c>
    </row>
    <row r="426" spans="1:21">
      <c r="A426" s="94" t="s">
        <v>210</v>
      </c>
      <c r="B426" s="94">
        <v>4</v>
      </c>
      <c r="C426" s="55">
        <v>2023</v>
      </c>
      <c r="D426" s="94" t="s">
        <v>209</v>
      </c>
      <c r="E426" s="94" t="s">
        <v>209</v>
      </c>
      <c r="F426" s="95">
        <v>45047</v>
      </c>
      <c r="G426" s="94">
        <v>31</v>
      </c>
      <c r="H426" s="96">
        <v>45076</v>
      </c>
      <c r="I426" s="146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41" t="str">
        <f>IFERROR(Inv_SY!O427/Inv_SY!$Q427-1,"")</f>
        <v/>
      </c>
    </row>
    <row r="427" spans="1:21">
      <c r="A427" s="94" t="s">
        <v>210</v>
      </c>
      <c r="B427" s="94">
        <v>4</v>
      </c>
      <c r="C427" s="55">
        <v>2023</v>
      </c>
      <c r="D427" s="94" t="s">
        <v>209</v>
      </c>
      <c r="E427" s="94" t="s">
        <v>209</v>
      </c>
      <c r="F427" s="95">
        <v>45047</v>
      </c>
      <c r="G427" s="94">
        <v>31</v>
      </c>
      <c r="H427" s="96">
        <v>45077</v>
      </c>
      <c r="I427" s="146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41" t="str">
        <f>IFERROR(Inv_SY!O428/Inv_SY!$Q428-1,"")</f>
        <v/>
      </c>
    </row>
    <row r="428" spans="1:21">
      <c r="A428" s="94" t="s">
        <v>210</v>
      </c>
      <c r="B428" s="94">
        <v>4</v>
      </c>
      <c r="C428" s="55">
        <v>2023</v>
      </c>
      <c r="D428" s="94" t="s">
        <v>209</v>
      </c>
      <c r="E428" s="94" t="s">
        <v>209</v>
      </c>
      <c r="F428" s="95">
        <v>45078</v>
      </c>
      <c r="G428" s="94">
        <v>30</v>
      </c>
      <c r="H428" s="96">
        <v>45078</v>
      </c>
      <c r="I428" s="146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41" t="str">
        <f>IFERROR(Inv_SY!O429/Inv_SY!$Q429-1,"")</f>
        <v/>
      </c>
    </row>
    <row r="429" spans="1:21">
      <c r="A429" s="94" t="s">
        <v>210</v>
      </c>
      <c r="B429" s="94">
        <v>4</v>
      </c>
      <c r="C429" s="55">
        <v>2023</v>
      </c>
      <c r="D429" s="94" t="s">
        <v>209</v>
      </c>
      <c r="E429" s="94" t="s">
        <v>209</v>
      </c>
      <c r="F429" s="95">
        <v>45078</v>
      </c>
      <c r="G429" s="94">
        <v>30</v>
      </c>
      <c r="H429" s="96">
        <v>45079</v>
      </c>
      <c r="I429" s="146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41" t="str">
        <f>IFERROR(Inv_SY!O430/Inv_SY!$Q430-1,"")</f>
        <v/>
      </c>
    </row>
    <row r="430" spans="1:21">
      <c r="A430" s="94" t="s">
        <v>210</v>
      </c>
      <c r="B430" s="94">
        <v>4</v>
      </c>
      <c r="C430" s="55">
        <v>2023</v>
      </c>
      <c r="D430" s="94" t="s">
        <v>209</v>
      </c>
      <c r="E430" s="94" t="s">
        <v>209</v>
      </c>
      <c r="F430" s="95">
        <v>45078</v>
      </c>
      <c r="G430" s="94">
        <v>30</v>
      </c>
      <c r="H430" s="96">
        <v>45080</v>
      </c>
      <c r="I430" s="146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41" t="str">
        <f>IFERROR(Inv_SY!O431/Inv_SY!$Q431-1,"")</f>
        <v/>
      </c>
    </row>
    <row r="431" spans="1:21">
      <c r="A431" s="94" t="s">
        <v>210</v>
      </c>
      <c r="B431" s="94">
        <v>4</v>
      </c>
      <c r="C431" s="55">
        <v>2023</v>
      </c>
      <c r="D431" s="94" t="s">
        <v>209</v>
      </c>
      <c r="E431" s="94" t="s">
        <v>209</v>
      </c>
      <c r="F431" s="95">
        <v>45078</v>
      </c>
      <c r="G431" s="94">
        <v>30</v>
      </c>
      <c r="H431" s="96">
        <v>45081</v>
      </c>
      <c r="I431" s="146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41" t="str">
        <f>IFERROR(Inv_SY!O432/Inv_SY!$Q432-1,"")</f>
        <v/>
      </c>
    </row>
    <row r="432" spans="1:21">
      <c r="A432" s="94" t="s">
        <v>210</v>
      </c>
      <c r="B432" s="94">
        <v>4</v>
      </c>
      <c r="C432" s="55">
        <v>2023</v>
      </c>
      <c r="D432" s="94" t="s">
        <v>209</v>
      </c>
      <c r="E432" s="94" t="s">
        <v>209</v>
      </c>
      <c r="F432" s="95">
        <v>45078</v>
      </c>
      <c r="G432" s="94">
        <v>30</v>
      </c>
      <c r="H432" s="96">
        <v>45082</v>
      </c>
      <c r="I432" s="146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41" t="str">
        <f>IFERROR(Inv_SY!O433/Inv_SY!$Q433-1,"")</f>
        <v/>
      </c>
    </row>
    <row r="433" spans="1:21">
      <c r="A433" s="94" t="s">
        <v>210</v>
      </c>
      <c r="B433" s="91">
        <v>4</v>
      </c>
      <c r="C433" s="55">
        <v>2023</v>
      </c>
      <c r="D433" s="91" t="s">
        <v>209</v>
      </c>
      <c r="E433" s="91" t="s">
        <v>209</v>
      </c>
      <c r="F433" s="92">
        <v>45078</v>
      </c>
      <c r="G433" s="91">
        <v>30</v>
      </c>
      <c r="H433" s="96">
        <v>45083</v>
      </c>
      <c r="I433" s="145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41" t="str">
        <f>IFERROR(Inv_SY!O434/Inv_SY!$Q434-1,"")</f>
        <v/>
      </c>
    </row>
    <row r="434" spans="1:21">
      <c r="A434" s="94" t="s">
        <v>210</v>
      </c>
      <c r="B434" s="91">
        <v>4</v>
      </c>
      <c r="C434" s="55">
        <v>2023</v>
      </c>
      <c r="D434" s="91" t="s">
        <v>209</v>
      </c>
      <c r="E434" s="91" t="s">
        <v>209</v>
      </c>
      <c r="F434" s="92">
        <v>45078</v>
      </c>
      <c r="G434" s="91">
        <v>30</v>
      </c>
      <c r="H434" s="96">
        <v>45084</v>
      </c>
      <c r="I434" s="145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41" t="str">
        <f>IFERROR(Inv_SY!O435/Inv_SY!$Q435-1,"")</f>
        <v/>
      </c>
    </row>
    <row r="435" spans="1:21">
      <c r="A435" s="94" t="s">
        <v>210</v>
      </c>
      <c r="B435" s="91">
        <v>4</v>
      </c>
      <c r="C435" s="55">
        <v>2023</v>
      </c>
      <c r="D435" s="91" t="s">
        <v>209</v>
      </c>
      <c r="E435" s="91" t="s">
        <v>209</v>
      </c>
      <c r="F435" s="92">
        <v>45078</v>
      </c>
      <c r="G435" s="91">
        <v>30</v>
      </c>
      <c r="H435" s="96">
        <v>45085</v>
      </c>
      <c r="I435" s="145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41" t="str">
        <f>IFERROR(Inv_SY!O436/Inv_SY!$Q436-1,"")</f>
        <v/>
      </c>
    </row>
    <row r="436" spans="1:21">
      <c r="A436" s="94" t="s">
        <v>210</v>
      </c>
      <c r="B436" s="91">
        <v>4</v>
      </c>
      <c r="C436" s="55">
        <v>2023</v>
      </c>
      <c r="D436" s="91" t="s">
        <v>209</v>
      </c>
      <c r="E436" s="91" t="s">
        <v>209</v>
      </c>
      <c r="F436" s="92">
        <v>45078</v>
      </c>
      <c r="G436" s="91">
        <v>30</v>
      </c>
      <c r="H436" s="96">
        <v>45086</v>
      </c>
      <c r="I436" s="145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41" t="str">
        <f>IFERROR(Inv_SY!O437/Inv_SY!$Q437-1,"")</f>
        <v/>
      </c>
    </row>
    <row r="437" spans="1:21">
      <c r="A437" s="94" t="s">
        <v>210</v>
      </c>
      <c r="B437" s="91">
        <v>4</v>
      </c>
      <c r="C437" s="55">
        <v>2023</v>
      </c>
      <c r="D437" s="91" t="s">
        <v>209</v>
      </c>
      <c r="E437" s="91" t="s">
        <v>209</v>
      </c>
      <c r="F437" s="92">
        <v>45078</v>
      </c>
      <c r="G437" s="91">
        <v>30</v>
      </c>
      <c r="H437" s="96">
        <v>45087</v>
      </c>
      <c r="I437" s="145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41" t="str">
        <f>IFERROR(Inv_SY!O438/Inv_SY!$Q438-1,"")</f>
        <v/>
      </c>
    </row>
    <row r="438" spans="1:21">
      <c r="A438" s="94" t="s">
        <v>210</v>
      </c>
      <c r="B438" s="91">
        <v>4</v>
      </c>
      <c r="C438" s="55">
        <v>2023</v>
      </c>
      <c r="D438" s="91" t="s">
        <v>209</v>
      </c>
      <c r="E438" s="91" t="s">
        <v>209</v>
      </c>
      <c r="F438" s="92">
        <v>45078</v>
      </c>
      <c r="G438" s="91">
        <v>30</v>
      </c>
      <c r="H438" s="96">
        <v>45088</v>
      </c>
      <c r="I438" s="145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41" t="str">
        <f>IFERROR(Inv_SY!O439/Inv_SY!$Q439-1,"")</f>
        <v/>
      </c>
    </row>
    <row r="439" spans="1:21">
      <c r="A439" s="94" t="s">
        <v>210</v>
      </c>
      <c r="B439" s="91">
        <v>4</v>
      </c>
      <c r="C439" s="55">
        <v>2023</v>
      </c>
      <c r="D439" s="91" t="s">
        <v>209</v>
      </c>
      <c r="E439" s="91" t="s">
        <v>209</v>
      </c>
      <c r="F439" s="92">
        <v>45078</v>
      </c>
      <c r="G439" s="91">
        <v>30</v>
      </c>
      <c r="H439" s="96">
        <v>45089</v>
      </c>
      <c r="I439" s="145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41" t="str">
        <f>IFERROR(Inv_SY!O440/Inv_SY!$Q440-1,"")</f>
        <v/>
      </c>
    </row>
    <row r="440" spans="1:21">
      <c r="A440" s="94" t="s">
        <v>210</v>
      </c>
      <c r="B440" s="91">
        <v>4</v>
      </c>
      <c r="C440" s="55">
        <v>2023</v>
      </c>
      <c r="D440" s="91" t="s">
        <v>209</v>
      </c>
      <c r="E440" s="91" t="s">
        <v>209</v>
      </c>
      <c r="F440" s="92">
        <v>45078</v>
      </c>
      <c r="G440" s="91">
        <v>30</v>
      </c>
      <c r="H440" s="96">
        <v>45090</v>
      </c>
      <c r="I440" s="145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41" t="str">
        <f>IFERROR(Inv_SY!O441/Inv_SY!$Q441-1,"")</f>
        <v/>
      </c>
    </row>
    <row r="441" spans="1:21">
      <c r="A441" s="94" t="s">
        <v>210</v>
      </c>
      <c r="B441" s="91">
        <v>4</v>
      </c>
      <c r="C441" s="55">
        <v>2023</v>
      </c>
      <c r="D441" s="91" t="s">
        <v>209</v>
      </c>
      <c r="E441" s="91" t="s">
        <v>209</v>
      </c>
      <c r="F441" s="92">
        <v>45078</v>
      </c>
      <c r="G441" s="91">
        <v>30</v>
      </c>
      <c r="H441" s="96">
        <v>45091</v>
      </c>
      <c r="I441" s="145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41" t="str">
        <f>IFERROR(Inv_SY!O442/Inv_SY!$Q442-1,"")</f>
        <v/>
      </c>
    </row>
    <row r="442" spans="1:21">
      <c r="A442" s="94" t="s">
        <v>210</v>
      </c>
      <c r="B442" s="91">
        <v>4</v>
      </c>
      <c r="C442" s="55">
        <v>2023</v>
      </c>
      <c r="D442" s="91" t="s">
        <v>209</v>
      </c>
      <c r="E442" s="91" t="s">
        <v>209</v>
      </c>
      <c r="F442" s="92">
        <v>45078</v>
      </c>
      <c r="G442" s="91">
        <v>30</v>
      </c>
      <c r="H442" s="96">
        <v>45092</v>
      </c>
      <c r="I442" s="145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41" t="str">
        <f>IFERROR(Inv_SY!O443/Inv_SY!$Q443-1,"")</f>
        <v/>
      </c>
    </row>
    <row r="443" spans="1:21">
      <c r="A443" s="94" t="s">
        <v>210</v>
      </c>
      <c r="B443" s="91">
        <v>4</v>
      </c>
      <c r="C443" s="55">
        <v>2023</v>
      </c>
      <c r="D443" s="91" t="s">
        <v>209</v>
      </c>
      <c r="E443" s="91" t="s">
        <v>209</v>
      </c>
      <c r="F443" s="92">
        <v>45078</v>
      </c>
      <c r="G443" s="91">
        <v>30</v>
      </c>
      <c r="H443" s="96">
        <v>45093</v>
      </c>
      <c r="I443" s="145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41" t="str">
        <f>IFERROR(Inv_SY!O444/Inv_SY!$Q444-1,"")</f>
        <v/>
      </c>
    </row>
    <row r="444" spans="1:21">
      <c r="A444" s="94" t="s">
        <v>210</v>
      </c>
      <c r="B444" s="91">
        <v>4</v>
      </c>
      <c r="C444" s="55">
        <v>2023</v>
      </c>
      <c r="D444" s="91" t="s">
        <v>209</v>
      </c>
      <c r="E444" s="91" t="s">
        <v>209</v>
      </c>
      <c r="F444" s="92">
        <v>45078</v>
      </c>
      <c r="G444" s="91">
        <v>30</v>
      </c>
      <c r="H444" s="96">
        <v>45094</v>
      </c>
      <c r="I444" s="145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41" t="str">
        <f>IFERROR(Inv_SY!O445/Inv_SY!$Q445-1,"")</f>
        <v/>
      </c>
    </row>
    <row r="445" spans="1:21">
      <c r="A445" s="94" t="s">
        <v>210</v>
      </c>
      <c r="B445" s="91">
        <v>4</v>
      </c>
      <c r="C445" s="55">
        <v>2023</v>
      </c>
      <c r="D445" s="91" t="s">
        <v>209</v>
      </c>
      <c r="E445" s="91" t="s">
        <v>209</v>
      </c>
      <c r="F445" s="92">
        <v>45078</v>
      </c>
      <c r="G445" s="91">
        <v>30</v>
      </c>
      <c r="H445" s="96">
        <v>45095</v>
      </c>
      <c r="I445" s="145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41" t="str">
        <f>IFERROR(Inv_SY!O446/Inv_SY!$Q446-1,"")</f>
        <v/>
      </c>
    </row>
    <row r="446" spans="1:21">
      <c r="A446" s="94" t="s">
        <v>210</v>
      </c>
      <c r="B446" s="91">
        <v>4</v>
      </c>
      <c r="C446" s="55">
        <v>2023</v>
      </c>
      <c r="D446" s="91" t="s">
        <v>209</v>
      </c>
      <c r="E446" s="91" t="s">
        <v>209</v>
      </c>
      <c r="F446" s="92">
        <v>45078</v>
      </c>
      <c r="G446" s="91">
        <v>30</v>
      </c>
      <c r="H446" s="96">
        <v>45096</v>
      </c>
      <c r="I446" s="145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41" t="str">
        <f>IFERROR(Inv_SY!O447/Inv_SY!$Q447-1,"")</f>
        <v/>
      </c>
    </row>
    <row r="447" spans="1:21">
      <c r="A447" s="94" t="s">
        <v>210</v>
      </c>
      <c r="B447" s="91">
        <v>4</v>
      </c>
      <c r="C447" s="55">
        <v>2023</v>
      </c>
      <c r="D447" s="91" t="s">
        <v>209</v>
      </c>
      <c r="E447" s="91" t="s">
        <v>209</v>
      </c>
      <c r="F447" s="92">
        <v>45078</v>
      </c>
      <c r="G447" s="91">
        <v>30</v>
      </c>
      <c r="H447" s="96">
        <v>45097</v>
      </c>
      <c r="I447" s="145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41" t="str">
        <f>IFERROR(Inv_SY!O448/Inv_SY!$Q448-1,"")</f>
        <v/>
      </c>
    </row>
    <row r="448" spans="1:21">
      <c r="A448" s="94" t="s">
        <v>210</v>
      </c>
      <c r="B448" s="91">
        <v>4</v>
      </c>
      <c r="C448" s="55">
        <v>2023</v>
      </c>
      <c r="D448" s="91" t="s">
        <v>209</v>
      </c>
      <c r="E448" s="91" t="s">
        <v>209</v>
      </c>
      <c r="F448" s="92">
        <v>45078</v>
      </c>
      <c r="G448" s="91">
        <v>30</v>
      </c>
      <c r="H448" s="96">
        <v>45098</v>
      </c>
      <c r="I448" s="145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41" t="str">
        <f>IFERROR(Inv_SY!O449/Inv_SY!$Q449-1,"")</f>
        <v/>
      </c>
    </row>
    <row r="449" spans="1:21">
      <c r="A449" s="94" t="s">
        <v>210</v>
      </c>
      <c r="B449" s="91">
        <v>4</v>
      </c>
      <c r="C449" s="55">
        <v>2023</v>
      </c>
      <c r="D449" s="91" t="s">
        <v>209</v>
      </c>
      <c r="E449" s="91" t="s">
        <v>209</v>
      </c>
      <c r="F449" s="92">
        <v>45078</v>
      </c>
      <c r="G449" s="91">
        <v>30</v>
      </c>
      <c r="H449" s="96">
        <v>45099</v>
      </c>
      <c r="I449" s="145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41" t="str">
        <f>IFERROR(Inv_SY!O450/Inv_SY!$Q450-1,"")</f>
        <v/>
      </c>
    </row>
    <row r="450" spans="1:21">
      <c r="A450" s="94" t="s">
        <v>210</v>
      </c>
      <c r="B450" s="91">
        <v>4</v>
      </c>
      <c r="C450" s="55">
        <v>2023</v>
      </c>
      <c r="D450" s="91" t="s">
        <v>209</v>
      </c>
      <c r="E450" s="91" t="s">
        <v>209</v>
      </c>
      <c r="F450" s="92">
        <v>45078</v>
      </c>
      <c r="G450" s="91">
        <v>30</v>
      </c>
      <c r="H450" s="96">
        <v>45100</v>
      </c>
      <c r="I450" s="145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41" t="str">
        <f>IFERROR(Inv_SY!O451/Inv_SY!$Q451-1,"")</f>
        <v/>
      </c>
    </row>
    <row r="451" spans="1:21">
      <c r="A451" s="94" t="s">
        <v>210</v>
      </c>
      <c r="B451" s="91">
        <v>4</v>
      </c>
      <c r="C451" s="55">
        <v>2023</v>
      </c>
      <c r="D451" s="91" t="s">
        <v>209</v>
      </c>
      <c r="E451" s="91" t="s">
        <v>209</v>
      </c>
      <c r="F451" s="92">
        <v>45078</v>
      </c>
      <c r="G451" s="91">
        <v>30</v>
      </c>
      <c r="H451" s="96">
        <v>45101</v>
      </c>
      <c r="I451" s="145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41" t="str">
        <f>IFERROR(Inv_SY!O452/Inv_SY!$Q452-1,"")</f>
        <v/>
      </c>
    </row>
    <row r="452" spans="1:21">
      <c r="A452" s="94" t="s">
        <v>210</v>
      </c>
      <c r="B452" s="91">
        <v>4</v>
      </c>
      <c r="C452" s="55">
        <v>2023</v>
      </c>
      <c r="D452" s="91" t="s">
        <v>209</v>
      </c>
      <c r="E452" s="91" t="s">
        <v>209</v>
      </c>
      <c r="F452" s="92">
        <v>45078</v>
      </c>
      <c r="G452" s="91">
        <v>30</v>
      </c>
      <c r="H452" s="96">
        <v>45102</v>
      </c>
      <c r="I452" s="145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41" t="str">
        <f>IFERROR(Inv_SY!O453/Inv_SY!$Q453-1,"")</f>
        <v/>
      </c>
    </row>
    <row r="453" spans="1:21">
      <c r="A453" s="94" t="s">
        <v>210</v>
      </c>
      <c r="B453" s="91">
        <v>4</v>
      </c>
      <c r="C453" s="55">
        <v>2023</v>
      </c>
      <c r="D453" s="91" t="s">
        <v>209</v>
      </c>
      <c r="E453" s="91" t="s">
        <v>209</v>
      </c>
      <c r="F453" s="92">
        <v>45078</v>
      </c>
      <c r="G453" s="91">
        <v>30</v>
      </c>
      <c r="H453" s="96">
        <v>45103</v>
      </c>
      <c r="I453" s="145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41" t="str">
        <f>IFERROR(Inv_SY!O454/Inv_SY!$Q454-1,"")</f>
        <v/>
      </c>
    </row>
    <row r="454" spans="1:21">
      <c r="A454" s="94" t="s">
        <v>210</v>
      </c>
      <c r="B454" s="91">
        <v>4</v>
      </c>
      <c r="C454" s="55">
        <v>2023</v>
      </c>
      <c r="D454" s="91" t="s">
        <v>209</v>
      </c>
      <c r="E454" s="91" t="s">
        <v>209</v>
      </c>
      <c r="F454" s="92">
        <v>45078</v>
      </c>
      <c r="G454" s="91">
        <v>30</v>
      </c>
      <c r="H454" s="96">
        <v>45104</v>
      </c>
      <c r="I454" s="145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41" t="str">
        <f>IFERROR(Inv_SY!O455/Inv_SY!$Q455-1,"")</f>
        <v/>
      </c>
    </row>
    <row r="455" spans="1:21">
      <c r="A455" s="94" t="s">
        <v>210</v>
      </c>
      <c r="B455" s="91">
        <v>4</v>
      </c>
      <c r="C455" s="55">
        <v>2023</v>
      </c>
      <c r="D455" s="91" t="s">
        <v>209</v>
      </c>
      <c r="E455" s="91" t="s">
        <v>209</v>
      </c>
      <c r="F455" s="92">
        <v>45078</v>
      </c>
      <c r="G455" s="91">
        <v>30</v>
      </c>
      <c r="H455" s="96">
        <v>45105</v>
      </c>
      <c r="I455" s="145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41" t="str">
        <f>IFERROR(Inv_SY!O456/Inv_SY!$Q456-1,"")</f>
        <v/>
      </c>
    </row>
    <row r="456" spans="1:21">
      <c r="A456" s="94" t="s">
        <v>210</v>
      </c>
      <c r="B456" s="91">
        <v>4</v>
      </c>
      <c r="C456" s="55">
        <v>2023</v>
      </c>
      <c r="D456" s="91" t="s">
        <v>209</v>
      </c>
      <c r="E456" s="91" t="s">
        <v>209</v>
      </c>
      <c r="F456" s="92">
        <v>45078</v>
      </c>
      <c r="G456" s="91">
        <v>30</v>
      </c>
      <c r="H456" s="96">
        <v>45106</v>
      </c>
      <c r="I456" s="145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41" t="str">
        <f>IFERROR(Inv_SY!O457/Inv_SY!$Q457-1,"")</f>
        <v/>
      </c>
    </row>
    <row r="457" spans="1:21">
      <c r="A457" s="94" t="s">
        <v>210</v>
      </c>
      <c r="B457" s="91">
        <v>4</v>
      </c>
      <c r="C457" s="55">
        <v>2023</v>
      </c>
      <c r="D457" s="91" t="s">
        <v>209</v>
      </c>
      <c r="E457" s="91" t="s">
        <v>209</v>
      </c>
      <c r="F457" s="92">
        <v>45078</v>
      </c>
      <c r="G457" s="91">
        <v>30</v>
      </c>
      <c r="H457" s="96">
        <v>45107</v>
      </c>
      <c r="I457" s="145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41" t="str">
        <f>IFERROR(Inv_SY!O458/Inv_SY!$Q458-1,"")</f>
        <v/>
      </c>
    </row>
    <row r="458" spans="1:21">
      <c r="A458" s="94" t="s">
        <v>210</v>
      </c>
      <c r="B458" s="91">
        <v>4</v>
      </c>
      <c r="C458" s="55">
        <v>2023</v>
      </c>
      <c r="D458" s="91" t="s">
        <v>209</v>
      </c>
      <c r="E458" s="91" t="s">
        <v>209</v>
      </c>
      <c r="F458" s="92">
        <v>45108</v>
      </c>
      <c r="G458" s="91">
        <v>31</v>
      </c>
      <c r="H458" s="96">
        <v>45108</v>
      </c>
      <c r="I458" s="145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41" t="str">
        <f>IFERROR(Inv_SY!O459/Inv_SY!$Q459-1,"")</f>
        <v/>
      </c>
    </row>
    <row r="459" spans="1:21">
      <c r="A459" s="94" t="s">
        <v>210</v>
      </c>
      <c r="B459" s="91">
        <v>4</v>
      </c>
      <c r="C459" s="55">
        <v>2023</v>
      </c>
      <c r="D459" s="91" t="s">
        <v>209</v>
      </c>
      <c r="E459" s="91" t="s">
        <v>209</v>
      </c>
      <c r="F459" s="92">
        <v>45108</v>
      </c>
      <c r="G459" s="91">
        <v>31</v>
      </c>
      <c r="H459" s="96">
        <v>45109</v>
      </c>
      <c r="I459" s="145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41" t="str">
        <f>IFERROR(Inv_SY!O460/Inv_SY!$Q460-1,"")</f>
        <v/>
      </c>
    </row>
    <row r="460" spans="1:21">
      <c r="A460" s="94" t="s">
        <v>210</v>
      </c>
      <c r="B460" s="91">
        <v>4</v>
      </c>
      <c r="C460" s="55">
        <v>2023</v>
      </c>
      <c r="D460" s="91" t="s">
        <v>209</v>
      </c>
      <c r="E460" s="91" t="s">
        <v>209</v>
      </c>
      <c r="F460" s="92">
        <v>45108</v>
      </c>
      <c r="G460" s="91">
        <v>31</v>
      </c>
      <c r="H460" s="96">
        <v>45110</v>
      </c>
      <c r="I460" s="145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41" t="str">
        <f>IFERROR(Inv_SY!O461/Inv_SY!$Q461-1,"")</f>
        <v/>
      </c>
    </row>
    <row r="461" spans="1:21">
      <c r="A461" s="94" t="s">
        <v>210</v>
      </c>
      <c r="B461" s="91">
        <v>4</v>
      </c>
      <c r="C461" s="55">
        <v>2023</v>
      </c>
      <c r="D461" s="91" t="s">
        <v>209</v>
      </c>
      <c r="E461" s="91" t="s">
        <v>209</v>
      </c>
      <c r="F461" s="92">
        <v>45108</v>
      </c>
      <c r="G461" s="91">
        <v>31</v>
      </c>
      <c r="H461" s="96">
        <v>45111</v>
      </c>
      <c r="I461" s="145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41" t="str">
        <f>IFERROR(Inv_SY!O462/Inv_SY!$Q462-1,"")</f>
        <v/>
      </c>
    </row>
    <row r="462" spans="1:21">
      <c r="A462" s="94" t="s">
        <v>210</v>
      </c>
      <c r="B462" s="91">
        <v>4</v>
      </c>
      <c r="C462" s="55">
        <v>2023</v>
      </c>
      <c r="D462" s="91" t="s">
        <v>209</v>
      </c>
      <c r="E462" s="91" t="s">
        <v>209</v>
      </c>
      <c r="F462" s="92">
        <v>45108</v>
      </c>
      <c r="G462" s="91">
        <v>31</v>
      </c>
      <c r="H462" s="96">
        <v>45112</v>
      </c>
      <c r="I462" s="145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41" t="str">
        <f>IFERROR(Inv_SY!O463/Inv_SY!$Q463-1,"")</f>
        <v/>
      </c>
    </row>
    <row r="463" spans="1:21">
      <c r="A463" s="94" t="s">
        <v>210</v>
      </c>
      <c r="B463" s="91">
        <v>4</v>
      </c>
      <c r="C463" s="55">
        <v>2023</v>
      </c>
      <c r="D463" s="91" t="s">
        <v>209</v>
      </c>
      <c r="E463" s="91" t="s">
        <v>209</v>
      </c>
      <c r="F463" s="92">
        <v>45108</v>
      </c>
      <c r="G463" s="91">
        <v>31</v>
      </c>
      <c r="H463" s="96">
        <v>45113</v>
      </c>
      <c r="I463" s="145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41" t="str">
        <f>IFERROR(Inv_SY!O464/Inv_SY!$Q464-1,"")</f>
        <v/>
      </c>
    </row>
    <row r="464" spans="1:21">
      <c r="A464" s="94" t="s">
        <v>210</v>
      </c>
      <c r="B464" s="91">
        <v>4</v>
      </c>
      <c r="C464" s="55">
        <v>2023</v>
      </c>
      <c r="D464" s="91" t="s">
        <v>209</v>
      </c>
      <c r="E464" s="91" t="s">
        <v>209</v>
      </c>
      <c r="F464" s="92">
        <v>45108</v>
      </c>
      <c r="G464" s="91">
        <v>31</v>
      </c>
      <c r="H464" s="96">
        <v>45114</v>
      </c>
      <c r="I464" s="145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41" t="str">
        <f>IFERROR(Inv_SY!O465/Inv_SY!$Q465-1,"")</f>
        <v/>
      </c>
    </row>
    <row r="465" spans="1:21">
      <c r="A465" s="94" t="s">
        <v>210</v>
      </c>
      <c r="B465" s="91">
        <v>4</v>
      </c>
      <c r="C465" s="55">
        <v>2023</v>
      </c>
      <c r="D465" s="91" t="s">
        <v>209</v>
      </c>
      <c r="E465" s="91" t="s">
        <v>209</v>
      </c>
      <c r="F465" s="92">
        <v>45108</v>
      </c>
      <c r="G465" s="91">
        <v>31</v>
      </c>
      <c r="H465" s="96">
        <v>45115</v>
      </c>
      <c r="I465" s="145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41" t="str">
        <f>IFERROR(Inv_SY!O466/Inv_SY!$Q466-1,"")</f>
        <v/>
      </c>
    </row>
    <row r="466" spans="1:21">
      <c r="A466" s="94" t="s">
        <v>210</v>
      </c>
      <c r="B466" s="91">
        <v>4</v>
      </c>
      <c r="C466" s="55">
        <v>2023</v>
      </c>
      <c r="D466" s="91" t="s">
        <v>209</v>
      </c>
      <c r="E466" s="91" t="s">
        <v>209</v>
      </c>
      <c r="F466" s="92">
        <v>45108</v>
      </c>
      <c r="G466" s="91">
        <v>31</v>
      </c>
      <c r="H466" s="96">
        <v>45116</v>
      </c>
      <c r="I466" s="145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41" t="str">
        <f>IFERROR(Inv_SY!O467/Inv_SY!$Q467-1,"")</f>
        <v/>
      </c>
    </row>
    <row r="467" spans="1:21">
      <c r="A467" s="94" t="s">
        <v>210</v>
      </c>
      <c r="B467" s="91">
        <v>4</v>
      </c>
      <c r="C467" s="55">
        <v>2023</v>
      </c>
      <c r="D467" s="91" t="s">
        <v>209</v>
      </c>
      <c r="E467" s="91" t="s">
        <v>209</v>
      </c>
      <c r="F467" s="92">
        <v>45108</v>
      </c>
      <c r="G467" s="91">
        <v>31</v>
      </c>
      <c r="H467" s="96">
        <v>45117</v>
      </c>
      <c r="I467" s="145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41" t="str">
        <f>IFERROR(Inv_SY!O468/Inv_SY!$Q468-1,"")</f>
        <v/>
      </c>
    </row>
    <row r="468" spans="1:21">
      <c r="A468" s="94" t="s">
        <v>210</v>
      </c>
      <c r="B468" s="91">
        <v>4</v>
      </c>
      <c r="C468" s="55">
        <v>2023</v>
      </c>
      <c r="D468" s="91" t="s">
        <v>209</v>
      </c>
      <c r="E468" s="91" t="s">
        <v>209</v>
      </c>
      <c r="F468" s="92">
        <v>45108</v>
      </c>
      <c r="G468" s="91">
        <v>31</v>
      </c>
      <c r="H468" s="96">
        <v>45118</v>
      </c>
      <c r="I468" s="145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41" t="str">
        <f>IFERROR(Inv_SY!O469/Inv_SY!$Q469-1,"")</f>
        <v/>
      </c>
    </row>
    <row r="469" spans="1:21">
      <c r="A469" s="94" t="s">
        <v>210</v>
      </c>
      <c r="B469" s="91">
        <v>4</v>
      </c>
      <c r="C469" s="55">
        <v>2023</v>
      </c>
      <c r="D469" s="91" t="s">
        <v>209</v>
      </c>
      <c r="E469" s="91" t="s">
        <v>209</v>
      </c>
      <c r="F469" s="92">
        <v>45108</v>
      </c>
      <c r="G469" s="91">
        <v>31</v>
      </c>
      <c r="H469" s="93">
        <v>45119</v>
      </c>
      <c r="I469" s="145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41" t="str">
        <f>IFERROR(Inv_SY!O470/Inv_SY!$Q470-1,"")</f>
        <v/>
      </c>
    </row>
    <row r="470" spans="1:21">
      <c r="A470" s="94" t="s">
        <v>210</v>
      </c>
      <c r="B470" s="91">
        <v>4</v>
      </c>
      <c r="C470" s="55">
        <v>2023</v>
      </c>
      <c r="D470" s="91" t="s">
        <v>209</v>
      </c>
      <c r="E470" s="91" t="s">
        <v>209</v>
      </c>
      <c r="F470" s="92">
        <v>45108</v>
      </c>
      <c r="G470" s="91">
        <v>31</v>
      </c>
      <c r="H470" s="93">
        <v>45120</v>
      </c>
      <c r="I470" s="145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41" t="str">
        <f>IFERROR(Inv_SY!O471/Inv_SY!$Q471-1,"")</f>
        <v/>
      </c>
    </row>
    <row r="471" spans="1:21">
      <c r="A471" s="94" t="s">
        <v>210</v>
      </c>
      <c r="B471" s="91">
        <v>4</v>
      </c>
      <c r="C471" s="55">
        <v>2023</v>
      </c>
      <c r="D471" s="91" t="s">
        <v>209</v>
      </c>
      <c r="E471" s="91" t="s">
        <v>209</v>
      </c>
      <c r="F471" s="92">
        <v>45108</v>
      </c>
      <c r="G471" s="91">
        <v>31</v>
      </c>
      <c r="H471" s="93">
        <v>45121</v>
      </c>
      <c r="I471" s="145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41" t="str">
        <f>IFERROR(Inv_SY!O472/Inv_SY!$Q472-1,"")</f>
        <v/>
      </c>
    </row>
    <row r="472" spans="1:21">
      <c r="A472" s="94" t="s">
        <v>210</v>
      </c>
      <c r="B472" s="91">
        <v>4</v>
      </c>
      <c r="C472" s="55">
        <v>2023</v>
      </c>
      <c r="D472" s="91" t="s">
        <v>209</v>
      </c>
      <c r="E472" s="91" t="s">
        <v>209</v>
      </c>
      <c r="F472" s="92">
        <v>45108</v>
      </c>
      <c r="G472" s="91">
        <v>31</v>
      </c>
      <c r="H472" s="93">
        <v>45122</v>
      </c>
      <c r="I472" s="145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41" t="str">
        <f>IFERROR(Inv_SY!O473/Inv_SY!$Q473-1,"")</f>
        <v/>
      </c>
    </row>
    <row r="473" spans="1:21">
      <c r="A473" s="94" t="s">
        <v>210</v>
      </c>
      <c r="B473" s="91">
        <v>4</v>
      </c>
      <c r="C473" s="55">
        <v>2023</v>
      </c>
      <c r="D473" s="91" t="s">
        <v>209</v>
      </c>
      <c r="E473" s="91" t="s">
        <v>209</v>
      </c>
      <c r="F473" s="92">
        <v>45108</v>
      </c>
      <c r="G473" s="91">
        <v>31</v>
      </c>
      <c r="H473" s="93">
        <v>45123</v>
      </c>
      <c r="I473" s="145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41" t="str">
        <f>IFERROR(Inv_SY!O474/Inv_SY!$Q474-1,"")</f>
        <v/>
      </c>
    </row>
    <row r="474" spans="1:21">
      <c r="A474" s="94" t="s">
        <v>210</v>
      </c>
      <c r="B474" s="91">
        <v>4</v>
      </c>
      <c r="C474" s="55">
        <v>2023</v>
      </c>
      <c r="D474" s="91" t="s">
        <v>209</v>
      </c>
      <c r="E474" s="91" t="s">
        <v>209</v>
      </c>
      <c r="F474" s="92">
        <v>45108</v>
      </c>
      <c r="G474" s="91">
        <v>31</v>
      </c>
      <c r="H474" s="93">
        <v>45124</v>
      </c>
      <c r="I474" s="145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41" t="str">
        <f>IFERROR(Inv_SY!O475/Inv_SY!$Q475-1,"")</f>
        <v/>
      </c>
    </row>
    <row r="475" spans="1:21">
      <c r="A475" s="94" t="s">
        <v>210</v>
      </c>
      <c r="B475" s="91">
        <v>4</v>
      </c>
      <c r="C475" s="55">
        <v>2023</v>
      </c>
      <c r="D475" s="91" t="s">
        <v>209</v>
      </c>
      <c r="E475" s="91" t="s">
        <v>209</v>
      </c>
      <c r="F475" s="92">
        <v>45108</v>
      </c>
      <c r="G475" s="91">
        <v>31</v>
      </c>
      <c r="H475" s="93">
        <v>45125</v>
      </c>
      <c r="I475" s="145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41" t="str">
        <f>IFERROR(Inv_SY!O476/Inv_SY!$Q476-1,"")</f>
        <v/>
      </c>
    </row>
    <row r="476" spans="1:21">
      <c r="A476" s="94" t="s">
        <v>210</v>
      </c>
      <c r="B476" s="91">
        <v>4</v>
      </c>
      <c r="C476" s="55">
        <v>2023</v>
      </c>
      <c r="D476" s="91" t="s">
        <v>209</v>
      </c>
      <c r="E476" s="91" t="s">
        <v>209</v>
      </c>
      <c r="F476" s="92">
        <v>45108</v>
      </c>
      <c r="G476" s="91">
        <v>31</v>
      </c>
      <c r="H476" s="93">
        <v>45126</v>
      </c>
      <c r="I476" s="145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41" t="str">
        <f>IFERROR(Inv_SY!O477/Inv_SY!$Q477-1,"")</f>
        <v/>
      </c>
    </row>
    <row r="477" spans="1:21">
      <c r="A477" s="94" t="s">
        <v>210</v>
      </c>
      <c r="B477" s="91">
        <v>4</v>
      </c>
      <c r="C477" s="55">
        <v>2023</v>
      </c>
      <c r="D477" s="91" t="s">
        <v>209</v>
      </c>
      <c r="E477" s="91" t="s">
        <v>209</v>
      </c>
      <c r="F477" s="92">
        <v>45108</v>
      </c>
      <c r="G477" s="91">
        <v>31</v>
      </c>
      <c r="H477" s="93">
        <v>45127</v>
      </c>
      <c r="I477" s="145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41" t="str">
        <f>IFERROR(Inv_SY!O478/Inv_SY!$Q478-1,"")</f>
        <v/>
      </c>
    </row>
    <row r="478" spans="1:21">
      <c r="A478" s="94" t="s">
        <v>210</v>
      </c>
      <c r="B478" s="91">
        <v>4</v>
      </c>
      <c r="C478" s="55">
        <v>2023</v>
      </c>
      <c r="D478" s="91" t="s">
        <v>209</v>
      </c>
      <c r="E478" s="91" t="s">
        <v>209</v>
      </c>
      <c r="F478" s="92">
        <v>45108</v>
      </c>
      <c r="G478" s="91">
        <v>31</v>
      </c>
      <c r="H478" s="93">
        <v>45128</v>
      </c>
      <c r="I478" s="145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41" t="str">
        <f>IFERROR(Inv_SY!O479/Inv_SY!$Q479-1,"")</f>
        <v/>
      </c>
    </row>
    <row r="479" spans="1:21">
      <c r="A479" s="94" t="s">
        <v>210</v>
      </c>
      <c r="B479" s="91">
        <v>4</v>
      </c>
      <c r="C479" s="55">
        <v>2023</v>
      </c>
      <c r="D479" s="91" t="s">
        <v>209</v>
      </c>
      <c r="E479" s="91" t="s">
        <v>209</v>
      </c>
      <c r="F479" s="92">
        <v>45108</v>
      </c>
      <c r="G479" s="91">
        <v>31</v>
      </c>
      <c r="H479" s="93">
        <v>45129</v>
      </c>
      <c r="I479" s="145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41" t="str">
        <f>IFERROR(Inv_SY!O480/Inv_SY!$Q480-1,"")</f>
        <v/>
      </c>
    </row>
    <row r="480" spans="1:21">
      <c r="A480" s="94" t="s">
        <v>210</v>
      </c>
      <c r="B480" s="91">
        <v>4</v>
      </c>
      <c r="C480" s="55">
        <v>2023</v>
      </c>
      <c r="D480" s="91" t="s">
        <v>209</v>
      </c>
      <c r="E480" s="91" t="s">
        <v>209</v>
      </c>
      <c r="F480" s="92">
        <v>45108</v>
      </c>
      <c r="G480" s="91">
        <v>31</v>
      </c>
      <c r="H480" s="93">
        <v>45130</v>
      </c>
      <c r="I480" s="145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41" t="str">
        <f>IFERROR(Inv_SY!O481/Inv_SY!$Q481-1,"")</f>
        <v/>
      </c>
    </row>
    <row r="481" spans="1:21">
      <c r="A481" s="94" t="s">
        <v>210</v>
      </c>
      <c r="B481" s="91">
        <v>4</v>
      </c>
      <c r="C481" s="55">
        <v>2023</v>
      </c>
      <c r="D481" s="91" t="s">
        <v>209</v>
      </c>
      <c r="E481" s="91" t="s">
        <v>209</v>
      </c>
      <c r="F481" s="92">
        <v>45108</v>
      </c>
      <c r="G481" s="91">
        <v>31</v>
      </c>
      <c r="H481" s="93">
        <v>45131</v>
      </c>
      <c r="I481" s="145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41" t="str">
        <f>IFERROR(Inv_SY!O482/Inv_SY!$Q482-1,"")</f>
        <v/>
      </c>
    </row>
    <row r="482" spans="1:21">
      <c r="A482" s="94" t="s">
        <v>210</v>
      </c>
      <c r="B482" s="91">
        <v>4</v>
      </c>
      <c r="C482" s="55">
        <v>2023</v>
      </c>
      <c r="D482" s="91" t="s">
        <v>209</v>
      </c>
      <c r="E482" s="91" t="s">
        <v>209</v>
      </c>
      <c r="F482" s="92">
        <v>45108</v>
      </c>
      <c r="G482" s="91">
        <v>31</v>
      </c>
      <c r="H482" s="93">
        <v>45132</v>
      </c>
      <c r="I482" s="145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41" t="str">
        <f>IFERROR(Inv_SY!O483/Inv_SY!$Q483-1,"")</f>
        <v/>
      </c>
    </row>
    <row r="483" spans="1:21">
      <c r="A483" s="94" t="s">
        <v>210</v>
      </c>
      <c r="B483" s="91">
        <v>4</v>
      </c>
      <c r="C483" s="55">
        <v>2023</v>
      </c>
      <c r="D483" s="91" t="s">
        <v>209</v>
      </c>
      <c r="E483" s="91" t="s">
        <v>209</v>
      </c>
      <c r="F483" s="92">
        <v>45108</v>
      </c>
      <c r="G483" s="91">
        <v>31</v>
      </c>
      <c r="H483" s="93">
        <v>45133</v>
      </c>
      <c r="I483" s="145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41" t="str">
        <f>IFERROR(Inv_SY!O484/Inv_SY!$Q484-1,"")</f>
        <v/>
      </c>
    </row>
    <row r="484" spans="1:21">
      <c r="A484" s="94" t="s">
        <v>210</v>
      </c>
      <c r="B484" s="91">
        <v>4</v>
      </c>
      <c r="C484" s="55">
        <v>2023</v>
      </c>
      <c r="D484" s="91" t="s">
        <v>209</v>
      </c>
      <c r="E484" s="91" t="s">
        <v>209</v>
      </c>
      <c r="F484" s="92">
        <v>45108</v>
      </c>
      <c r="G484" s="91">
        <v>31</v>
      </c>
      <c r="H484" s="93">
        <v>45134</v>
      </c>
      <c r="I484" s="145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41" t="str">
        <f>IFERROR(Inv_SY!O485/Inv_SY!$Q485-1,"")</f>
        <v/>
      </c>
    </row>
    <row r="485" spans="1:21">
      <c r="A485" s="94" t="s">
        <v>210</v>
      </c>
      <c r="B485" s="91">
        <v>4</v>
      </c>
      <c r="C485" s="55">
        <v>2023</v>
      </c>
      <c r="D485" s="91" t="s">
        <v>209</v>
      </c>
      <c r="E485" s="91" t="s">
        <v>209</v>
      </c>
      <c r="F485" s="92">
        <v>45108</v>
      </c>
      <c r="G485" s="91">
        <v>31</v>
      </c>
      <c r="H485" s="93">
        <v>45135</v>
      </c>
      <c r="I485" s="145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41" t="str">
        <f>IFERROR(Inv_SY!O486/Inv_SY!$Q486-1,"")</f>
        <v/>
      </c>
    </row>
    <row r="486" spans="1:21">
      <c r="A486" s="94" t="s">
        <v>210</v>
      </c>
      <c r="B486" s="91">
        <v>4</v>
      </c>
      <c r="C486" s="55">
        <v>2023</v>
      </c>
      <c r="D486" s="91" t="s">
        <v>209</v>
      </c>
      <c r="E486" s="91" t="s">
        <v>209</v>
      </c>
      <c r="F486" s="92">
        <v>45108</v>
      </c>
      <c r="G486" s="91">
        <v>31</v>
      </c>
      <c r="H486" s="93">
        <v>45136</v>
      </c>
      <c r="I486" s="145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41" t="str">
        <f>IFERROR(Inv_SY!O487/Inv_SY!$Q487-1,"")</f>
        <v/>
      </c>
    </row>
    <row r="487" spans="1:21">
      <c r="A487" s="94" t="s">
        <v>210</v>
      </c>
      <c r="B487" s="91">
        <v>4</v>
      </c>
      <c r="C487" s="55">
        <v>2023</v>
      </c>
      <c r="D487" s="91" t="s">
        <v>209</v>
      </c>
      <c r="E487" s="91" t="s">
        <v>209</v>
      </c>
      <c r="F487" s="92">
        <v>45108</v>
      </c>
      <c r="G487" s="91">
        <v>31</v>
      </c>
      <c r="H487" s="93">
        <v>45137</v>
      </c>
      <c r="I487" s="145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41" t="str">
        <f>IFERROR(Inv_SY!O488/Inv_SY!$Q488-1,"")</f>
        <v/>
      </c>
    </row>
    <row r="488" spans="1:21">
      <c r="A488" s="94" t="s">
        <v>210</v>
      </c>
      <c r="B488" s="91">
        <v>4</v>
      </c>
      <c r="C488" s="55">
        <v>2023</v>
      </c>
      <c r="D488" s="91" t="s">
        <v>209</v>
      </c>
      <c r="E488" s="91" t="s">
        <v>209</v>
      </c>
      <c r="F488" s="92">
        <v>45108</v>
      </c>
      <c r="G488" s="91">
        <v>31</v>
      </c>
      <c r="H488" s="93">
        <v>45138</v>
      </c>
      <c r="I488" s="145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41" t="str">
        <f>IFERROR(Inv_SY!O489/Inv_SY!$Q489-1,"")</f>
        <v/>
      </c>
    </row>
    <row r="489" spans="1:21">
      <c r="A489" s="94" t="s">
        <v>210</v>
      </c>
      <c r="B489" s="91">
        <v>4</v>
      </c>
      <c r="C489" s="55">
        <v>2023</v>
      </c>
      <c r="D489" s="91" t="s">
        <v>209</v>
      </c>
      <c r="E489" s="91" t="s">
        <v>209</v>
      </c>
      <c r="F489" s="92">
        <v>45139</v>
      </c>
      <c r="G489" s="91">
        <v>31</v>
      </c>
      <c r="H489" s="93">
        <v>45139</v>
      </c>
      <c r="I489" s="145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41" t="str">
        <f>IFERROR(Inv_SY!O490/Inv_SY!$Q490-1,"")</f>
        <v/>
      </c>
    </row>
    <row r="490" spans="1:21">
      <c r="A490" s="94" t="s">
        <v>210</v>
      </c>
      <c r="B490" s="91">
        <v>4</v>
      </c>
      <c r="C490" s="55">
        <v>2023</v>
      </c>
      <c r="D490" s="91" t="s">
        <v>209</v>
      </c>
      <c r="E490" s="91" t="s">
        <v>209</v>
      </c>
      <c r="F490" s="92">
        <v>45139</v>
      </c>
      <c r="G490" s="91">
        <v>31</v>
      </c>
      <c r="H490" s="93">
        <v>45140</v>
      </c>
      <c r="I490" s="145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41" t="str">
        <f>IFERROR(Inv_SY!O491/Inv_SY!$Q491-1,"")</f>
        <v/>
      </c>
    </row>
    <row r="491" spans="1:21">
      <c r="A491" s="94" t="s">
        <v>210</v>
      </c>
      <c r="B491" s="91">
        <v>4</v>
      </c>
      <c r="C491" s="55">
        <v>2023</v>
      </c>
      <c r="D491" s="91" t="s">
        <v>209</v>
      </c>
      <c r="E491" s="91" t="s">
        <v>209</v>
      </c>
      <c r="F491" s="92">
        <v>45139</v>
      </c>
      <c r="G491" s="91">
        <v>31</v>
      </c>
      <c r="H491" s="93">
        <v>45141</v>
      </c>
      <c r="I491" s="145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41" t="str">
        <f>IFERROR(Inv_SY!O492/Inv_SY!$Q492-1,"")</f>
        <v/>
      </c>
    </row>
    <row r="492" spans="1:21">
      <c r="A492" s="94" t="s">
        <v>210</v>
      </c>
      <c r="B492" s="91">
        <v>4</v>
      </c>
      <c r="C492" s="55">
        <v>2023</v>
      </c>
      <c r="D492" s="91" t="s">
        <v>209</v>
      </c>
      <c r="E492" s="91" t="s">
        <v>209</v>
      </c>
      <c r="F492" s="92">
        <v>45139</v>
      </c>
      <c r="G492" s="91">
        <v>31</v>
      </c>
      <c r="H492" s="93">
        <v>45142</v>
      </c>
      <c r="I492" s="145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41" t="str">
        <f>IFERROR(Inv_SY!O493/Inv_SY!$Q493-1,"")</f>
        <v/>
      </c>
    </row>
    <row r="493" spans="1:21">
      <c r="A493" s="94" t="s">
        <v>210</v>
      </c>
      <c r="B493" s="91">
        <v>4</v>
      </c>
      <c r="C493" s="55">
        <v>2023</v>
      </c>
      <c r="D493" s="91" t="s">
        <v>209</v>
      </c>
      <c r="E493" s="91" t="s">
        <v>209</v>
      </c>
      <c r="F493" s="92">
        <v>45139</v>
      </c>
      <c r="G493" s="91">
        <v>31</v>
      </c>
      <c r="H493" s="93">
        <v>45143</v>
      </c>
      <c r="I493" s="145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41" t="str">
        <f>IFERROR(Inv_SY!O494/Inv_SY!$Q494-1,"")</f>
        <v/>
      </c>
    </row>
    <row r="494" spans="1:21">
      <c r="A494" s="94" t="s">
        <v>210</v>
      </c>
      <c r="B494" s="91">
        <v>4</v>
      </c>
      <c r="C494" s="55">
        <v>2023</v>
      </c>
      <c r="D494" s="91" t="s">
        <v>209</v>
      </c>
      <c r="E494" s="91" t="s">
        <v>209</v>
      </c>
      <c r="F494" s="92">
        <v>45139</v>
      </c>
      <c r="G494" s="91">
        <v>31</v>
      </c>
      <c r="H494" s="93">
        <v>45144</v>
      </c>
      <c r="I494" s="145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41" t="str">
        <f>IFERROR(Inv_SY!O495/Inv_SY!$Q495-1,"")</f>
        <v/>
      </c>
    </row>
    <row r="495" spans="1:21">
      <c r="A495" s="94" t="s">
        <v>210</v>
      </c>
      <c r="B495" s="91">
        <v>4</v>
      </c>
      <c r="C495" s="55">
        <v>2023</v>
      </c>
      <c r="D495" s="91" t="s">
        <v>209</v>
      </c>
      <c r="E495" s="91" t="s">
        <v>209</v>
      </c>
      <c r="F495" s="92">
        <v>45139</v>
      </c>
      <c r="G495" s="91">
        <v>31</v>
      </c>
      <c r="H495" s="93">
        <v>45145</v>
      </c>
      <c r="I495" s="145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41" t="str">
        <f>IFERROR(Inv_SY!O496/Inv_SY!$Q496-1,"")</f>
        <v/>
      </c>
    </row>
    <row r="496" spans="1:21">
      <c r="A496" s="94" t="s">
        <v>210</v>
      </c>
      <c r="B496" s="91">
        <v>4</v>
      </c>
      <c r="C496" s="55">
        <v>2023</v>
      </c>
      <c r="D496" s="91" t="s">
        <v>209</v>
      </c>
      <c r="E496" s="91" t="s">
        <v>209</v>
      </c>
      <c r="F496" s="92">
        <v>45139</v>
      </c>
      <c r="G496" s="91">
        <v>31</v>
      </c>
      <c r="H496" s="93">
        <v>45146</v>
      </c>
      <c r="I496" s="145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41" t="str">
        <f>IFERROR(Inv_SY!O497/Inv_SY!$Q497-1,"")</f>
        <v/>
      </c>
    </row>
    <row r="497" spans="1:21">
      <c r="A497" s="94" t="s">
        <v>210</v>
      </c>
      <c r="B497" s="91">
        <v>4</v>
      </c>
      <c r="C497" s="55">
        <v>2023</v>
      </c>
      <c r="D497" s="91" t="s">
        <v>209</v>
      </c>
      <c r="E497" s="91" t="s">
        <v>209</v>
      </c>
      <c r="F497" s="92">
        <v>45139</v>
      </c>
      <c r="G497" s="91">
        <v>31</v>
      </c>
      <c r="H497" s="93">
        <v>45147</v>
      </c>
      <c r="I497" s="145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41" t="str">
        <f>IFERROR(Inv_SY!O498/Inv_SY!$Q498-1,"")</f>
        <v/>
      </c>
    </row>
    <row r="498" spans="1:21">
      <c r="A498" s="94" t="s">
        <v>210</v>
      </c>
      <c r="B498" s="91">
        <v>4</v>
      </c>
      <c r="C498" s="55">
        <v>2023</v>
      </c>
      <c r="D498" s="91" t="s">
        <v>209</v>
      </c>
      <c r="E498" s="91" t="s">
        <v>209</v>
      </c>
      <c r="F498" s="92">
        <v>45139</v>
      </c>
      <c r="G498" s="91">
        <v>31</v>
      </c>
      <c r="H498" s="93">
        <v>45148</v>
      </c>
      <c r="I498" s="145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41" t="str">
        <f>IFERROR(Inv_SY!O499/Inv_SY!$Q499-1,"")</f>
        <v/>
      </c>
    </row>
    <row r="499" spans="1:21">
      <c r="A499" s="94" t="s">
        <v>210</v>
      </c>
      <c r="B499" s="91">
        <v>4</v>
      </c>
      <c r="C499" s="55">
        <v>2023</v>
      </c>
      <c r="D499" s="91" t="s">
        <v>209</v>
      </c>
      <c r="E499" s="91" t="s">
        <v>209</v>
      </c>
      <c r="F499" s="92">
        <v>45139</v>
      </c>
      <c r="G499" s="91">
        <v>31</v>
      </c>
      <c r="H499" s="93">
        <v>45149</v>
      </c>
      <c r="I499" s="145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41" t="str">
        <f>IFERROR(Inv_SY!O500/Inv_SY!$Q500-1,"")</f>
        <v/>
      </c>
    </row>
    <row r="500" spans="1:21">
      <c r="A500" s="94" t="s">
        <v>210</v>
      </c>
      <c r="B500" s="91">
        <v>4</v>
      </c>
      <c r="C500" s="55">
        <v>2023</v>
      </c>
      <c r="D500" s="91" t="s">
        <v>209</v>
      </c>
      <c r="E500" s="91" t="s">
        <v>209</v>
      </c>
      <c r="F500" s="92">
        <v>45139</v>
      </c>
      <c r="G500" s="91">
        <v>31</v>
      </c>
      <c r="H500" s="93">
        <v>45150</v>
      </c>
      <c r="I500" s="145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41" t="str">
        <f>IFERROR(Inv_SY!O501/Inv_SY!$Q501-1,"")</f>
        <v/>
      </c>
    </row>
    <row r="501" spans="1:21">
      <c r="A501" s="94" t="s">
        <v>210</v>
      </c>
      <c r="B501" s="91">
        <v>4</v>
      </c>
      <c r="C501" s="55">
        <v>2023</v>
      </c>
      <c r="D501" s="91" t="s">
        <v>209</v>
      </c>
      <c r="E501" s="91" t="s">
        <v>209</v>
      </c>
      <c r="F501" s="92">
        <v>45139</v>
      </c>
      <c r="G501" s="91">
        <v>31</v>
      </c>
      <c r="H501" s="93">
        <v>45151</v>
      </c>
      <c r="I501" s="145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41" t="str">
        <f>IFERROR(Inv_SY!O502/Inv_SY!$Q502-1,"")</f>
        <v/>
      </c>
    </row>
    <row r="502" spans="1:21">
      <c r="A502" s="94" t="s">
        <v>210</v>
      </c>
      <c r="B502" s="91">
        <v>4</v>
      </c>
      <c r="C502" s="55">
        <v>2023</v>
      </c>
      <c r="D502" s="91" t="s">
        <v>209</v>
      </c>
      <c r="E502" s="91" t="s">
        <v>209</v>
      </c>
      <c r="F502" s="92">
        <v>45139</v>
      </c>
      <c r="G502" s="91">
        <v>31</v>
      </c>
      <c r="H502" s="93">
        <v>45152</v>
      </c>
      <c r="I502" s="145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41" t="str">
        <f>IFERROR(Inv_SY!O503/Inv_SY!$Q503-1,"")</f>
        <v/>
      </c>
    </row>
    <row r="503" spans="1:21">
      <c r="A503" s="94" t="s">
        <v>210</v>
      </c>
      <c r="B503" s="91">
        <v>4</v>
      </c>
      <c r="C503" s="55">
        <v>2023</v>
      </c>
      <c r="D503" s="91" t="s">
        <v>211</v>
      </c>
      <c r="E503" s="91" t="s">
        <v>211</v>
      </c>
      <c r="F503" s="92">
        <v>45139</v>
      </c>
      <c r="G503" s="91">
        <v>31</v>
      </c>
      <c r="H503" s="93">
        <v>45153</v>
      </c>
      <c r="I503" s="145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41" t="str">
        <f>IFERROR(Inv_SY!O504/Inv_SY!$Q504-1,"")</f>
        <v/>
      </c>
    </row>
    <row r="504" spans="1:21">
      <c r="A504" s="94" t="s">
        <v>210</v>
      </c>
      <c r="B504" s="91">
        <v>4</v>
      </c>
      <c r="C504" s="55">
        <v>2023</v>
      </c>
      <c r="D504" s="91" t="s">
        <v>211</v>
      </c>
      <c r="E504" s="91" t="s">
        <v>211</v>
      </c>
      <c r="F504" s="92">
        <v>45139</v>
      </c>
      <c r="G504" s="91">
        <v>31</v>
      </c>
      <c r="H504" s="93">
        <v>45154</v>
      </c>
      <c r="I504" s="145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41" t="str">
        <f>IFERROR(Inv_SY!O505/Inv_SY!$Q505-1,"")</f>
        <v/>
      </c>
    </row>
    <row r="505" spans="1:21">
      <c r="A505" s="94" t="s">
        <v>210</v>
      </c>
      <c r="B505" s="91">
        <v>4</v>
      </c>
      <c r="C505" s="55">
        <v>2023</v>
      </c>
      <c r="D505" s="91" t="s">
        <v>211</v>
      </c>
      <c r="E505" s="91" t="s">
        <v>211</v>
      </c>
      <c r="F505" s="92">
        <v>45139</v>
      </c>
      <c r="G505" s="91">
        <v>31</v>
      </c>
      <c r="H505" s="93">
        <v>45155</v>
      </c>
      <c r="I505" s="145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41" t="str">
        <f>IFERROR(Inv_SY!O506/Inv_SY!$Q506-1,"")</f>
        <v/>
      </c>
    </row>
    <row r="506" spans="1:21">
      <c r="A506" s="94" t="s">
        <v>210</v>
      </c>
      <c r="B506" s="91">
        <v>4</v>
      </c>
      <c r="C506" s="55">
        <v>2023</v>
      </c>
      <c r="D506" s="91" t="s">
        <v>211</v>
      </c>
      <c r="E506" s="91" t="s">
        <v>211</v>
      </c>
      <c r="F506" s="92">
        <v>45139</v>
      </c>
      <c r="G506" s="91">
        <v>31</v>
      </c>
      <c r="H506" s="93">
        <v>45156</v>
      </c>
      <c r="I506" s="145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41" t="str">
        <f>IFERROR(Inv_SY!O507/Inv_SY!$Q507-1,"")</f>
        <v/>
      </c>
    </row>
    <row r="507" spans="1:21">
      <c r="A507" s="94" t="s">
        <v>210</v>
      </c>
      <c r="B507" s="91">
        <v>4</v>
      </c>
      <c r="C507" s="55">
        <v>2023</v>
      </c>
      <c r="D507" s="91" t="s">
        <v>211</v>
      </c>
      <c r="E507" s="91" t="s">
        <v>211</v>
      </c>
      <c r="F507" s="92">
        <v>45139</v>
      </c>
      <c r="G507" s="91">
        <v>31</v>
      </c>
      <c r="H507" s="93">
        <v>45157</v>
      </c>
      <c r="I507" s="145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41" t="str">
        <f>IFERROR(Inv_SY!O508/Inv_SY!$Q508-1,"")</f>
        <v/>
      </c>
    </row>
    <row r="508" spans="1:21">
      <c r="A508" s="94" t="s">
        <v>210</v>
      </c>
      <c r="B508" s="91">
        <v>4</v>
      </c>
      <c r="C508" s="55">
        <v>2023</v>
      </c>
      <c r="D508" s="91" t="s">
        <v>211</v>
      </c>
      <c r="E508" s="91" t="s">
        <v>211</v>
      </c>
      <c r="F508" s="92">
        <v>45139</v>
      </c>
      <c r="G508" s="91">
        <v>31</v>
      </c>
      <c r="H508" s="93">
        <v>45158</v>
      </c>
      <c r="I508" s="145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41" t="str">
        <f>IFERROR(Inv_SY!O509/Inv_SY!$Q509-1,"")</f>
        <v/>
      </c>
    </row>
    <row r="509" spans="1:21">
      <c r="A509" s="94" t="s">
        <v>210</v>
      </c>
      <c r="B509" s="91">
        <v>4</v>
      </c>
      <c r="C509" s="55">
        <v>2023</v>
      </c>
      <c r="D509" s="91" t="s">
        <v>211</v>
      </c>
      <c r="E509" s="91" t="s">
        <v>211</v>
      </c>
      <c r="F509" s="92">
        <v>45139</v>
      </c>
      <c r="G509" s="91">
        <v>31</v>
      </c>
      <c r="H509" s="93">
        <v>45159</v>
      </c>
      <c r="I509" s="145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41" t="str">
        <f>IFERROR(Inv_SY!O510/Inv_SY!$Q510-1,"")</f>
        <v/>
      </c>
    </row>
    <row r="510" spans="1:21">
      <c r="A510" s="94" t="s">
        <v>210</v>
      </c>
      <c r="B510" s="91">
        <v>4</v>
      </c>
      <c r="C510" s="55">
        <v>2023</v>
      </c>
      <c r="D510" s="91" t="s">
        <v>211</v>
      </c>
      <c r="E510" s="91" t="s">
        <v>211</v>
      </c>
      <c r="F510" s="92">
        <v>45139</v>
      </c>
      <c r="G510" s="91">
        <v>31</v>
      </c>
      <c r="H510" s="93">
        <v>45160</v>
      </c>
      <c r="I510" s="145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41" t="str">
        <f>IFERROR(Inv_SY!O511/Inv_SY!$Q511-1,"")</f>
        <v/>
      </c>
    </row>
    <row r="511" spans="1:21">
      <c r="A511" s="94" t="s">
        <v>210</v>
      </c>
      <c r="B511" s="91">
        <v>4</v>
      </c>
      <c r="C511" s="55">
        <v>2023</v>
      </c>
      <c r="D511" s="91" t="s">
        <v>211</v>
      </c>
      <c r="E511" s="91" t="s">
        <v>211</v>
      </c>
      <c r="F511" s="92">
        <v>45139</v>
      </c>
      <c r="G511" s="91">
        <v>31</v>
      </c>
      <c r="H511" s="93">
        <v>45161</v>
      </c>
      <c r="I511" s="145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41" t="str">
        <f>IFERROR(Inv_SY!O512/Inv_SY!$Q512-1,"")</f>
        <v/>
      </c>
    </row>
    <row r="512" spans="1:21">
      <c r="A512" s="94" t="s">
        <v>210</v>
      </c>
      <c r="B512" s="91">
        <v>4</v>
      </c>
      <c r="C512" s="55">
        <v>2023</v>
      </c>
      <c r="D512" s="91" t="s">
        <v>211</v>
      </c>
      <c r="E512" s="91" t="s">
        <v>211</v>
      </c>
      <c r="F512" s="92">
        <v>45139</v>
      </c>
      <c r="G512" s="91">
        <v>31</v>
      </c>
      <c r="H512" s="93">
        <v>45162</v>
      </c>
      <c r="I512" s="145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41" t="str">
        <f>IFERROR(Inv_SY!O513/Inv_SY!$Q513-1,"")</f>
        <v/>
      </c>
    </row>
    <row r="513" spans="1:21">
      <c r="A513" s="94" t="s">
        <v>210</v>
      </c>
      <c r="B513" s="91">
        <v>4</v>
      </c>
      <c r="C513" s="55">
        <v>2023</v>
      </c>
      <c r="D513" s="91" t="s">
        <v>211</v>
      </c>
      <c r="E513" s="91" t="s">
        <v>211</v>
      </c>
      <c r="F513" s="92">
        <v>45139</v>
      </c>
      <c r="G513" s="91">
        <v>31</v>
      </c>
      <c r="H513" s="93">
        <v>45163</v>
      </c>
      <c r="I513" s="145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41" t="str">
        <f>IFERROR(Inv_SY!O514/Inv_SY!$Q514-1,"")</f>
        <v/>
      </c>
    </row>
    <row r="514" spans="1:21">
      <c r="A514" s="94" t="s">
        <v>210</v>
      </c>
      <c r="B514" s="91">
        <v>4</v>
      </c>
      <c r="C514" s="55">
        <v>2023</v>
      </c>
      <c r="D514" s="91" t="s">
        <v>211</v>
      </c>
      <c r="E514" s="91" t="s">
        <v>211</v>
      </c>
      <c r="F514" s="92">
        <v>45139</v>
      </c>
      <c r="G514" s="91">
        <v>31</v>
      </c>
      <c r="H514" s="93">
        <v>45164</v>
      </c>
      <c r="I514" s="145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41" t="str">
        <f>IFERROR(Inv_SY!O515/Inv_SY!$Q515-1,"")</f>
        <v/>
      </c>
    </row>
    <row r="515" spans="1:21">
      <c r="A515" s="94" t="s">
        <v>210</v>
      </c>
      <c r="B515" s="91">
        <v>4</v>
      </c>
      <c r="C515" s="55">
        <v>2023</v>
      </c>
      <c r="D515" s="91" t="s">
        <v>211</v>
      </c>
      <c r="E515" s="91" t="s">
        <v>211</v>
      </c>
      <c r="F515" s="92">
        <v>45139</v>
      </c>
      <c r="G515" s="91">
        <v>31</v>
      </c>
      <c r="H515" s="93">
        <v>45165</v>
      </c>
      <c r="I515" s="145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41" t="str">
        <f>IFERROR(Inv_SY!O516/Inv_SY!$Q516-1,"")</f>
        <v/>
      </c>
    </row>
    <row r="516" spans="1:21">
      <c r="A516" s="94" t="s">
        <v>210</v>
      </c>
      <c r="B516" s="91">
        <v>4</v>
      </c>
      <c r="C516" s="55">
        <v>2023</v>
      </c>
      <c r="D516" s="91" t="s">
        <v>211</v>
      </c>
      <c r="E516" s="91" t="s">
        <v>211</v>
      </c>
      <c r="F516" s="92">
        <v>45139</v>
      </c>
      <c r="G516" s="91">
        <v>31</v>
      </c>
      <c r="H516" s="93">
        <v>45166</v>
      </c>
      <c r="I516" s="145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41" t="str">
        <f>IFERROR(Inv_SY!O517/Inv_SY!$Q517-1,"")</f>
        <v/>
      </c>
    </row>
    <row r="517" spans="1:21">
      <c r="A517" s="94" t="s">
        <v>210</v>
      </c>
      <c r="B517" s="91">
        <v>4</v>
      </c>
      <c r="C517" s="55">
        <v>2023</v>
      </c>
      <c r="D517" s="91" t="s">
        <v>211</v>
      </c>
      <c r="E517" s="91" t="s">
        <v>211</v>
      </c>
      <c r="F517" s="92">
        <v>45139</v>
      </c>
      <c r="G517" s="91">
        <v>31</v>
      </c>
      <c r="H517" s="93">
        <v>45167</v>
      </c>
      <c r="I517" s="145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41" t="str">
        <f>IFERROR(Inv_SY!O518/Inv_SY!$Q518-1,"")</f>
        <v/>
      </c>
    </row>
    <row r="518" spans="1:21">
      <c r="A518" s="94" t="s">
        <v>210</v>
      </c>
      <c r="B518" s="91">
        <v>4</v>
      </c>
      <c r="C518" s="55">
        <v>2023</v>
      </c>
      <c r="D518" s="91" t="s">
        <v>211</v>
      </c>
      <c r="E518" s="91" t="s">
        <v>211</v>
      </c>
      <c r="F518" s="92">
        <v>45139</v>
      </c>
      <c r="G518" s="91">
        <v>31</v>
      </c>
      <c r="H518" s="93">
        <v>45168</v>
      </c>
      <c r="I518" s="145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41" t="str">
        <f>IFERROR(Inv_SY!O519/Inv_SY!$Q519-1,"")</f>
        <v/>
      </c>
    </row>
    <row r="519" spans="1:21">
      <c r="A519" s="94" t="s">
        <v>210</v>
      </c>
      <c r="B519" s="91">
        <v>4</v>
      </c>
      <c r="C519" s="55">
        <v>2023</v>
      </c>
      <c r="D519" s="91" t="s">
        <v>211</v>
      </c>
      <c r="E519" s="91" t="s">
        <v>211</v>
      </c>
      <c r="F519" s="92">
        <v>45139</v>
      </c>
      <c r="G519" s="91">
        <v>31</v>
      </c>
      <c r="H519" s="93">
        <v>45169</v>
      </c>
      <c r="I519" s="145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41" t="str">
        <f>IFERROR(Inv_SY!O520/Inv_SY!$Q520-1,"")</f>
        <v/>
      </c>
    </row>
    <row r="520" spans="1:21">
      <c r="A520" s="94" t="s">
        <v>210</v>
      </c>
      <c r="B520" s="91">
        <v>4</v>
      </c>
      <c r="C520" s="55">
        <v>2023</v>
      </c>
      <c r="D520" s="91" t="s">
        <v>211</v>
      </c>
      <c r="E520" s="91" t="s">
        <v>211</v>
      </c>
      <c r="F520" s="92">
        <v>45170</v>
      </c>
      <c r="G520" s="91">
        <v>30</v>
      </c>
      <c r="H520" s="93">
        <v>45170</v>
      </c>
      <c r="I520" s="145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41" t="str">
        <f>IFERROR(Inv_SY!O521/Inv_SY!$Q521-1,"")</f>
        <v/>
      </c>
    </row>
    <row r="521" spans="1:21">
      <c r="A521" s="94" t="s">
        <v>210</v>
      </c>
      <c r="B521" s="91">
        <v>4</v>
      </c>
      <c r="C521" s="55">
        <v>2023</v>
      </c>
      <c r="D521" s="91" t="s">
        <v>211</v>
      </c>
      <c r="E521" s="91" t="s">
        <v>211</v>
      </c>
      <c r="F521" s="92">
        <v>45170</v>
      </c>
      <c r="G521" s="91">
        <v>30</v>
      </c>
      <c r="H521" s="93">
        <v>45171</v>
      </c>
      <c r="I521" s="145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41" t="str">
        <f>IFERROR(Inv_SY!O522/Inv_SY!$Q522-1,"")</f>
        <v/>
      </c>
    </row>
    <row r="522" spans="1:21">
      <c r="A522" s="94" t="s">
        <v>210</v>
      </c>
      <c r="B522" s="91">
        <v>4</v>
      </c>
      <c r="C522" s="55">
        <v>2023</v>
      </c>
      <c r="D522" s="91" t="s">
        <v>211</v>
      </c>
      <c r="E522" s="91" t="s">
        <v>211</v>
      </c>
      <c r="F522" s="92">
        <v>45170</v>
      </c>
      <c r="G522" s="91">
        <v>30</v>
      </c>
      <c r="H522" s="93">
        <v>45172</v>
      </c>
      <c r="I522" s="145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41" t="str">
        <f>IFERROR(Inv_SY!O523/Inv_SY!$Q523-1,"")</f>
        <v/>
      </c>
    </row>
    <row r="523" spans="1:21">
      <c r="A523" s="94" t="s">
        <v>210</v>
      </c>
      <c r="B523" s="91">
        <v>4</v>
      </c>
      <c r="C523" s="55">
        <v>2023</v>
      </c>
      <c r="D523" s="91" t="s">
        <v>211</v>
      </c>
      <c r="E523" s="91" t="s">
        <v>211</v>
      </c>
      <c r="F523" s="92">
        <v>45170</v>
      </c>
      <c r="G523" s="91">
        <v>30</v>
      </c>
      <c r="H523" s="93">
        <v>45173</v>
      </c>
      <c r="I523" s="145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41" t="str">
        <f>IFERROR(Inv_SY!O524/Inv_SY!$Q524-1,"")</f>
        <v/>
      </c>
    </row>
    <row r="524" spans="1:21">
      <c r="A524" s="94" t="s">
        <v>210</v>
      </c>
      <c r="B524" s="91">
        <v>4</v>
      </c>
      <c r="C524" s="55">
        <v>2023</v>
      </c>
      <c r="D524" s="91" t="s">
        <v>211</v>
      </c>
      <c r="E524" s="91" t="s">
        <v>211</v>
      </c>
      <c r="F524" s="92">
        <v>45170</v>
      </c>
      <c r="G524" s="91">
        <v>30</v>
      </c>
      <c r="H524" s="93">
        <v>45174</v>
      </c>
      <c r="I524" s="145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41" t="str">
        <f>IFERROR(Inv_SY!O525/Inv_SY!$Q525-1,"")</f>
        <v/>
      </c>
    </row>
    <row r="525" spans="1:21">
      <c r="A525" s="94" t="s">
        <v>210</v>
      </c>
      <c r="B525" s="91">
        <v>4</v>
      </c>
      <c r="C525" s="55">
        <v>2023</v>
      </c>
      <c r="D525" s="91" t="s">
        <v>211</v>
      </c>
      <c r="E525" s="91" t="s">
        <v>211</v>
      </c>
      <c r="F525" s="92">
        <v>45170</v>
      </c>
      <c r="G525" s="91">
        <v>30</v>
      </c>
      <c r="H525" s="93">
        <v>45175</v>
      </c>
      <c r="I525" s="145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41" t="str">
        <f>IFERROR(Inv_SY!O526/Inv_SY!$Q526-1,"")</f>
        <v/>
      </c>
    </row>
    <row r="526" spans="1:21">
      <c r="A526" s="94" t="s">
        <v>210</v>
      </c>
      <c r="B526" s="91">
        <v>4</v>
      </c>
      <c r="C526" s="55">
        <v>2023</v>
      </c>
      <c r="D526" s="91" t="s">
        <v>211</v>
      </c>
      <c r="E526" s="91" t="s">
        <v>211</v>
      </c>
      <c r="F526" s="92">
        <v>45170</v>
      </c>
      <c r="G526" s="91">
        <v>30</v>
      </c>
      <c r="H526" s="93">
        <v>45176</v>
      </c>
      <c r="I526" s="145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41" t="str">
        <f>IFERROR(Inv_SY!O527/Inv_SY!$Q527-1,"")</f>
        <v/>
      </c>
    </row>
    <row r="527" spans="1:21">
      <c r="A527" s="94" t="s">
        <v>210</v>
      </c>
      <c r="B527" s="91">
        <v>4</v>
      </c>
      <c r="C527" s="55">
        <v>2023</v>
      </c>
      <c r="D527" s="91" t="s">
        <v>211</v>
      </c>
      <c r="E527" s="91" t="s">
        <v>211</v>
      </c>
      <c r="F527" s="92">
        <v>45170</v>
      </c>
      <c r="G527" s="91">
        <v>30</v>
      </c>
      <c r="H527" s="93">
        <v>45177</v>
      </c>
      <c r="I527" s="145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41" t="str">
        <f>IFERROR(Inv_SY!O528/Inv_SY!$Q528-1,"")</f>
        <v/>
      </c>
    </row>
    <row r="528" spans="1:21">
      <c r="A528" s="94" t="s">
        <v>210</v>
      </c>
      <c r="B528" s="91">
        <v>4</v>
      </c>
      <c r="C528" s="55">
        <v>2023</v>
      </c>
      <c r="D528" s="91" t="s">
        <v>211</v>
      </c>
      <c r="E528" s="91" t="s">
        <v>211</v>
      </c>
      <c r="F528" s="92">
        <v>45170</v>
      </c>
      <c r="G528" s="91">
        <v>30</v>
      </c>
      <c r="H528" s="93">
        <v>45178</v>
      </c>
      <c r="I528" s="145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41" t="str">
        <f>IFERROR(Inv_SY!O529/Inv_SY!$Q529-1,"")</f>
        <v/>
      </c>
    </row>
    <row r="529" spans="1:21">
      <c r="A529" s="94" t="s">
        <v>210</v>
      </c>
      <c r="B529" s="91">
        <v>4</v>
      </c>
      <c r="C529" s="55">
        <v>2023</v>
      </c>
      <c r="D529" s="91" t="s">
        <v>211</v>
      </c>
      <c r="E529" s="91" t="s">
        <v>211</v>
      </c>
      <c r="F529" s="92">
        <v>45170</v>
      </c>
      <c r="G529" s="91">
        <v>30</v>
      </c>
      <c r="H529" s="93">
        <v>45179</v>
      </c>
      <c r="I529" s="145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41" t="str">
        <f>IFERROR(Inv_SY!O530/Inv_SY!$Q530-1,"")</f>
        <v/>
      </c>
    </row>
    <row r="530" spans="1:21">
      <c r="A530" s="94" t="s">
        <v>210</v>
      </c>
      <c r="B530" s="91">
        <v>4</v>
      </c>
      <c r="C530" s="55">
        <v>2023</v>
      </c>
      <c r="D530" s="91" t="s">
        <v>211</v>
      </c>
      <c r="E530" s="91" t="s">
        <v>211</v>
      </c>
      <c r="F530" s="92">
        <v>45170</v>
      </c>
      <c r="G530" s="91">
        <v>30</v>
      </c>
      <c r="H530" s="93">
        <v>45180</v>
      </c>
      <c r="I530" s="145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41" t="str">
        <f>IFERROR(Inv_SY!O531/Inv_SY!$Q531-1,"")</f>
        <v/>
      </c>
    </row>
    <row r="531" spans="1:21">
      <c r="A531" s="94" t="s">
        <v>210</v>
      </c>
      <c r="B531" s="91">
        <v>4</v>
      </c>
      <c r="C531" s="55">
        <v>2023</v>
      </c>
      <c r="D531" s="91" t="s">
        <v>211</v>
      </c>
      <c r="E531" s="91" t="s">
        <v>211</v>
      </c>
      <c r="F531" s="92">
        <v>45170</v>
      </c>
      <c r="G531" s="91">
        <v>30</v>
      </c>
      <c r="H531" s="93">
        <v>45181</v>
      </c>
      <c r="I531" s="145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41" t="str">
        <f>IFERROR(Inv_SY!O532/Inv_SY!$Q532-1,"")</f>
        <v/>
      </c>
    </row>
    <row r="532" spans="1:21">
      <c r="A532" s="94" t="s">
        <v>210</v>
      </c>
      <c r="B532" s="91">
        <v>4</v>
      </c>
      <c r="C532" s="55">
        <v>2023</v>
      </c>
      <c r="D532" s="91" t="s">
        <v>211</v>
      </c>
      <c r="E532" s="91" t="s">
        <v>211</v>
      </c>
      <c r="F532" s="92">
        <v>45170</v>
      </c>
      <c r="G532" s="91">
        <v>30</v>
      </c>
      <c r="H532" s="93">
        <v>45182</v>
      </c>
      <c r="I532" s="145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41" t="str">
        <f>IFERROR(Inv_SY!O533/Inv_SY!$Q533-1,"")</f>
        <v/>
      </c>
    </row>
    <row r="533" spans="1:21">
      <c r="A533" s="94" t="s">
        <v>210</v>
      </c>
      <c r="B533" s="91">
        <v>4</v>
      </c>
      <c r="C533" s="55">
        <v>2023</v>
      </c>
      <c r="D533" s="91" t="s">
        <v>211</v>
      </c>
      <c r="E533" s="91" t="s">
        <v>211</v>
      </c>
      <c r="F533" s="92">
        <v>45170</v>
      </c>
      <c r="G533" s="91">
        <v>30</v>
      </c>
      <c r="H533" s="93">
        <v>45183</v>
      </c>
      <c r="I533" s="145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41" t="str">
        <f>IFERROR(Inv_SY!O534/Inv_SY!$Q534-1,"")</f>
        <v/>
      </c>
    </row>
    <row r="534" spans="1:21">
      <c r="A534" s="94" t="s">
        <v>210</v>
      </c>
      <c r="B534" s="91">
        <v>4</v>
      </c>
      <c r="C534" s="55">
        <v>2023</v>
      </c>
      <c r="D534" s="91" t="s">
        <v>211</v>
      </c>
      <c r="E534" s="91" t="s">
        <v>211</v>
      </c>
      <c r="F534" s="92">
        <v>45170</v>
      </c>
      <c r="G534" s="91">
        <v>30</v>
      </c>
      <c r="H534" s="93">
        <v>45184</v>
      </c>
      <c r="I534" s="145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41" t="str">
        <f>IFERROR(Inv_SY!O535/Inv_SY!$Q535-1,"")</f>
        <v/>
      </c>
    </row>
    <row r="535" spans="1:21">
      <c r="A535" s="94" t="s">
        <v>210</v>
      </c>
      <c r="B535" s="91">
        <v>4</v>
      </c>
      <c r="C535" s="55">
        <v>2023</v>
      </c>
      <c r="D535" s="91" t="s">
        <v>211</v>
      </c>
      <c r="E535" s="91" t="s">
        <v>211</v>
      </c>
      <c r="F535" s="92">
        <v>45170</v>
      </c>
      <c r="G535" s="91">
        <v>30</v>
      </c>
      <c r="H535" s="93">
        <v>45185</v>
      </c>
      <c r="I535" s="145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41" t="str">
        <f>IFERROR(Inv_SY!O536/Inv_SY!$Q536-1,"")</f>
        <v/>
      </c>
    </row>
    <row r="536" spans="1:21">
      <c r="A536" s="94" t="s">
        <v>210</v>
      </c>
      <c r="B536" s="91">
        <v>4</v>
      </c>
      <c r="C536" s="55">
        <v>2023</v>
      </c>
      <c r="D536" s="91" t="s">
        <v>211</v>
      </c>
      <c r="E536" s="91" t="s">
        <v>211</v>
      </c>
      <c r="F536" s="92">
        <v>45170</v>
      </c>
      <c r="G536" s="91">
        <v>30</v>
      </c>
      <c r="H536" s="93">
        <v>45186</v>
      </c>
      <c r="I536" s="145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41" t="str">
        <f>IFERROR(Inv_SY!O537/Inv_SY!$Q537-1,"")</f>
        <v/>
      </c>
    </row>
    <row r="537" spans="1:21">
      <c r="A537" s="94" t="s">
        <v>210</v>
      </c>
      <c r="B537" s="91">
        <v>4</v>
      </c>
      <c r="C537" s="55">
        <v>2023</v>
      </c>
      <c r="D537" s="91" t="s">
        <v>211</v>
      </c>
      <c r="E537" s="91" t="s">
        <v>211</v>
      </c>
      <c r="F537" s="92">
        <v>45170</v>
      </c>
      <c r="G537" s="91">
        <v>30</v>
      </c>
      <c r="H537" s="93">
        <v>45187</v>
      </c>
      <c r="I537" s="145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41" t="str">
        <f>IFERROR(Inv_SY!O538/Inv_SY!$Q538-1,"")</f>
        <v/>
      </c>
    </row>
    <row r="538" spans="1:21">
      <c r="A538" s="94" t="s">
        <v>210</v>
      </c>
      <c r="B538" s="91">
        <v>4</v>
      </c>
      <c r="C538" s="55">
        <v>2023</v>
      </c>
      <c r="D538" s="91" t="s">
        <v>211</v>
      </c>
      <c r="E538" s="91" t="s">
        <v>211</v>
      </c>
      <c r="F538" s="92">
        <v>45170</v>
      </c>
      <c r="G538" s="91">
        <v>30</v>
      </c>
      <c r="H538" s="93">
        <v>45188</v>
      </c>
      <c r="I538" s="145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41" t="str">
        <f>IFERROR(Inv_SY!O539/Inv_SY!$Q539-1,"")</f>
        <v/>
      </c>
    </row>
    <row r="539" spans="1:21">
      <c r="A539" s="94" t="s">
        <v>210</v>
      </c>
      <c r="B539" s="91">
        <v>4</v>
      </c>
      <c r="C539" s="55">
        <v>2023</v>
      </c>
      <c r="D539" s="91" t="s">
        <v>211</v>
      </c>
      <c r="E539" s="91" t="s">
        <v>211</v>
      </c>
      <c r="F539" s="92">
        <v>45170</v>
      </c>
      <c r="G539" s="91">
        <v>30</v>
      </c>
      <c r="H539" s="93">
        <v>45189</v>
      </c>
      <c r="I539" s="145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41" t="str">
        <f>IFERROR(Inv_SY!O540/Inv_SY!$Q540-1,"")</f>
        <v/>
      </c>
    </row>
    <row r="540" spans="1:21">
      <c r="A540" s="94" t="s">
        <v>210</v>
      </c>
      <c r="B540" s="91">
        <v>4</v>
      </c>
      <c r="C540" s="55">
        <v>2023</v>
      </c>
      <c r="D540" s="91" t="s">
        <v>211</v>
      </c>
      <c r="E540" s="91" t="s">
        <v>211</v>
      </c>
      <c r="F540" s="92">
        <v>45170</v>
      </c>
      <c r="G540" s="91">
        <v>30</v>
      </c>
      <c r="H540" s="93">
        <v>45190</v>
      </c>
      <c r="I540" s="145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41" t="str">
        <f>IFERROR(Inv_SY!O541/Inv_SY!$Q541-1,"")</f>
        <v/>
      </c>
    </row>
    <row r="541" spans="1:21">
      <c r="A541" s="94" t="s">
        <v>210</v>
      </c>
      <c r="B541" s="91">
        <v>4</v>
      </c>
      <c r="C541" s="55">
        <v>2023</v>
      </c>
      <c r="D541" s="91" t="s">
        <v>211</v>
      </c>
      <c r="E541" s="91" t="s">
        <v>211</v>
      </c>
      <c r="F541" s="92">
        <v>45170</v>
      </c>
      <c r="G541" s="91">
        <v>30</v>
      </c>
      <c r="H541" s="93">
        <v>45191</v>
      </c>
      <c r="I541" s="145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41" t="str">
        <f>IFERROR(Inv_SY!O542/Inv_SY!$Q542-1,"")</f>
        <v/>
      </c>
    </row>
    <row r="542" spans="1:21">
      <c r="A542" s="94" t="s">
        <v>210</v>
      </c>
      <c r="B542" s="91">
        <v>4</v>
      </c>
      <c r="C542" s="55">
        <v>2023</v>
      </c>
      <c r="D542" s="91" t="s">
        <v>211</v>
      </c>
      <c r="E542" s="91" t="s">
        <v>211</v>
      </c>
      <c r="F542" s="92">
        <v>45170</v>
      </c>
      <c r="G542" s="91">
        <v>30</v>
      </c>
      <c r="H542" s="93">
        <v>45192</v>
      </c>
      <c r="I542" s="145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41" t="str">
        <f>IFERROR(Inv_SY!O543/Inv_SY!$Q543-1,"")</f>
        <v/>
      </c>
    </row>
    <row r="543" spans="1:21">
      <c r="A543" s="94" t="s">
        <v>210</v>
      </c>
      <c r="B543" s="91">
        <v>4</v>
      </c>
      <c r="C543" s="55">
        <v>2023</v>
      </c>
      <c r="D543" s="91" t="s">
        <v>211</v>
      </c>
      <c r="E543" s="91" t="s">
        <v>211</v>
      </c>
      <c r="F543" s="92">
        <v>45170</v>
      </c>
      <c r="G543" s="91">
        <v>30</v>
      </c>
      <c r="H543" s="93">
        <v>45193</v>
      </c>
      <c r="I543" s="145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41" t="str">
        <f>IFERROR(Inv_SY!O544/Inv_SY!$Q544-1,"")</f>
        <v/>
      </c>
    </row>
    <row r="544" spans="1:21">
      <c r="A544" s="94" t="s">
        <v>210</v>
      </c>
      <c r="B544" s="91">
        <v>4</v>
      </c>
      <c r="C544" s="55">
        <v>2023</v>
      </c>
      <c r="D544" s="91" t="s">
        <v>211</v>
      </c>
      <c r="E544" s="91" t="s">
        <v>211</v>
      </c>
      <c r="F544" s="92">
        <v>45170</v>
      </c>
      <c r="G544" s="91">
        <v>30</v>
      </c>
      <c r="H544" s="93">
        <v>45194</v>
      </c>
      <c r="I544" s="145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41" t="str">
        <f>IFERROR(Inv_SY!O545/Inv_SY!$Q545-1,"")</f>
        <v/>
      </c>
    </row>
    <row r="545" spans="1:21">
      <c r="A545" s="94" t="s">
        <v>210</v>
      </c>
      <c r="B545" s="91">
        <v>4</v>
      </c>
      <c r="C545" s="55">
        <v>2023</v>
      </c>
      <c r="D545" s="91" t="s">
        <v>211</v>
      </c>
      <c r="E545" s="91" t="s">
        <v>211</v>
      </c>
      <c r="F545" s="92">
        <v>45170</v>
      </c>
      <c r="G545" s="91">
        <v>30</v>
      </c>
      <c r="H545" s="93">
        <v>45195</v>
      </c>
      <c r="I545" s="145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41" t="str">
        <f>IFERROR(Inv_SY!O546/Inv_SY!$Q546-1,"")</f>
        <v/>
      </c>
    </row>
    <row r="546" spans="1:21">
      <c r="A546" s="94" t="s">
        <v>210</v>
      </c>
      <c r="B546" s="91">
        <v>4</v>
      </c>
      <c r="C546" s="55">
        <v>2023</v>
      </c>
      <c r="D546" s="91" t="s">
        <v>211</v>
      </c>
      <c r="E546" s="91" t="s">
        <v>211</v>
      </c>
      <c r="F546" s="92">
        <v>45170</v>
      </c>
      <c r="G546" s="91">
        <v>30</v>
      </c>
      <c r="H546" s="93">
        <v>45196</v>
      </c>
      <c r="I546" s="145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41" t="str">
        <f>IFERROR(Inv_SY!O547/Inv_SY!$Q547-1,"")</f>
        <v/>
      </c>
    </row>
    <row r="547" spans="1:21">
      <c r="A547" s="94" t="s">
        <v>210</v>
      </c>
      <c r="B547" s="91">
        <v>4</v>
      </c>
      <c r="C547" s="55">
        <v>2023</v>
      </c>
      <c r="D547" s="91" t="s">
        <v>211</v>
      </c>
      <c r="E547" s="91" t="s">
        <v>211</v>
      </c>
      <c r="F547" s="92">
        <v>45170</v>
      </c>
      <c r="G547" s="91">
        <v>30</v>
      </c>
      <c r="H547" s="93">
        <v>45197</v>
      </c>
      <c r="I547" s="145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41" t="str">
        <f>IFERROR(Inv_SY!O548/Inv_SY!$Q548-1,"")</f>
        <v/>
      </c>
    </row>
    <row r="548" spans="1:21">
      <c r="A548" s="94" t="s">
        <v>210</v>
      </c>
      <c r="B548" s="91">
        <v>4</v>
      </c>
      <c r="C548" s="55">
        <v>2023</v>
      </c>
      <c r="D548" s="91" t="s">
        <v>211</v>
      </c>
      <c r="E548" s="91" t="s">
        <v>211</v>
      </c>
      <c r="F548" s="92">
        <v>45170</v>
      </c>
      <c r="G548" s="91">
        <v>30</v>
      </c>
      <c r="H548" s="93">
        <v>45198</v>
      </c>
      <c r="I548" s="145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41" t="str">
        <f>IFERROR(Inv_SY!O549/Inv_SY!$Q549-1,"")</f>
        <v/>
      </c>
    </row>
    <row r="549" spans="1:21">
      <c r="A549" s="94" t="s">
        <v>210</v>
      </c>
      <c r="B549" s="91">
        <v>4</v>
      </c>
      <c r="C549" s="55">
        <v>2023</v>
      </c>
      <c r="D549" s="91" t="s">
        <v>211</v>
      </c>
      <c r="E549" s="91" t="s">
        <v>211</v>
      </c>
      <c r="F549" s="92">
        <v>45170</v>
      </c>
      <c r="G549" s="91">
        <v>30</v>
      </c>
      <c r="H549" s="93">
        <v>45199</v>
      </c>
      <c r="I549" s="145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41" t="str">
        <f>IFERROR(Inv_SY!O550/Inv_SY!$Q550-1,"")</f>
        <v/>
      </c>
    </row>
    <row r="550" spans="1:21">
      <c r="A550" s="94" t="s">
        <v>210</v>
      </c>
      <c r="B550" s="91">
        <v>4</v>
      </c>
      <c r="C550" s="55">
        <v>2023</v>
      </c>
      <c r="D550" s="91" t="s">
        <v>211</v>
      </c>
      <c r="E550" s="91" t="s">
        <v>211</v>
      </c>
      <c r="F550" s="92">
        <v>45200</v>
      </c>
      <c r="G550" s="91">
        <v>31</v>
      </c>
      <c r="H550" s="93">
        <v>45200</v>
      </c>
      <c r="I550" s="145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41" t="str">
        <f>IFERROR(Inv_SY!O551/Inv_SY!$Q551-1,"")</f>
        <v/>
      </c>
    </row>
    <row r="551" spans="1:21">
      <c r="A551" s="94" t="s">
        <v>210</v>
      </c>
      <c r="B551" s="91">
        <v>4</v>
      </c>
      <c r="C551" s="55">
        <v>2023</v>
      </c>
      <c r="D551" s="91" t="s">
        <v>211</v>
      </c>
      <c r="E551" s="91" t="s">
        <v>211</v>
      </c>
      <c r="F551" s="92">
        <v>45200</v>
      </c>
      <c r="G551" s="91">
        <v>31</v>
      </c>
      <c r="H551" s="93">
        <v>45201</v>
      </c>
      <c r="I551" s="145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41" t="str">
        <f>IFERROR(Inv_SY!O552/Inv_SY!$Q552-1,"")</f>
        <v/>
      </c>
    </row>
    <row r="552" spans="1:21">
      <c r="A552" s="94" t="s">
        <v>210</v>
      </c>
      <c r="B552" s="91">
        <v>4</v>
      </c>
      <c r="C552" s="55">
        <v>2023</v>
      </c>
      <c r="D552" s="91" t="s">
        <v>211</v>
      </c>
      <c r="E552" s="91" t="s">
        <v>211</v>
      </c>
      <c r="F552" s="92">
        <v>45200</v>
      </c>
      <c r="G552" s="91">
        <v>31</v>
      </c>
      <c r="H552" s="93">
        <v>45202</v>
      </c>
      <c r="I552" s="145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41" t="str">
        <f>IFERROR(Inv_SY!O553/Inv_SY!$Q553-1,"")</f>
        <v/>
      </c>
    </row>
    <row r="553" spans="1:21">
      <c r="A553" s="94" t="s">
        <v>210</v>
      </c>
      <c r="B553" s="91">
        <v>4</v>
      </c>
      <c r="C553" s="55">
        <v>2023</v>
      </c>
      <c r="D553" s="91" t="s">
        <v>211</v>
      </c>
      <c r="E553" s="91" t="s">
        <v>211</v>
      </c>
      <c r="F553" s="92">
        <v>45200</v>
      </c>
      <c r="G553" s="91">
        <v>31</v>
      </c>
      <c r="H553" s="93">
        <v>45203</v>
      </c>
      <c r="I553" s="145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41" t="str">
        <f>IFERROR(Inv_SY!O554/Inv_SY!$Q554-1,"")</f>
        <v/>
      </c>
    </row>
    <row r="554" spans="1:21">
      <c r="A554" s="94" t="s">
        <v>210</v>
      </c>
      <c r="B554" s="91">
        <v>4</v>
      </c>
      <c r="C554" s="55">
        <v>2023</v>
      </c>
      <c r="D554" s="91" t="s">
        <v>211</v>
      </c>
      <c r="E554" s="91" t="s">
        <v>211</v>
      </c>
      <c r="F554" s="92">
        <v>45200</v>
      </c>
      <c r="G554" s="91">
        <v>31</v>
      </c>
      <c r="H554" s="93">
        <v>45204</v>
      </c>
      <c r="I554" s="145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41" t="str">
        <f>IFERROR(Inv_SY!O555/Inv_SY!$Q555-1,"")</f>
        <v/>
      </c>
    </row>
    <row r="555" spans="1:21">
      <c r="A555" s="91" t="s">
        <v>210</v>
      </c>
      <c r="B555" s="91">
        <v>4</v>
      </c>
      <c r="C555" s="55">
        <v>2023</v>
      </c>
      <c r="D555" s="91" t="s">
        <v>211</v>
      </c>
      <c r="E555" s="91" t="s">
        <v>211</v>
      </c>
      <c r="F555" s="92">
        <v>45200</v>
      </c>
      <c r="G555" s="91">
        <v>31</v>
      </c>
      <c r="H555" s="93">
        <v>45205</v>
      </c>
      <c r="I555" s="145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41" t="str">
        <f>IFERROR(Inv_SY!O556/Inv_SY!$Q556-1,"")</f>
        <v/>
      </c>
    </row>
    <row r="556" spans="1:21">
      <c r="A556" s="91" t="s">
        <v>210</v>
      </c>
      <c r="B556" s="91">
        <v>4</v>
      </c>
      <c r="C556" s="55">
        <v>2023</v>
      </c>
      <c r="D556" s="91" t="s">
        <v>211</v>
      </c>
      <c r="E556" s="91" t="s">
        <v>211</v>
      </c>
      <c r="F556" s="92">
        <v>45200</v>
      </c>
      <c r="G556" s="91">
        <v>31</v>
      </c>
      <c r="H556" s="93">
        <v>45206</v>
      </c>
      <c r="I556" s="145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41" t="str">
        <f>IFERROR(Inv_SY!O557/Inv_SY!$Q557-1,"")</f>
        <v/>
      </c>
    </row>
    <row r="557" spans="1:21">
      <c r="A557" s="91" t="s">
        <v>210</v>
      </c>
      <c r="B557" s="91">
        <v>4</v>
      </c>
      <c r="C557" s="55">
        <v>2023</v>
      </c>
      <c r="D557" s="91" t="s">
        <v>211</v>
      </c>
      <c r="E557" s="91" t="s">
        <v>211</v>
      </c>
      <c r="F557" s="92">
        <v>45200</v>
      </c>
      <c r="G557" s="91">
        <v>31</v>
      </c>
      <c r="H557" s="93">
        <v>45207</v>
      </c>
      <c r="I557" s="145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41" t="str">
        <f>IFERROR(Inv_SY!O558/Inv_SY!$Q558-1,"")</f>
        <v/>
      </c>
    </row>
    <row r="558" spans="1:21">
      <c r="A558" s="91" t="s">
        <v>210</v>
      </c>
      <c r="B558" s="91">
        <v>4</v>
      </c>
      <c r="C558" s="55">
        <v>2023</v>
      </c>
      <c r="D558" s="91" t="s">
        <v>211</v>
      </c>
      <c r="E558" s="91" t="s">
        <v>211</v>
      </c>
      <c r="F558" s="92">
        <v>45200</v>
      </c>
      <c r="G558" s="91">
        <v>31</v>
      </c>
      <c r="H558" s="93">
        <v>45208</v>
      </c>
      <c r="I558" s="145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41" t="str">
        <f>IFERROR(Inv_SY!O559/Inv_SY!$Q559-1,"")</f>
        <v/>
      </c>
    </row>
    <row r="559" spans="1:21">
      <c r="A559" s="91" t="s">
        <v>210</v>
      </c>
      <c r="B559" s="91">
        <v>4</v>
      </c>
      <c r="C559" s="55">
        <v>2023</v>
      </c>
      <c r="D559" s="91" t="s">
        <v>211</v>
      </c>
      <c r="E559" s="91" t="s">
        <v>211</v>
      </c>
      <c r="F559" s="92">
        <v>45200</v>
      </c>
      <c r="G559" s="91">
        <v>31</v>
      </c>
      <c r="H559" s="93">
        <v>45209</v>
      </c>
      <c r="I559" s="145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41" t="str">
        <f>IFERROR(Inv_SY!O560/Inv_SY!$Q560-1,"")</f>
        <v/>
      </c>
    </row>
    <row r="560" spans="1:21">
      <c r="A560" s="91" t="s">
        <v>210</v>
      </c>
      <c r="B560" s="91">
        <v>4</v>
      </c>
      <c r="C560" s="55">
        <v>2023</v>
      </c>
      <c r="D560" s="91" t="s">
        <v>211</v>
      </c>
      <c r="E560" s="91" t="s">
        <v>211</v>
      </c>
      <c r="F560" s="92">
        <v>45200</v>
      </c>
      <c r="G560" s="91">
        <v>31</v>
      </c>
      <c r="H560" s="93">
        <v>45210</v>
      </c>
      <c r="I560" s="145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41" t="str">
        <f>IFERROR(Inv_SY!O561/Inv_SY!$Q561-1,"")</f>
        <v/>
      </c>
    </row>
    <row r="561" spans="1:21">
      <c r="A561" s="91" t="s">
        <v>210</v>
      </c>
      <c r="B561" s="91">
        <v>4</v>
      </c>
      <c r="C561" s="55">
        <v>2023</v>
      </c>
      <c r="D561" s="91" t="s">
        <v>211</v>
      </c>
      <c r="E561" s="91" t="s">
        <v>211</v>
      </c>
      <c r="F561" s="92">
        <v>45200</v>
      </c>
      <c r="G561" s="91">
        <v>31</v>
      </c>
      <c r="H561" s="93">
        <v>45211</v>
      </c>
      <c r="I561" s="145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41" t="str">
        <f>IFERROR(Inv_SY!O562/Inv_SY!$Q562-1,"")</f>
        <v/>
      </c>
    </row>
    <row r="562" spans="1:21">
      <c r="A562" s="91" t="s">
        <v>210</v>
      </c>
      <c r="B562" s="91">
        <v>4</v>
      </c>
      <c r="C562" s="55">
        <v>2023</v>
      </c>
      <c r="D562" s="91" t="s">
        <v>211</v>
      </c>
      <c r="E562" s="91" t="s">
        <v>211</v>
      </c>
      <c r="F562" s="92">
        <v>45200</v>
      </c>
      <c r="G562" s="91">
        <v>31</v>
      </c>
      <c r="H562" s="93">
        <v>45212</v>
      </c>
      <c r="I562" s="145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41" t="str">
        <f>IFERROR(Inv_SY!O563/Inv_SY!$Q563-1,"")</f>
        <v/>
      </c>
    </row>
    <row r="563" spans="1:21">
      <c r="A563" s="91" t="s">
        <v>210</v>
      </c>
      <c r="B563" s="91">
        <v>4</v>
      </c>
      <c r="C563" s="55">
        <v>2023</v>
      </c>
      <c r="D563" s="91" t="s">
        <v>211</v>
      </c>
      <c r="E563" s="91" t="s">
        <v>211</v>
      </c>
      <c r="F563" s="92">
        <v>45200</v>
      </c>
      <c r="G563" s="91">
        <v>31</v>
      </c>
      <c r="H563" s="93">
        <v>45213</v>
      </c>
      <c r="I563" s="145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41" t="str">
        <f>IFERROR(Inv_SY!O564/Inv_SY!$Q564-1,"")</f>
        <v/>
      </c>
    </row>
    <row r="564" spans="1:21">
      <c r="A564" s="91" t="s">
        <v>210</v>
      </c>
      <c r="B564" s="91">
        <v>4</v>
      </c>
      <c r="C564" s="55">
        <v>2023</v>
      </c>
      <c r="D564" s="91" t="s">
        <v>211</v>
      </c>
      <c r="E564" s="91" t="s">
        <v>211</v>
      </c>
      <c r="F564" s="92">
        <v>45200</v>
      </c>
      <c r="G564" s="91">
        <v>31</v>
      </c>
      <c r="H564" s="93">
        <v>45214</v>
      </c>
      <c r="I564" s="145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41" t="str">
        <f>IFERROR(Inv_SY!O565/Inv_SY!$Q565-1,"")</f>
        <v/>
      </c>
    </row>
    <row r="565" spans="1:21">
      <c r="A565" s="91" t="s">
        <v>210</v>
      </c>
      <c r="B565" s="91">
        <v>4</v>
      </c>
      <c r="C565" s="55">
        <v>2023</v>
      </c>
      <c r="D565" s="91" t="s">
        <v>211</v>
      </c>
      <c r="E565" s="91" t="s">
        <v>211</v>
      </c>
      <c r="F565" s="92">
        <v>45200</v>
      </c>
      <c r="G565" s="91">
        <v>31</v>
      </c>
      <c r="H565" s="93">
        <v>45215</v>
      </c>
      <c r="I565" s="145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41" t="str">
        <f>IFERROR(Inv_SY!O566/Inv_SY!$Q566-1,"")</f>
        <v/>
      </c>
    </row>
    <row r="566" spans="1:21">
      <c r="A566" s="91" t="s">
        <v>210</v>
      </c>
      <c r="B566" s="91">
        <v>4</v>
      </c>
      <c r="C566" s="55">
        <v>2023</v>
      </c>
      <c r="D566" s="91" t="s">
        <v>211</v>
      </c>
      <c r="E566" s="91" t="s">
        <v>211</v>
      </c>
      <c r="F566" s="92">
        <v>45200</v>
      </c>
      <c r="G566" s="91">
        <v>31</v>
      </c>
      <c r="H566" s="93">
        <v>45216</v>
      </c>
      <c r="I566" s="145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41" t="str">
        <f>IFERROR(Inv_SY!O567/Inv_SY!$Q567-1,"")</f>
        <v/>
      </c>
    </row>
    <row r="567" spans="1:21">
      <c r="A567" s="91" t="s">
        <v>210</v>
      </c>
      <c r="B567" s="91">
        <v>4</v>
      </c>
      <c r="C567" s="55">
        <v>2023</v>
      </c>
      <c r="D567" s="91" t="s">
        <v>211</v>
      </c>
      <c r="E567" s="91" t="s">
        <v>211</v>
      </c>
      <c r="F567" s="92">
        <v>45200</v>
      </c>
      <c r="G567" s="91">
        <v>31</v>
      </c>
      <c r="H567" s="93">
        <v>45217</v>
      </c>
      <c r="I567" s="145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41" t="str">
        <f>IFERROR(Inv_SY!O568/Inv_SY!$Q568-1,"")</f>
        <v/>
      </c>
    </row>
    <row r="568" spans="1:21">
      <c r="A568" s="91" t="s">
        <v>210</v>
      </c>
      <c r="B568" s="91">
        <v>4</v>
      </c>
      <c r="C568" s="55">
        <v>2023</v>
      </c>
      <c r="D568" s="91" t="s">
        <v>211</v>
      </c>
      <c r="E568" s="91" t="s">
        <v>211</v>
      </c>
      <c r="F568" s="92">
        <v>45200</v>
      </c>
      <c r="G568" s="91">
        <v>31</v>
      </c>
      <c r="H568" s="93">
        <v>45218</v>
      </c>
      <c r="I568" s="145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41" t="str">
        <f>IFERROR(Inv_SY!O569/Inv_SY!$Q569-1,"")</f>
        <v/>
      </c>
    </row>
    <row r="569" spans="1:21">
      <c r="A569" s="91" t="s">
        <v>210</v>
      </c>
      <c r="B569" s="91">
        <v>4</v>
      </c>
      <c r="C569" s="55">
        <v>2023</v>
      </c>
      <c r="D569" s="91" t="s">
        <v>211</v>
      </c>
      <c r="E569" s="91" t="s">
        <v>211</v>
      </c>
      <c r="F569" s="92">
        <v>45200</v>
      </c>
      <c r="G569" s="91">
        <v>31</v>
      </c>
      <c r="H569" s="93">
        <v>45219</v>
      </c>
      <c r="I569" s="145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41" t="str">
        <f>IFERROR(Inv_SY!O570/Inv_SY!$Q570-1,"")</f>
        <v/>
      </c>
    </row>
    <row r="570" spans="1:21">
      <c r="A570" s="94" t="s">
        <v>210</v>
      </c>
      <c r="B570" s="94">
        <v>4</v>
      </c>
      <c r="C570" s="55">
        <v>2023</v>
      </c>
      <c r="D570" s="94" t="s">
        <v>211</v>
      </c>
      <c r="E570" s="94" t="s">
        <v>211</v>
      </c>
      <c r="F570" s="95">
        <v>45200</v>
      </c>
      <c r="G570" s="94">
        <v>31</v>
      </c>
      <c r="H570" s="96">
        <v>45220</v>
      </c>
      <c r="I570" s="146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41" t="str">
        <f>IFERROR(Inv_SY!O571/Inv_SY!$Q571-1,"")</f>
        <v/>
      </c>
    </row>
    <row r="571" spans="1:21">
      <c r="A571" s="94" t="s">
        <v>210</v>
      </c>
      <c r="B571" s="91">
        <v>4</v>
      </c>
      <c r="C571" s="55">
        <v>2023</v>
      </c>
      <c r="D571" s="91" t="s">
        <v>211</v>
      </c>
      <c r="E571" s="91" t="s">
        <v>211</v>
      </c>
      <c r="F571" s="92">
        <v>45200</v>
      </c>
      <c r="G571" s="91">
        <v>31</v>
      </c>
      <c r="H571" s="96">
        <v>45221</v>
      </c>
      <c r="I571" s="145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41" t="str">
        <f>IFERROR(Inv_SY!O572/Inv_SY!$Q572-1,"")</f>
        <v/>
      </c>
    </row>
    <row r="572" spans="1:21">
      <c r="A572" s="94" t="s">
        <v>210</v>
      </c>
      <c r="B572" s="91">
        <v>4</v>
      </c>
      <c r="C572" s="55">
        <v>2023</v>
      </c>
      <c r="D572" s="91" t="s">
        <v>211</v>
      </c>
      <c r="E572" s="91" t="s">
        <v>211</v>
      </c>
      <c r="F572" s="92">
        <v>45200</v>
      </c>
      <c r="G572" s="91">
        <v>31</v>
      </c>
      <c r="H572" s="96">
        <v>45222</v>
      </c>
      <c r="I572" s="145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41" t="str">
        <f>IFERROR(Inv_SY!O573/Inv_SY!$Q573-1,"")</f>
        <v/>
      </c>
    </row>
    <row r="573" spans="1:21">
      <c r="A573" s="94" t="s">
        <v>210</v>
      </c>
      <c r="B573" s="91">
        <v>4</v>
      </c>
      <c r="C573" s="55">
        <v>2023</v>
      </c>
      <c r="D573" s="91" t="s">
        <v>211</v>
      </c>
      <c r="E573" s="91" t="s">
        <v>211</v>
      </c>
      <c r="F573" s="92">
        <v>45200</v>
      </c>
      <c r="G573" s="91">
        <v>31</v>
      </c>
      <c r="H573" s="96">
        <v>45223</v>
      </c>
      <c r="I573" s="145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41" t="str">
        <f>IFERROR(Inv_SY!O574/Inv_SY!$Q574-1,"")</f>
        <v/>
      </c>
    </row>
    <row r="574" spans="1:21">
      <c r="A574" s="94" t="s">
        <v>210</v>
      </c>
      <c r="B574" s="91">
        <v>4</v>
      </c>
      <c r="C574" s="55">
        <v>2023</v>
      </c>
      <c r="D574" s="91" t="s">
        <v>211</v>
      </c>
      <c r="E574" s="91" t="s">
        <v>211</v>
      </c>
      <c r="F574" s="92">
        <v>45200</v>
      </c>
      <c r="G574" s="91">
        <v>31</v>
      </c>
      <c r="H574" s="96">
        <v>45224</v>
      </c>
      <c r="I574" s="145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41" t="str">
        <f>IFERROR(Inv_SY!O575/Inv_SY!$Q575-1,"")</f>
        <v/>
      </c>
    </row>
    <row r="575" spans="1:21">
      <c r="A575" s="94" t="s">
        <v>210</v>
      </c>
      <c r="B575" s="91">
        <v>4</v>
      </c>
      <c r="C575" s="55">
        <v>2023</v>
      </c>
      <c r="D575" s="91" t="s">
        <v>211</v>
      </c>
      <c r="E575" s="91" t="s">
        <v>211</v>
      </c>
      <c r="F575" s="92">
        <v>45200</v>
      </c>
      <c r="G575" s="91">
        <v>31</v>
      </c>
      <c r="H575" s="96">
        <v>45225</v>
      </c>
      <c r="I575" s="145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41" t="str">
        <f>IFERROR(Inv_SY!O576/Inv_SY!$Q576-1,"")</f>
        <v/>
      </c>
    </row>
    <row r="576" spans="1:21">
      <c r="A576" s="94" t="s">
        <v>210</v>
      </c>
      <c r="B576" s="91">
        <v>4</v>
      </c>
      <c r="C576" s="55">
        <v>2023</v>
      </c>
      <c r="D576" s="91" t="s">
        <v>211</v>
      </c>
      <c r="E576" s="91" t="s">
        <v>211</v>
      </c>
      <c r="F576" s="92">
        <v>45200</v>
      </c>
      <c r="G576" s="91">
        <v>31</v>
      </c>
      <c r="H576" s="96">
        <v>45226</v>
      </c>
      <c r="I576" s="145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41" t="str">
        <f>IFERROR(Inv_SY!O577/Inv_SY!$Q577-1,"")</f>
        <v/>
      </c>
    </row>
    <row r="577" spans="1:21">
      <c r="A577" s="94" t="s">
        <v>210</v>
      </c>
      <c r="B577" s="91">
        <v>4</v>
      </c>
      <c r="C577" s="55">
        <v>2023</v>
      </c>
      <c r="D577" s="91" t="s">
        <v>211</v>
      </c>
      <c r="E577" s="91" t="s">
        <v>211</v>
      </c>
      <c r="F577" s="92">
        <v>45200</v>
      </c>
      <c r="G577" s="91">
        <v>31</v>
      </c>
      <c r="H577" s="96">
        <v>45227</v>
      </c>
      <c r="I577" s="145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41" t="str">
        <f>IFERROR(Inv_SY!O578/Inv_SY!$Q578-1,"")</f>
        <v/>
      </c>
    </row>
    <row r="578" spans="1:21">
      <c r="A578" s="94" t="s">
        <v>210</v>
      </c>
      <c r="B578" s="91">
        <v>4</v>
      </c>
      <c r="C578" s="55">
        <v>2023</v>
      </c>
      <c r="D578" s="91" t="s">
        <v>211</v>
      </c>
      <c r="E578" s="91" t="s">
        <v>211</v>
      </c>
      <c r="F578" s="92">
        <v>45200</v>
      </c>
      <c r="G578" s="91">
        <v>31</v>
      </c>
      <c r="H578" s="96">
        <v>45228</v>
      </c>
      <c r="I578" s="145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41" t="str">
        <f>IFERROR(Inv_SY!O579/Inv_SY!$Q579-1,"")</f>
        <v/>
      </c>
    </row>
    <row r="579" spans="1:21">
      <c r="A579" s="94" t="s">
        <v>210</v>
      </c>
      <c r="B579" s="91">
        <v>4</v>
      </c>
      <c r="C579" s="55">
        <v>2023</v>
      </c>
      <c r="D579" s="91" t="s">
        <v>211</v>
      </c>
      <c r="E579" s="91" t="s">
        <v>211</v>
      </c>
      <c r="F579" s="92">
        <v>45200</v>
      </c>
      <c r="G579" s="91">
        <v>31</v>
      </c>
      <c r="H579" s="96">
        <v>45229</v>
      </c>
      <c r="I579" s="145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41" t="str">
        <f>IFERROR(Inv_SY!O580/Inv_SY!$Q580-1,"")</f>
        <v/>
      </c>
    </row>
    <row r="580" spans="1:21">
      <c r="A580" s="94" t="s">
        <v>210</v>
      </c>
      <c r="B580" s="91">
        <v>4</v>
      </c>
      <c r="C580" s="55">
        <v>2023</v>
      </c>
      <c r="D580" s="91" t="s">
        <v>211</v>
      </c>
      <c r="E580" s="91" t="s">
        <v>211</v>
      </c>
      <c r="F580" s="92">
        <v>45200</v>
      </c>
      <c r="G580" s="91">
        <v>31</v>
      </c>
      <c r="H580" s="96">
        <v>45230</v>
      </c>
      <c r="I580" s="145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41" t="str">
        <f>IFERROR(Inv_SY!O581/Inv_SY!$Q581-1,"")</f>
        <v/>
      </c>
    </row>
    <row r="581" spans="1:21">
      <c r="A581" s="94" t="s">
        <v>210</v>
      </c>
      <c r="B581" s="91">
        <v>4</v>
      </c>
      <c r="C581" s="55">
        <v>2023</v>
      </c>
      <c r="D581" s="91" t="s">
        <v>211</v>
      </c>
      <c r="E581" s="91" t="s">
        <v>211</v>
      </c>
      <c r="F581" s="92">
        <v>45231</v>
      </c>
      <c r="G581" s="91">
        <v>30</v>
      </c>
      <c r="H581" s="96">
        <v>45231</v>
      </c>
      <c r="I581" s="145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41" t="str">
        <f>IFERROR(Inv_SY!O582/Inv_SY!$Q582-1,"")</f>
        <v/>
      </c>
    </row>
    <row r="582" spans="1:21">
      <c r="A582" s="94" t="s">
        <v>210</v>
      </c>
      <c r="B582" s="91">
        <v>4</v>
      </c>
      <c r="C582" s="55">
        <v>2023</v>
      </c>
      <c r="D582" s="91" t="s">
        <v>211</v>
      </c>
      <c r="E582" s="91" t="s">
        <v>211</v>
      </c>
      <c r="F582" s="92">
        <v>45231</v>
      </c>
      <c r="G582" s="91">
        <v>30</v>
      </c>
      <c r="H582" s="96">
        <v>45232</v>
      </c>
      <c r="I582" s="145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41" t="str">
        <f>IFERROR(Inv_SY!O583/Inv_SY!$Q583-1,"")</f>
        <v/>
      </c>
    </row>
    <row r="583" spans="1:21">
      <c r="A583" s="94" t="s">
        <v>210</v>
      </c>
      <c r="B583" s="91">
        <v>4</v>
      </c>
      <c r="C583" s="55">
        <v>2023</v>
      </c>
      <c r="D583" s="91" t="s">
        <v>211</v>
      </c>
      <c r="E583" s="91" t="s">
        <v>211</v>
      </c>
      <c r="F583" s="92">
        <v>45231</v>
      </c>
      <c r="G583" s="91">
        <v>30</v>
      </c>
      <c r="H583" s="96">
        <v>45233</v>
      </c>
      <c r="I583" s="145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41" t="str">
        <f>IFERROR(Inv_SY!O584/Inv_SY!$Q584-1,"")</f>
        <v/>
      </c>
    </row>
    <row r="584" spans="1:21">
      <c r="A584" s="94" t="s">
        <v>210</v>
      </c>
      <c r="B584" s="91">
        <v>4</v>
      </c>
      <c r="C584" s="55">
        <v>2023</v>
      </c>
      <c r="D584" s="91" t="s">
        <v>211</v>
      </c>
      <c r="E584" s="91" t="s">
        <v>211</v>
      </c>
      <c r="F584" s="92">
        <v>45231</v>
      </c>
      <c r="G584" s="91">
        <v>30</v>
      </c>
      <c r="H584" s="96">
        <v>45234</v>
      </c>
      <c r="I584" s="145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41" t="str">
        <f>IFERROR(Inv_SY!O585/Inv_SY!$Q585-1,"")</f>
        <v/>
      </c>
    </row>
    <row r="585" spans="1:21">
      <c r="A585" s="94" t="s">
        <v>210</v>
      </c>
      <c r="B585" s="91">
        <v>4</v>
      </c>
      <c r="C585" s="55">
        <v>2023</v>
      </c>
      <c r="D585" s="91" t="s">
        <v>211</v>
      </c>
      <c r="E585" s="91" t="s">
        <v>211</v>
      </c>
      <c r="F585" s="92">
        <v>45231</v>
      </c>
      <c r="G585" s="91">
        <v>30</v>
      </c>
      <c r="H585" s="96">
        <v>45235</v>
      </c>
      <c r="I585" s="145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41" t="str">
        <f>IFERROR(Inv_SY!O586/Inv_SY!$Q586-1,"")</f>
        <v/>
      </c>
    </row>
    <row r="586" spans="1:21">
      <c r="A586" s="94" t="s">
        <v>210</v>
      </c>
      <c r="B586" s="91">
        <v>4</v>
      </c>
      <c r="C586" s="55">
        <v>2023</v>
      </c>
      <c r="D586" s="91" t="s">
        <v>211</v>
      </c>
      <c r="E586" s="91" t="s">
        <v>211</v>
      </c>
      <c r="F586" s="92">
        <v>45231</v>
      </c>
      <c r="G586" s="91">
        <v>30</v>
      </c>
      <c r="H586" s="96">
        <v>45236</v>
      </c>
      <c r="I586" s="145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41" t="str">
        <f>IFERROR(Inv_SY!O587/Inv_SY!$Q587-1,"")</f>
        <v/>
      </c>
    </row>
    <row r="587" spans="1:21">
      <c r="A587" s="94" t="s">
        <v>210</v>
      </c>
      <c r="B587" s="91">
        <v>4</v>
      </c>
      <c r="C587" s="55">
        <v>2023</v>
      </c>
      <c r="D587" s="91" t="s">
        <v>211</v>
      </c>
      <c r="E587" s="91" t="s">
        <v>211</v>
      </c>
      <c r="F587" s="92">
        <v>45231</v>
      </c>
      <c r="G587" s="91">
        <v>30</v>
      </c>
      <c r="H587" s="96">
        <v>45237</v>
      </c>
      <c r="I587" s="145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41" t="str">
        <f>IFERROR(Inv_SY!O588/Inv_SY!$Q588-1,"")</f>
        <v/>
      </c>
    </row>
    <row r="588" spans="1:21">
      <c r="A588" s="94" t="s">
        <v>210</v>
      </c>
      <c r="B588" s="91">
        <v>4</v>
      </c>
      <c r="C588" s="55">
        <v>2023</v>
      </c>
      <c r="D588" s="91" t="s">
        <v>211</v>
      </c>
      <c r="E588" s="91" t="s">
        <v>211</v>
      </c>
      <c r="F588" s="92">
        <v>45231</v>
      </c>
      <c r="G588" s="91">
        <v>30</v>
      </c>
      <c r="H588" s="96">
        <v>45238</v>
      </c>
      <c r="I588" s="145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41" t="str">
        <f>IFERROR(Inv_SY!O589/Inv_SY!$Q589-1,"")</f>
        <v/>
      </c>
    </row>
    <row r="589" spans="1:21">
      <c r="A589" s="94" t="s">
        <v>210</v>
      </c>
      <c r="B589" s="91">
        <v>4</v>
      </c>
      <c r="C589" s="55">
        <v>2023</v>
      </c>
      <c r="D589" s="91" t="s">
        <v>211</v>
      </c>
      <c r="E589" s="91" t="s">
        <v>211</v>
      </c>
      <c r="F589" s="92">
        <v>45231</v>
      </c>
      <c r="G589" s="91">
        <v>30</v>
      </c>
      <c r="H589" s="96">
        <v>45239</v>
      </c>
      <c r="I589" s="145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41" t="str">
        <f>IFERROR(Inv_SY!O590/Inv_SY!$Q590-1,"")</f>
        <v/>
      </c>
    </row>
    <row r="590" spans="1:21">
      <c r="A590" s="94" t="s">
        <v>210</v>
      </c>
      <c r="B590" s="91">
        <v>4</v>
      </c>
      <c r="C590" s="55">
        <v>2023</v>
      </c>
      <c r="D590" s="91" t="s">
        <v>211</v>
      </c>
      <c r="E590" s="91" t="s">
        <v>211</v>
      </c>
      <c r="F590" s="92">
        <v>45231</v>
      </c>
      <c r="G590" s="91">
        <v>30</v>
      </c>
      <c r="H590" s="96">
        <v>45240</v>
      </c>
      <c r="I590" s="145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41" t="str">
        <f>IFERROR(Inv_SY!O591/Inv_SY!$Q591-1,"")</f>
        <v/>
      </c>
    </row>
    <row r="591" spans="1:21">
      <c r="A591" s="94" t="s">
        <v>210</v>
      </c>
      <c r="B591" s="91">
        <v>4</v>
      </c>
      <c r="C591" s="55">
        <v>2023</v>
      </c>
      <c r="D591" s="91" t="s">
        <v>211</v>
      </c>
      <c r="E591" s="91" t="s">
        <v>211</v>
      </c>
      <c r="F591" s="92">
        <v>45231</v>
      </c>
      <c r="G591" s="91">
        <v>30</v>
      </c>
      <c r="H591" s="96">
        <v>45241</v>
      </c>
      <c r="I591" s="145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41" t="str">
        <f>IFERROR(Inv_SY!O592/Inv_SY!$Q592-1,"")</f>
        <v/>
      </c>
    </row>
    <row r="592" spans="1:21">
      <c r="A592" s="94" t="s">
        <v>210</v>
      </c>
      <c r="B592" s="91">
        <v>4</v>
      </c>
      <c r="C592" s="55">
        <v>2023</v>
      </c>
      <c r="D592" s="91" t="s">
        <v>211</v>
      </c>
      <c r="E592" s="91" t="s">
        <v>211</v>
      </c>
      <c r="F592" s="92">
        <v>45231</v>
      </c>
      <c r="G592" s="91">
        <v>30</v>
      </c>
      <c r="H592" s="96">
        <v>45242</v>
      </c>
      <c r="I592" s="145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41" t="str">
        <f>IFERROR(Inv_SY!O593/Inv_SY!$Q593-1,"")</f>
        <v/>
      </c>
    </row>
    <row r="593" spans="1:21">
      <c r="A593" s="94" t="s">
        <v>210</v>
      </c>
      <c r="B593" s="91">
        <v>4</v>
      </c>
      <c r="C593" s="55">
        <v>2023</v>
      </c>
      <c r="D593" s="91" t="s">
        <v>211</v>
      </c>
      <c r="E593" s="91" t="s">
        <v>211</v>
      </c>
      <c r="F593" s="92">
        <v>45231</v>
      </c>
      <c r="G593" s="91">
        <v>30</v>
      </c>
      <c r="H593" s="96">
        <v>45243</v>
      </c>
      <c r="I593" s="145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41" t="str">
        <f>IFERROR(Inv_SY!O594/Inv_SY!$Q594-1,"")</f>
        <v/>
      </c>
    </row>
    <row r="594" spans="1:21">
      <c r="A594" s="94" t="s">
        <v>210</v>
      </c>
      <c r="B594" s="91">
        <v>4</v>
      </c>
      <c r="C594" s="55">
        <v>2023</v>
      </c>
      <c r="D594" s="91" t="s">
        <v>211</v>
      </c>
      <c r="E594" s="91" t="s">
        <v>211</v>
      </c>
      <c r="F594" s="92">
        <v>45231</v>
      </c>
      <c r="G594" s="91">
        <v>30</v>
      </c>
      <c r="H594" s="96">
        <v>45244</v>
      </c>
      <c r="I594" s="145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41" t="str">
        <f>IFERROR(Inv_SY!O595/Inv_SY!$Q595-1,"")</f>
        <v/>
      </c>
    </row>
    <row r="595" spans="1:21">
      <c r="A595" s="94" t="s">
        <v>210</v>
      </c>
      <c r="B595" s="91">
        <v>4</v>
      </c>
      <c r="C595" s="55">
        <v>2023</v>
      </c>
      <c r="D595" s="91" t="s">
        <v>211</v>
      </c>
      <c r="E595" s="91" t="s">
        <v>211</v>
      </c>
      <c r="F595" s="92">
        <v>45231</v>
      </c>
      <c r="G595" s="91">
        <v>30</v>
      </c>
      <c r="H595" s="96">
        <v>45245</v>
      </c>
      <c r="I595" s="145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41" t="str">
        <f>IFERROR(Inv_SY!O596/Inv_SY!$Q596-1,"")</f>
        <v/>
      </c>
    </row>
    <row r="596" spans="1:21">
      <c r="A596" s="94" t="s">
        <v>210</v>
      </c>
      <c r="B596" s="91">
        <v>4</v>
      </c>
      <c r="C596" s="55">
        <v>2023</v>
      </c>
      <c r="D596" s="91" t="s">
        <v>211</v>
      </c>
      <c r="E596" s="91" t="s">
        <v>211</v>
      </c>
      <c r="F596" s="92">
        <v>45231</v>
      </c>
      <c r="G596" s="91">
        <v>30</v>
      </c>
      <c r="H596" s="96">
        <v>45246</v>
      </c>
      <c r="I596" s="145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41" t="str">
        <f>IFERROR(Inv_SY!O597/Inv_SY!$Q597-1,"")</f>
        <v/>
      </c>
    </row>
    <row r="597" spans="1:21">
      <c r="A597" s="94" t="s">
        <v>210</v>
      </c>
      <c r="B597" s="91">
        <v>4</v>
      </c>
      <c r="C597" s="55">
        <v>2023</v>
      </c>
      <c r="D597" s="91" t="s">
        <v>211</v>
      </c>
      <c r="E597" s="91" t="s">
        <v>211</v>
      </c>
      <c r="F597" s="92">
        <v>45231</v>
      </c>
      <c r="G597" s="91">
        <v>30</v>
      </c>
      <c r="H597" s="96">
        <v>45247</v>
      </c>
      <c r="I597" s="145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41" t="str">
        <f>IFERROR(Inv_SY!O598/Inv_SY!$Q598-1,"")</f>
        <v/>
      </c>
    </row>
    <row r="598" spans="1:21">
      <c r="A598" s="94" t="s">
        <v>210</v>
      </c>
      <c r="B598" s="91">
        <v>4</v>
      </c>
      <c r="C598" s="55">
        <v>2023</v>
      </c>
      <c r="D598" s="91" t="s">
        <v>211</v>
      </c>
      <c r="E598" s="91" t="s">
        <v>211</v>
      </c>
      <c r="F598" s="92">
        <v>45231</v>
      </c>
      <c r="G598" s="91">
        <v>30</v>
      </c>
      <c r="H598" s="96">
        <v>45248</v>
      </c>
      <c r="I598" s="145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41" t="str">
        <f>IFERROR(Inv_SY!O599/Inv_SY!$Q599-1,"")</f>
        <v/>
      </c>
    </row>
    <row r="599" spans="1:21">
      <c r="A599" s="94" t="s">
        <v>210</v>
      </c>
      <c r="B599" s="91">
        <v>4</v>
      </c>
      <c r="C599" s="55">
        <v>2023</v>
      </c>
      <c r="D599" s="91" t="s">
        <v>211</v>
      </c>
      <c r="E599" s="91" t="s">
        <v>211</v>
      </c>
      <c r="F599" s="92">
        <v>45231</v>
      </c>
      <c r="G599" s="91">
        <v>30</v>
      </c>
      <c r="H599" s="96">
        <v>45249</v>
      </c>
      <c r="I599" s="145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41" t="str">
        <f>IFERROR(Inv_SY!O600/Inv_SY!$Q600-1,"")</f>
        <v/>
      </c>
    </row>
    <row r="600" spans="1:21">
      <c r="A600" s="94" t="s">
        <v>210</v>
      </c>
      <c r="B600" s="91">
        <v>4</v>
      </c>
      <c r="C600" s="55">
        <v>2023</v>
      </c>
      <c r="D600" s="91" t="s">
        <v>211</v>
      </c>
      <c r="E600" s="91" t="s">
        <v>211</v>
      </c>
      <c r="F600" s="92">
        <v>45231</v>
      </c>
      <c r="G600" s="91">
        <v>30</v>
      </c>
      <c r="H600" s="96">
        <v>45250</v>
      </c>
      <c r="I600" s="145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41" t="str">
        <f>IFERROR(Inv_SY!O601/Inv_SY!$Q601-1,"")</f>
        <v/>
      </c>
    </row>
    <row r="601" spans="1:21">
      <c r="A601" s="94" t="s">
        <v>210</v>
      </c>
      <c r="B601" s="91">
        <v>4</v>
      </c>
      <c r="C601" s="55">
        <v>2023</v>
      </c>
      <c r="D601" s="91" t="s">
        <v>211</v>
      </c>
      <c r="E601" s="91" t="s">
        <v>211</v>
      </c>
      <c r="F601" s="92">
        <v>45231</v>
      </c>
      <c r="G601" s="91">
        <v>30</v>
      </c>
      <c r="H601" s="96">
        <v>45251</v>
      </c>
      <c r="I601" s="145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41" t="str">
        <f>IFERROR(Inv_SY!O602/Inv_SY!$Q602-1,"")</f>
        <v/>
      </c>
    </row>
    <row r="602" spans="1:21">
      <c r="A602" s="94" t="s">
        <v>210</v>
      </c>
      <c r="B602" s="91">
        <v>4</v>
      </c>
      <c r="C602" s="55">
        <v>2023</v>
      </c>
      <c r="D602" s="91" t="s">
        <v>211</v>
      </c>
      <c r="E602" s="91" t="s">
        <v>211</v>
      </c>
      <c r="F602" s="92">
        <v>45231</v>
      </c>
      <c r="G602" s="91">
        <v>30</v>
      </c>
      <c r="H602" s="96">
        <v>45252</v>
      </c>
      <c r="I602" s="145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41" t="str">
        <f>IFERROR(Inv_SY!O603/Inv_SY!$Q603-1,"")</f>
        <v/>
      </c>
    </row>
    <row r="603" spans="1:21">
      <c r="A603" s="94" t="s">
        <v>210</v>
      </c>
      <c r="B603" s="91">
        <v>4</v>
      </c>
      <c r="C603" s="55">
        <v>2023</v>
      </c>
      <c r="D603" s="91" t="s">
        <v>211</v>
      </c>
      <c r="E603" s="91" t="s">
        <v>211</v>
      </c>
      <c r="F603" s="92">
        <v>45231</v>
      </c>
      <c r="G603" s="91">
        <v>30</v>
      </c>
      <c r="H603" s="96">
        <v>45253</v>
      </c>
      <c r="I603" s="145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41" t="str">
        <f>IFERROR(Inv_SY!O604/Inv_SY!$Q604-1,"")</f>
        <v/>
      </c>
    </row>
    <row r="604" spans="1:21">
      <c r="A604" s="94" t="s">
        <v>210</v>
      </c>
      <c r="B604" s="91">
        <v>4</v>
      </c>
      <c r="C604" s="55">
        <v>2023</v>
      </c>
      <c r="D604" s="91" t="s">
        <v>211</v>
      </c>
      <c r="E604" s="91" t="s">
        <v>211</v>
      </c>
      <c r="F604" s="92">
        <v>45231</v>
      </c>
      <c r="G604" s="91">
        <v>30</v>
      </c>
      <c r="H604" s="96">
        <v>45254</v>
      </c>
      <c r="I604" s="145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41" t="str">
        <f>IFERROR(Inv_SY!O605/Inv_SY!$Q605-1,"")</f>
        <v/>
      </c>
    </row>
    <row r="605" spans="1:21">
      <c r="A605" s="94" t="s">
        <v>210</v>
      </c>
      <c r="B605" s="91">
        <v>4</v>
      </c>
      <c r="C605" s="55">
        <v>2023</v>
      </c>
      <c r="D605" s="91" t="s">
        <v>211</v>
      </c>
      <c r="E605" s="91" t="s">
        <v>211</v>
      </c>
      <c r="F605" s="92">
        <v>45231</v>
      </c>
      <c r="G605" s="91">
        <v>30</v>
      </c>
      <c r="H605" s="96">
        <v>45255</v>
      </c>
      <c r="I605" s="145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41" t="str">
        <f>IFERROR(Inv_SY!O606/Inv_SY!$Q606-1,"")</f>
        <v/>
      </c>
    </row>
    <row r="606" spans="1:21">
      <c r="A606" s="94" t="s">
        <v>210</v>
      </c>
      <c r="B606" s="91">
        <v>4</v>
      </c>
      <c r="C606" s="55">
        <v>2023</v>
      </c>
      <c r="D606" s="91" t="s">
        <v>211</v>
      </c>
      <c r="E606" s="91" t="s">
        <v>211</v>
      </c>
      <c r="F606" s="92">
        <v>45231</v>
      </c>
      <c r="G606" s="91">
        <v>30</v>
      </c>
      <c r="H606" s="93">
        <v>45256</v>
      </c>
      <c r="I606" s="145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41" t="str">
        <f>IFERROR(Inv_SY!O607/Inv_SY!$Q607-1,"")</f>
        <v/>
      </c>
    </row>
    <row r="607" spans="1:21">
      <c r="A607" s="94" t="s">
        <v>210</v>
      </c>
      <c r="B607" s="91">
        <v>4</v>
      </c>
      <c r="C607" s="55">
        <v>2023</v>
      </c>
      <c r="D607" s="91" t="s">
        <v>211</v>
      </c>
      <c r="E607" s="91" t="s">
        <v>211</v>
      </c>
      <c r="F607" s="92">
        <v>45231</v>
      </c>
      <c r="G607" s="91">
        <v>30</v>
      </c>
      <c r="H607" s="93">
        <v>45257</v>
      </c>
      <c r="I607" s="145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41" t="str">
        <f>IFERROR(Inv_SY!O608/Inv_SY!$Q608-1,"")</f>
        <v/>
      </c>
    </row>
    <row r="608" spans="1:21">
      <c r="A608" s="94" t="s">
        <v>210</v>
      </c>
      <c r="B608" s="91">
        <v>4</v>
      </c>
      <c r="C608" s="55">
        <v>2023</v>
      </c>
      <c r="D608" s="91" t="s">
        <v>211</v>
      </c>
      <c r="E608" s="91" t="s">
        <v>211</v>
      </c>
      <c r="F608" s="92">
        <v>45231</v>
      </c>
      <c r="G608" s="91">
        <v>30</v>
      </c>
      <c r="H608" s="93">
        <v>45258</v>
      </c>
      <c r="I608" s="145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41" t="str">
        <f>IFERROR(Inv_SY!O609/Inv_SY!$Q609-1,"")</f>
        <v/>
      </c>
    </row>
    <row r="609" spans="1:21">
      <c r="A609" s="94" t="s">
        <v>210</v>
      </c>
      <c r="B609" s="91">
        <v>4</v>
      </c>
      <c r="C609" s="55">
        <v>2023</v>
      </c>
      <c r="D609" s="91" t="s">
        <v>211</v>
      </c>
      <c r="E609" s="91" t="s">
        <v>211</v>
      </c>
      <c r="F609" s="92">
        <v>45231</v>
      </c>
      <c r="G609" s="91">
        <v>30</v>
      </c>
      <c r="H609" s="93">
        <v>45259</v>
      </c>
      <c r="I609" s="145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41" t="str">
        <f>IFERROR(Inv_SY!O610/Inv_SY!$Q610-1,"")</f>
        <v/>
      </c>
    </row>
    <row r="610" spans="1:21">
      <c r="A610" s="94" t="s">
        <v>210</v>
      </c>
      <c r="B610" s="91">
        <v>4</v>
      </c>
      <c r="C610" s="55">
        <v>2023</v>
      </c>
      <c r="D610" s="91" t="s">
        <v>211</v>
      </c>
      <c r="E610" s="91" t="s">
        <v>211</v>
      </c>
      <c r="F610" s="92">
        <v>45231</v>
      </c>
      <c r="G610" s="91">
        <v>30</v>
      </c>
      <c r="H610" s="93">
        <v>45260</v>
      </c>
      <c r="I610" s="145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41" t="str">
        <f>IFERROR(Inv_SY!O611/Inv_SY!$Q611-1,"")</f>
        <v/>
      </c>
    </row>
    <row r="611" spans="1:21">
      <c r="A611" s="94" t="s">
        <v>210</v>
      </c>
      <c r="B611" s="91">
        <v>4</v>
      </c>
      <c r="C611" s="55">
        <v>2023</v>
      </c>
      <c r="D611" s="91" t="s">
        <v>211</v>
      </c>
      <c r="E611" s="91" t="s">
        <v>211</v>
      </c>
      <c r="F611" s="92">
        <v>45261</v>
      </c>
      <c r="G611" s="91">
        <v>31</v>
      </c>
      <c r="H611" s="93">
        <v>45261</v>
      </c>
      <c r="I611" s="145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41" t="str">
        <f>IFERROR(Inv_SY!O612/Inv_SY!$Q612-1,"")</f>
        <v/>
      </c>
    </row>
    <row r="612" spans="1:21">
      <c r="A612" s="94" t="s">
        <v>210</v>
      </c>
      <c r="B612" s="91">
        <v>4</v>
      </c>
      <c r="C612" s="55">
        <v>2023</v>
      </c>
      <c r="D612" s="91" t="s">
        <v>211</v>
      </c>
      <c r="E612" s="91" t="s">
        <v>211</v>
      </c>
      <c r="F612" s="92">
        <v>45261</v>
      </c>
      <c r="G612" s="91">
        <v>31</v>
      </c>
      <c r="H612" s="93">
        <v>45262</v>
      </c>
      <c r="I612" s="145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41" t="str">
        <f>IFERROR(Inv_SY!O613/Inv_SY!$Q613-1,"")</f>
        <v/>
      </c>
    </row>
    <row r="613" spans="1:21">
      <c r="A613" s="94" t="s">
        <v>210</v>
      </c>
      <c r="B613" s="91">
        <v>4</v>
      </c>
      <c r="C613" s="55">
        <v>2023</v>
      </c>
      <c r="D613" s="91" t="s">
        <v>211</v>
      </c>
      <c r="E613" s="91" t="s">
        <v>211</v>
      </c>
      <c r="F613" s="92">
        <v>45261</v>
      </c>
      <c r="G613" s="91">
        <v>31</v>
      </c>
      <c r="H613" s="93">
        <v>45263</v>
      </c>
      <c r="I613" s="145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41" t="str">
        <f>IFERROR(Inv_SY!O614/Inv_SY!$Q614-1,"")</f>
        <v/>
      </c>
    </row>
    <row r="614" spans="1:21">
      <c r="A614" s="94" t="s">
        <v>210</v>
      </c>
      <c r="B614" s="91">
        <v>4</v>
      </c>
      <c r="C614" s="55">
        <v>2023</v>
      </c>
      <c r="D614" s="91" t="s">
        <v>211</v>
      </c>
      <c r="E614" s="91" t="s">
        <v>211</v>
      </c>
      <c r="F614" s="92">
        <v>45261</v>
      </c>
      <c r="G614" s="91">
        <v>31</v>
      </c>
      <c r="H614" s="93">
        <v>45264</v>
      </c>
      <c r="I614" s="145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41" t="str">
        <f>IFERROR(Inv_SY!O615/Inv_SY!$Q615-1,"")</f>
        <v/>
      </c>
    </row>
    <row r="615" spans="1:21">
      <c r="A615" s="94" t="s">
        <v>210</v>
      </c>
      <c r="B615" s="91">
        <v>4</v>
      </c>
      <c r="C615" s="55">
        <v>2023</v>
      </c>
      <c r="D615" s="91" t="s">
        <v>211</v>
      </c>
      <c r="E615" s="91" t="s">
        <v>211</v>
      </c>
      <c r="F615" s="92">
        <v>45261</v>
      </c>
      <c r="G615" s="91">
        <v>31</v>
      </c>
      <c r="H615" s="93">
        <v>45265</v>
      </c>
      <c r="I615" s="145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41" t="str">
        <f>IFERROR(Inv_SY!O616/Inv_SY!$Q616-1,"")</f>
        <v/>
      </c>
    </row>
    <row r="616" spans="1:21">
      <c r="A616" s="94" t="s">
        <v>210</v>
      </c>
      <c r="B616" s="91">
        <v>4</v>
      </c>
      <c r="C616" s="55">
        <v>2023</v>
      </c>
      <c r="D616" s="91" t="s">
        <v>211</v>
      </c>
      <c r="E616" s="91" t="s">
        <v>211</v>
      </c>
      <c r="F616" s="92">
        <v>45261</v>
      </c>
      <c r="G616" s="91">
        <v>31</v>
      </c>
      <c r="H616" s="93">
        <v>45266</v>
      </c>
      <c r="I616" s="145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41" t="str">
        <f>IFERROR(Inv_SY!O617/Inv_SY!$Q617-1,"")</f>
        <v/>
      </c>
    </row>
    <row r="617" spans="1:21">
      <c r="A617" s="94" t="s">
        <v>210</v>
      </c>
      <c r="B617" s="91">
        <v>4</v>
      </c>
      <c r="C617" s="55">
        <v>2023</v>
      </c>
      <c r="D617" s="91" t="s">
        <v>211</v>
      </c>
      <c r="E617" s="91" t="s">
        <v>211</v>
      </c>
      <c r="F617" s="92">
        <v>45261</v>
      </c>
      <c r="G617" s="91">
        <v>31</v>
      </c>
      <c r="H617" s="93">
        <v>45267</v>
      </c>
      <c r="I617" s="145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41" t="str">
        <f>IFERROR(Inv_SY!O618/Inv_SY!$Q618-1,"")</f>
        <v/>
      </c>
    </row>
    <row r="618" spans="1:21">
      <c r="A618" s="94" t="s">
        <v>210</v>
      </c>
      <c r="B618" s="91">
        <v>4</v>
      </c>
      <c r="C618" s="55">
        <v>2023</v>
      </c>
      <c r="D618" s="91" t="s">
        <v>211</v>
      </c>
      <c r="E618" s="91" t="s">
        <v>211</v>
      </c>
      <c r="F618" s="92">
        <v>45261</v>
      </c>
      <c r="G618" s="91">
        <v>31</v>
      </c>
      <c r="H618" s="93">
        <v>45268</v>
      </c>
      <c r="I618" s="145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41" t="str">
        <f>IFERROR(Inv_SY!O619/Inv_SY!$Q619-1,"")</f>
        <v/>
      </c>
    </row>
    <row r="619" spans="1:21">
      <c r="A619" s="94" t="s">
        <v>210</v>
      </c>
      <c r="B619" s="91">
        <v>4</v>
      </c>
      <c r="C619" s="55">
        <v>2023</v>
      </c>
      <c r="D619" s="91" t="s">
        <v>211</v>
      </c>
      <c r="E619" s="91" t="s">
        <v>211</v>
      </c>
      <c r="F619" s="92">
        <v>45261</v>
      </c>
      <c r="G619" s="91">
        <v>31</v>
      </c>
      <c r="H619" s="93">
        <v>45269</v>
      </c>
      <c r="I619" s="145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41" t="str">
        <f>IFERROR(Inv_SY!O620/Inv_SY!$Q620-1,"")</f>
        <v/>
      </c>
    </row>
    <row r="620" spans="1:21">
      <c r="A620" s="94" t="s">
        <v>210</v>
      </c>
      <c r="B620" s="91">
        <v>4</v>
      </c>
      <c r="C620" s="55">
        <v>2023</v>
      </c>
      <c r="D620" s="91" t="s">
        <v>211</v>
      </c>
      <c r="E620" s="91" t="s">
        <v>211</v>
      </c>
      <c r="F620" s="92">
        <v>45261</v>
      </c>
      <c r="G620" s="91">
        <v>31</v>
      </c>
      <c r="H620" s="93">
        <v>45270</v>
      </c>
      <c r="I620" s="145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41" t="str">
        <f>IFERROR(Inv_SY!O621/Inv_SY!$Q621-1,"")</f>
        <v/>
      </c>
    </row>
    <row r="621" spans="1:21">
      <c r="A621" s="94" t="s">
        <v>210</v>
      </c>
      <c r="B621" s="91">
        <v>4</v>
      </c>
      <c r="C621" s="55">
        <v>2023</v>
      </c>
      <c r="D621" s="91" t="s">
        <v>211</v>
      </c>
      <c r="E621" s="91" t="s">
        <v>211</v>
      </c>
      <c r="F621" s="92">
        <v>45261</v>
      </c>
      <c r="G621" s="91">
        <v>31</v>
      </c>
      <c r="H621" s="93">
        <v>45271</v>
      </c>
      <c r="I621" s="145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41" t="str">
        <f>IFERROR(Inv_SY!O622/Inv_SY!$Q622-1,"")</f>
        <v/>
      </c>
    </row>
    <row r="622" spans="1:21">
      <c r="A622" s="94" t="s">
        <v>210</v>
      </c>
      <c r="B622" s="91">
        <v>4</v>
      </c>
      <c r="C622" s="55">
        <v>2023</v>
      </c>
      <c r="D622" s="91" t="s">
        <v>211</v>
      </c>
      <c r="E622" s="91" t="s">
        <v>211</v>
      </c>
      <c r="F622" s="92">
        <v>45261</v>
      </c>
      <c r="G622" s="91">
        <v>31</v>
      </c>
      <c r="H622" s="93">
        <v>45272</v>
      </c>
      <c r="I622" s="145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41" t="str">
        <f>IFERROR(Inv_SY!O623/Inv_SY!$Q623-1,"")</f>
        <v/>
      </c>
    </row>
    <row r="623" spans="1:21">
      <c r="A623" s="94" t="s">
        <v>210</v>
      </c>
      <c r="B623" s="91">
        <v>4</v>
      </c>
      <c r="C623" s="55">
        <v>2023</v>
      </c>
      <c r="D623" s="91" t="s">
        <v>211</v>
      </c>
      <c r="E623" s="91" t="s">
        <v>211</v>
      </c>
      <c r="F623" s="92">
        <v>45261</v>
      </c>
      <c r="G623" s="91">
        <v>31</v>
      </c>
      <c r="H623" s="93">
        <v>45273</v>
      </c>
      <c r="I623" s="145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41" t="str">
        <f>IFERROR(Inv_SY!O624/Inv_SY!$Q624-1,"")</f>
        <v/>
      </c>
    </row>
    <row r="624" spans="1:21">
      <c r="A624" s="94" t="s">
        <v>210</v>
      </c>
      <c r="B624" s="91">
        <v>4</v>
      </c>
      <c r="C624" s="55">
        <v>2023</v>
      </c>
      <c r="D624" s="91" t="s">
        <v>211</v>
      </c>
      <c r="E624" s="91" t="s">
        <v>211</v>
      </c>
      <c r="F624" s="92">
        <v>45261</v>
      </c>
      <c r="G624" s="91">
        <v>31</v>
      </c>
      <c r="H624" s="93">
        <v>45274</v>
      </c>
      <c r="I624" s="145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41" t="str">
        <f>IFERROR(Inv_SY!O625/Inv_SY!$Q625-1,"")</f>
        <v/>
      </c>
    </row>
    <row r="625" spans="1:21">
      <c r="A625" s="94" t="s">
        <v>210</v>
      </c>
      <c r="B625" s="91">
        <v>4</v>
      </c>
      <c r="C625" s="55">
        <v>2023</v>
      </c>
      <c r="D625" s="91" t="s">
        <v>211</v>
      </c>
      <c r="E625" s="91" t="s">
        <v>211</v>
      </c>
      <c r="F625" s="92">
        <v>45261</v>
      </c>
      <c r="G625" s="91">
        <v>31</v>
      </c>
      <c r="H625" s="93">
        <v>45275</v>
      </c>
      <c r="I625" s="145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41" t="str">
        <f>IFERROR(Inv_SY!O626/Inv_SY!$Q626-1,"")</f>
        <v/>
      </c>
    </row>
    <row r="626" spans="1:21">
      <c r="A626" s="94" t="s">
        <v>210</v>
      </c>
      <c r="B626" s="91">
        <v>4</v>
      </c>
      <c r="C626" s="55">
        <v>2023</v>
      </c>
      <c r="D626" s="91" t="s">
        <v>211</v>
      </c>
      <c r="E626" s="91" t="s">
        <v>211</v>
      </c>
      <c r="F626" s="92">
        <v>45261</v>
      </c>
      <c r="G626" s="91">
        <v>31</v>
      </c>
      <c r="H626" s="93">
        <v>45276</v>
      </c>
      <c r="I626" s="145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41" t="str">
        <f>IFERROR(Inv_SY!O627/Inv_SY!$Q627-1,"")</f>
        <v/>
      </c>
    </row>
    <row r="627" spans="1:21">
      <c r="A627" s="94" t="s">
        <v>210</v>
      </c>
      <c r="B627" s="91">
        <v>4</v>
      </c>
      <c r="C627" s="55">
        <v>2023</v>
      </c>
      <c r="D627" s="91" t="s">
        <v>211</v>
      </c>
      <c r="E627" s="91" t="s">
        <v>211</v>
      </c>
      <c r="F627" s="92">
        <v>45261</v>
      </c>
      <c r="G627" s="91">
        <v>31</v>
      </c>
      <c r="H627" s="93">
        <v>45277</v>
      </c>
      <c r="I627" s="145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41" t="str">
        <f>IFERROR(Inv_SY!O628/Inv_SY!$Q628-1,"")</f>
        <v/>
      </c>
    </row>
    <row r="628" spans="1:21">
      <c r="A628" s="94" t="s">
        <v>210</v>
      </c>
      <c r="B628" s="91">
        <v>4</v>
      </c>
      <c r="C628" s="55">
        <v>2023</v>
      </c>
      <c r="D628" s="91" t="s">
        <v>211</v>
      </c>
      <c r="E628" s="91" t="s">
        <v>211</v>
      </c>
      <c r="F628" s="92">
        <v>45261</v>
      </c>
      <c r="G628" s="91">
        <v>31</v>
      </c>
      <c r="H628" s="93">
        <v>45278</v>
      </c>
      <c r="I628" s="145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41" t="str">
        <f>IFERROR(Inv_SY!O629/Inv_SY!$Q629-1,"")</f>
        <v/>
      </c>
    </row>
    <row r="629" spans="1:21">
      <c r="A629" s="94" t="s">
        <v>210</v>
      </c>
      <c r="B629" s="91">
        <v>4</v>
      </c>
      <c r="C629" s="55">
        <v>2023</v>
      </c>
      <c r="D629" s="91" t="s">
        <v>211</v>
      </c>
      <c r="E629" s="91" t="s">
        <v>211</v>
      </c>
      <c r="F629" s="92">
        <v>45261</v>
      </c>
      <c r="G629" s="91">
        <v>31</v>
      </c>
      <c r="H629" s="93">
        <v>45279</v>
      </c>
      <c r="I629" s="145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41" t="str">
        <f>IFERROR(Inv_SY!O630/Inv_SY!$Q630-1,"")</f>
        <v/>
      </c>
    </row>
    <row r="630" spans="1:21">
      <c r="A630" s="94" t="s">
        <v>210</v>
      </c>
      <c r="B630" s="91">
        <v>4</v>
      </c>
      <c r="C630" s="55">
        <v>2023</v>
      </c>
      <c r="D630" s="91" t="s">
        <v>211</v>
      </c>
      <c r="E630" s="91" t="s">
        <v>211</v>
      </c>
      <c r="F630" s="92">
        <v>45261</v>
      </c>
      <c r="G630" s="91">
        <v>31</v>
      </c>
      <c r="H630" s="93">
        <v>45280</v>
      </c>
      <c r="I630" s="145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41" t="str">
        <f>IFERROR(Inv_SY!O631/Inv_SY!$Q631-1,"")</f>
        <v/>
      </c>
    </row>
    <row r="631" spans="1:21">
      <c r="A631" s="94" t="s">
        <v>210</v>
      </c>
      <c r="B631" s="91">
        <v>4</v>
      </c>
      <c r="C631" s="55">
        <v>2023</v>
      </c>
      <c r="D631" s="91" t="s">
        <v>211</v>
      </c>
      <c r="E631" s="91" t="s">
        <v>211</v>
      </c>
      <c r="F631" s="92">
        <v>45261</v>
      </c>
      <c r="G631" s="91">
        <v>31</v>
      </c>
      <c r="H631" s="93">
        <v>45281</v>
      </c>
      <c r="I631" s="145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41" t="str">
        <f>IFERROR(Inv_SY!O632/Inv_SY!$Q632-1,"")</f>
        <v/>
      </c>
    </row>
    <row r="632" spans="1:21">
      <c r="A632" s="94" t="s">
        <v>210</v>
      </c>
      <c r="B632" s="91">
        <v>4</v>
      </c>
      <c r="C632" s="55">
        <v>2023</v>
      </c>
      <c r="D632" s="91" t="s">
        <v>211</v>
      </c>
      <c r="E632" s="91" t="s">
        <v>211</v>
      </c>
      <c r="F632" s="92">
        <v>45261</v>
      </c>
      <c r="G632" s="91">
        <v>31</v>
      </c>
      <c r="H632" s="93">
        <v>45282</v>
      </c>
      <c r="I632" s="145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41" t="str">
        <f>IFERROR(Inv_SY!O633/Inv_SY!$Q633-1,"")</f>
        <v/>
      </c>
    </row>
    <row r="633" spans="1:21">
      <c r="A633" s="94" t="s">
        <v>210</v>
      </c>
      <c r="B633" s="91">
        <v>4</v>
      </c>
      <c r="C633" s="55">
        <v>2023</v>
      </c>
      <c r="D633" s="91" t="s">
        <v>211</v>
      </c>
      <c r="E633" s="91" t="s">
        <v>211</v>
      </c>
      <c r="F633" s="92">
        <v>45261</v>
      </c>
      <c r="G633" s="91">
        <v>31</v>
      </c>
      <c r="H633" s="93">
        <v>45283</v>
      </c>
      <c r="I633" s="145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41" t="str">
        <f>IFERROR(Inv_SY!O634/Inv_SY!$Q634-1,"")</f>
        <v/>
      </c>
    </row>
    <row r="634" spans="1:21">
      <c r="A634" s="94" t="s">
        <v>210</v>
      </c>
      <c r="B634" s="91">
        <v>4</v>
      </c>
      <c r="C634" s="55">
        <v>2023</v>
      </c>
      <c r="D634" s="91" t="s">
        <v>211</v>
      </c>
      <c r="E634" s="91" t="s">
        <v>211</v>
      </c>
      <c r="F634" s="92">
        <v>45261</v>
      </c>
      <c r="G634" s="91">
        <v>31</v>
      </c>
      <c r="H634" s="93">
        <v>45284</v>
      </c>
      <c r="I634" s="145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41" t="str">
        <f>IFERROR(Inv_SY!O635/Inv_SY!$Q635-1,"")</f>
        <v/>
      </c>
    </row>
    <row r="635" spans="1:21">
      <c r="A635" s="94" t="s">
        <v>210</v>
      </c>
      <c r="B635" s="91">
        <v>4</v>
      </c>
      <c r="C635" s="55">
        <v>2023</v>
      </c>
      <c r="D635" s="91" t="s">
        <v>211</v>
      </c>
      <c r="E635" s="91" t="s">
        <v>211</v>
      </c>
      <c r="F635" s="92">
        <v>45261</v>
      </c>
      <c r="G635" s="91">
        <v>31</v>
      </c>
      <c r="H635" s="93">
        <v>45285</v>
      </c>
      <c r="I635" s="145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41" t="str">
        <f>IFERROR(Inv_SY!O636/Inv_SY!$Q636-1,"")</f>
        <v/>
      </c>
    </row>
    <row r="636" spans="1:21">
      <c r="A636" s="94" t="s">
        <v>210</v>
      </c>
      <c r="B636" s="91">
        <v>4</v>
      </c>
      <c r="C636" s="55">
        <v>2023</v>
      </c>
      <c r="D636" s="91" t="s">
        <v>211</v>
      </c>
      <c r="E636" s="91" t="s">
        <v>211</v>
      </c>
      <c r="F636" s="92">
        <v>45261</v>
      </c>
      <c r="G636" s="91">
        <v>31</v>
      </c>
      <c r="H636" s="93">
        <v>45286</v>
      </c>
      <c r="I636" s="145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41" t="str">
        <f>IFERROR(Inv_SY!O637/Inv_SY!$Q637-1,"")</f>
        <v/>
      </c>
    </row>
    <row r="637" spans="1:21">
      <c r="A637" s="94" t="s">
        <v>210</v>
      </c>
      <c r="B637" s="91">
        <v>4</v>
      </c>
      <c r="C637" s="55">
        <v>2023</v>
      </c>
      <c r="D637" s="91" t="s">
        <v>211</v>
      </c>
      <c r="E637" s="91" t="s">
        <v>211</v>
      </c>
      <c r="F637" s="92">
        <v>45261</v>
      </c>
      <c r="G637" s="91">
        <v>31</v>
      </c>
      <c r="H637" s="93">
        <v>45287</v>
      </c>
      <c r="I637" s="145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41" t="str">
        <f>IFERROR(Inv_SY!O638/Inv_SY!$Q638-1,"")</f>
        <v/>
      </c>
    </row>
    <row r="638" spans="1:21">
      <c r="A638" s="94" t="s">
        <v>210</v>
      </c>
      <c r="B638" s="91">
        <v>4</v>
      </c>
      <c r="C638" s="55">
        <v>2023</v>
      </c>
      <c r="D638" s="91" t="s">
        <v>211</v>
      </c>
      <c r="E638" s="91" t="s">
        <v>211</v>
      </c>
      <c r="F638" s="92">
        <v>45261</v>
      </c>
      <c r="G638" s="91">
        <v>31</v>
      </c>
      <c r="H638" s="93">
        <v>45288</v>
      </c>
      <c r="I638" s="145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41" t="str">
        <f>IFERROR(Inv_SY!O639/Inv_SY!$Q639-1,"")</f>
        <v/>
      </c>
    </row>
    <row r="639" spans="1:21">
      <c r="A639" s="94" t="s">
        <v>210</v>
      </c>
      <c r="B639" s="91">
        <v>4</v>
      </c>
      <c r="C639" s="55">
        <v>2023</v>
      </c>
      <c r="D639" s="91" t="s">
        <v>211</v>
      </c>
      <c r="E639" s="91" t="s">
        <v>211</v>
      </c>
      <c r="F639" s="92">
        <v>45261</v>
      </c>
      <c r="G639" s="91">
        <v>31</v>
      </c>
      <c r="H639" s="93">
        <v>45289</v>
      </c>
      <c r="I639" s="145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41" t="str">
        <f>IFERROR(Inv_SY!O640/Inv_SY!$Q640-1,"")</f>
        <v/>
      </c>
    </row>
    <row r="640" spans="1:21">
      <c r="A640" s="94" t="s">
        <v>210</v>
      </c>
      <c r="B640" s="91">
        <v>4</v>
      </c>
      <c r="C640" s="55">
        <v>2023</v>
      </c>
      <c r="D640" s="91" t="s">
        <v>211</v>
      </c>
      <c r="E640" s="91" t="s">
        <v>211</v>
      </c>
      <c r="F640" s="92">
        <v>45261</v>
      </c>
      <c r="G640" s="91">
        <v>31</v>
      </c>
      <c r="H640" s="93">
        <v>45290</v>
      </c>
      <c r="I640" s="145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41" t="str">
        <f>IFERROR(Inv_SY!O641/Inv_SY!$Q641-1,"")</f>
        <v/>
      </c>
    </row>
    <row r="641" spans="1:21">
      <c r="A641" s="94" t="s">
        <v>210</v>
      </c>
      <c r="B641" s="91">
        <v>4</v>
      </c>
      <c r="C641" s="55">
        <v>2023</v>
      </c>
      <c r="D641" s="91" t="s">
        <v>211</v>
      </c>
      <c r="E641" s="91" t="s">
        <v>211</v>
      </c>
      <c r="F641" s="92">
        <v>45261</v>
      </c>
      <c r="G641" s="91">
        <v>31</v>
      </c>
      <c r="H641" s="93">
        <v>45291</v>
      </c>
      <c r="I641" s="145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41" t="str">
        <f>IFERROR(Inv_SY!O642/Inv_SY!$Q642-1,"")</f>
        <v/>
      </c>
    </row>
    <row r="642" spans="1:21">
      <c r="A642" s="94" t="s">
        <v>210</v>
      </c>
      <c r="B642" s="91">
        <v>4</v>
      </c>
      <c r="C642" s="91">
        <v>2024</v>
      </c>
      <c r="D642" s="91" t="s">
        <v>211</v>
      </c>
      <c r="E642" s="91" t="s">
        <v>211</v>
      </c>
      <c r="F642" s="92">
        <v>45292</v>
      </c>
      <c r="G642" s="91">
        <v>31</v>
      </c>
      <c r="H642" s="93">
        <v>45292</v>
      </c>
      <c r="I642" s="145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41" t="str">
        <f>IFERROR(Inv_SY!O643/Inv_SY!$Q643-1,"")</f>
        <v/>
      </c>
    </row>
    <row r="643" spans="1:21">
      <c r="A643" s="94" t="s">
        <v>210</v>
      </c>
      <c r="B643" s="91">
        <v>4</v>
      </c>
      <c r="C643" s="91">
        <v>2024</v>
      </c>
      <c r="D643" s="91" t="s">
        <v>211</v>
      </c>
      <c r="E643" s="91" t="s">
        <v>211</v>
      </c>
      <c r="F643" s="92">
        <v>45292</v>
      </c>
      <c r="G643" s="91">
        <v>31</v>
      </c>
      <c r="H643" s="93">
        <v>45293</v>
      </c>
      <c r="I643" s="145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41" t="str">
        <f>IFERROR(Inv_SY!O644/Inv_SY!$Q644-1,"")</f>
        <v/>
      </c>
    </row>
    <row r="644" spans="1:21">
      <c r="A644" s="94" t="s">
        <v>210</v>
      </c>
      <c r="B644" s="91">
        <v>4</v>
      </c>
      <c r="C644" s="91">
        <v>2024</v>
      </c>
      <c r="D644" s="91" t="s">
        <v>211</v>
      </c>
      <c r="E644" s="91" t="s">
        <v>211</v>
      </c>
      <c r="F644" s="92">
        <v>45292</v>
      </c>
      <c r="G644" s="91">
        <v>31</v>
      </c>
      <c r="H644" s="93">
        <v>45294</v>
      </c>
      <c r="I644" s="145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41" t="str">
        <f>IFERROR(Inv_SY!O645/Inv_SY!$Q645-1,"")</f>
        <v/>
      </c>
    </row>
    <row r="645" spans="1:21">
      <c r="A645" s="94" t="s">
        <v>210</v>
      </c>
      <c r="B645" s="91">
        <v>4</v>
      </c>
      <c r="C645" s="91">
        <v>2024</v>
      </c>
      <c r="D645" s="91" t="s">
        <v>211</v>
      </c>
      <c r="E645" s="91" t="s">
        <v>211</v>
      </c>
      <c r="F645" s="92">
        <v>45292</v>
      </c>
      <c r="G645" s="91">
        <v>31</v>
      </c>
      <c r="H645" s="93">
        <v>45295</v>
      </c>
      <c r="I645" s="145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41" t="str">
        <f>IFERROR(Inv_SY!O646/Inv_SY!$Q646-1,"")</f>
        <v/>
      </c>
    </row>
    <row r="646" spans="1:21">
      <c r="A646" s="94" t="s">
        <v>210</v>
      </c>
      <c r="B646" s="91">
        <v>4</v>
      </c>
      <c r="C646" s="91">
        <v>2024</v>
      </c>
      <c r="D646" s="91" t="s">
        <v>211</v>
      </c>
      <c r="E646" s="91" t="s">
        <v>211</v>
      </c>
      <c r="F646" s="92">
        <v>45292</v>
      </c>
      <c r="G646" s="91">
        <v>31</v>
      </c>
      <c r="H646" s="93">
        <v>45296</v>
      </c>
      <c r="I646" s="145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41" t="str">
        <f>IFERROR(Inv_SY!O647/Inv_SY!$Q647-1,"")</f>
        <v/>
      </c>
    </row>
    <row r="647" spans="1:21">
      <c r="A647" s="94" t="s">
        <v>210</v>
      </c>
      <c r="B647" s="91">
        <v>4</v>
      </c>
      <c r="C647" s="91">
        <v>2024</v>
      </c>
      <c r="D647" s="91" t="s">
        <v>211</v>
      </c>
      <c r="E647" s="91" t="s">
        <v>211</v>
      </c>
      <c r="F647" s="92">
        <v>45292</v>
      </c>
      <c r="G647" s="91">
        <v>31</v>
      </c>
      <c r="H647" s="93">
        <v>45297</v>
      </c>
      <c r="I647" s="145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41" t="str">
        <f>IFERROR(Inv_SY!O648/Inv_SY!$Q648-1,"")</f>
        <v/>
      </c>
    </row>
    <row r="648" spans="1:21">
      <c r="A648" s="94" t="s">
        <v>210</v>
      </c>
      <c r="B648" s="91">
        <v>4</v>
      </c>
      <c r="C648" s="91">
        <v>2024</v>
      </c>
      <c r="D648" s="91" t="s">
        <v>211</v>
      </c>
      <c r="E648" s="91" t="s">
        <v>211</v>
      </c>
      <c r="F648" s="92">
        <v>45292</v>
      </c>
      <c r="G648" s="91">
        <v>31</v>
      </c>
      <c r="H648" s="93">
        <v>45298</v>
      </c>
      <c r="I648" s="145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41" t="str">
        <f>IFERROR(Inv_SY!O649/Inv_SY!$Q649-1,"")</f>
        <v/>
      </c>
    </row>
    <row r="649" spans="1:21">
      <c r="A649" s="94" t="s">
        <v>210</v>
      </c>
      <c r="B649" s="91">
        <v>4</v>
      </c>
      <c r="C649" s="91">
        <v>2024</v>
      </c>
      <c r="D649" s="91" t="s">
        <v>211</v>
      </c>
      <c r="E649" s="91" t="s">
        <v>211</v>
      </c>
      <c r="F649" s="92">
        <v>45292</v>
      </c>
      <c r="G649" s="91">
        <v>31</v>
      </c>
      <c r="H649" s="93">
        <v>45299</v>
      </c>
      <c r="I649" s="145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41" t="str">
        <f>IFERROR(Inv_SY!O650/Inv_SY!$Q650-1,"")</f>
        <v/>
      </c>
    </row>
    <row r="650" spans="1:21">
      <c r="A650" s="94" t="s">
        <v>210</v>
      </c>
      <c r="B650" s="91">
        <v>4</v>
      </c>
      <c r="C650" s="91">
        <v>2024</v>
      </c>
      <c r="D650" s="91" t="s">
        <v>211</v>
      </c>
      <c r="E650" s="91" t="s">
        <v>211</v>
      </c>
      <c r="F650" s="92">
        <v>45292</v>
      </c>
      <c r="G650" s="91">
        <v>31</v>
      </c>
      <c r="H650" s="93">
        <v>45300</v>
      </c>
      <c r="I650" s="145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41" t="str">
        <f>IFERROR(Inv_SY!O651/Inv_SY!$Q651-1,"")</f>
        <v/>
      </c>
    </row>
    <row r="651" spans="1:21">
      <c r="A651" s="94" t="s">
        <v>210</v>
      </c>
      <c r="B651" s="91">
        <v>4</v>
      </c>
      <c r="C651" s="91">
        <v>2024</v>
      </c>
      <c r="D651" s="91" t="s">
        <v>211</v>
      </c>
      <c r="E651" s="91" t="s">
        <v>211</v>
      </c>
      <c r="F651" s="92">
        <v>45292</v>
      </c>
      <c r="G651" s="91">
        <v>31</v>
      </c>
      <c r="H651" s="93">
        <v>45301</v>
      </c>
      <c r="I651" s="145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41" t="str">
        <f>IFERROR(Inv_SY!O652/Inv_SY!$Q652-1,"")</f>
        <v/>
      </c>
    </row>
    <row r="652" spans="1:21">
      <c r="A652" s="94" t="s">
        <v>210</v>
      </c>
      <c r="B652" s="91">
        <v>4</v>
      </c>
      <c r="C652" s="91">
        <v>2024</v>
      </c>
      <c r="D652" s="91" t="s">
        <v>211</v>
      </c>
      <c r="E652" s="91" t="s">
        <v>211</v>
      </c>
      <c r="F652" s="92">
        <v>45292</v>
      </c>
      <c r="G652" s="91">
        <v>31</v>
      </c>
      <c r="H652" s="93">
        <v>45302</v>
      </c>
      <c r="I652" s="145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41" t="str">
        <f>IFERROR(Inv_SY!O653/Inv_SY!$Q653-1,"")</f>
        <v/>
      </c>
    </row>
    <row r="653" spans="1:21">
      <c r="A653" s="94" t="s">
        <v>210</v>
      </c>
      <c r="B653" s="91">
        <v>4</v>
      </c>
      <c r="C653" s="91">
        <v>2024</v>
      </c>
      <c r="D653" s="91" t="s">
        <v>211</v>
      </c>
      <c r="E653" s="91" t="s">
        <v>211</v>
      </c>
      <c r="F653" s="92">
        <v>45292</v>
      </c>
      <c r="G653" s="91">
        <v>31</v>
      </c>
      <c r="H653" s="93">
        <v>45303</v>
      </c>
      <c r="I653" s="145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41" t="str">
        <f>IFERROR(Inv_SY!O654/Inv_SY!$Q654-1,"")</f>
        <v/>
      </c>
    </row>
    <row r="654" spans="1:21">
      <c r="A654" s="94" t="s">
        <v>210</v>
      </c>
      <c r="B654" s="91">
        <v>4</v>
      </c>
      <c r="C654" s="91">
        <v>2024</v>
      </c>
      <c r="D654" s="91" t="s">
        <v>211</v>
      </c>
      <c r="E654" s="91" t="s">
        <v>211</v>
      </c>
      <c r="F654" s="92">
        <v>45292</v>
      </c>
      <c r="G654" s="91">
        <v>31</v>
      </c>
      <c r="H654" s="93">
        <v>45304</v>
      </c>
      <c r="I654" s="145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41" t="str">
        <f>IFERROR(Inv_SY!O655/Inv_SY!$Q655-1,"")</f>
        <v/>
      </c>
    </row>
    <row r="655" spans="1:21">
      <c r="A655" s="94" t="s">
        <v>210</v>
      </c>
      <c r="B655" s="91">
        <v>4</v>
      </c>
      <c r="C655" s="91">
        <v>2024</v>
      </c>
      <c r="D655" s="91" t="s">
        <v>211</v>
      </c>
      <c r="E655" s="91" t="s">
        <v>211</v>
      </c>
      <c r="F655" s="92">
        <v>45292</v>
      </c>
      <c r="G655" s="91">
        <v>31</v>
      </c>
      <c r="H655" s="93">
        <v>45305</v>
      </c>
      <c r="I655" s="145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41" t="str">
        <f>IFERROR(Inv_SY!O656/Inv_SY!$Q656-1,"")</f>
        <v/>
      </c>
    </row>
    <row r="656" spans="1:21">
      <c r="A656" s="94" t="s">
        <v>210</v>
      </c>
      <c r="B656" s="91">
        <v>4</v>
      </c>
      <c r="C656" s="91">
        <v>2024</v>
      </c>
      <c r="D656" s="91" t="s">
        <v>211</v>
      </c>
      <c r="E656" s="91" t="s">
        <v>211</v>
      </c>
      <c r="F656" s="92">
        <v>45292</v>
      </c>
      <c r="G656" s="91">
        <v>31</v>
      </c>
      <c r="H656" s="93">
        <v>45306</v>
      </c>
      <c r="I656" s="145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41" t="str">
        <f>IFERROR(Inv_SY!O657/Inv_SY!$Q657-1,"")</f>
        <v/>
      </c>
    </row>
    <row r="657" spans="1:21">
      <c r="A657" s="94" t="s">
        <v>210</v>
      </c>
      <c r="B657" s="91">
        <v>4</v>
      </c>
      <c r="C657" s="91">
        <v>2024</v>
      </c>
      <c r="D657" s="91" t="s">
        <v>211</v>
      </c>
      <c r="E657" s="91" t="s">
        <v>211</v>
      </c>
      <c r="F657" s="92">
        <v>45292</v>
      </c>
      <c r="G657" s="91">
        <v>31</v>
      </c>
      <c r="H657" s="93">
        <v>45307</v>
      </c>
      <c r="I657" s="145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41" t="str">
        <f>IFERROR(Inv_SY!O658/Inv_SY!$Q658-1,"")</f>
        <v/>
      </c>
    </row>
    <row r="658" spans="1:21">
      <c r="A658" s="94" t="s">
        <v>210</v>
      </c>
      <c r="B658" s="91">
        <v>4</v>
      </c>
      <c r="C658" s="91">
        <v>2024</v>
      </c>
      <c r="D658" s="91" t="s">
        <v>211</v>
      </c>
      <c r="E658" s="91" t="s">
        <v>211</v>
      </c>
      <c r="F658" s="92">
        <v>45292</v>
      </c>
      <c r="G658" s="91">
        <v>31</v>
      </c>
      <c r="H658" s="93">
        <v>45308</v>
      </c>
      <c r="I658" s="145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41" t="str">
        <f>IFERROR(Inv_SY!O659/Inv_SY!$Q659-1,"")</f>
        <v/>
      </c>
    </row>
    <row r="659" spans="1:21">
      <c r="A659" s="94" t="s">
        <v>210</v>
      </c>
      <c r="B659" s="91">
        <v>4</v>
      </c>
      <c r="C659" s="91">
        <v>2024</v>
      </c>
      <c r="D659" s="91" t="s">
        <v>211</v>
      </c>
      <c r="E659" s="91" t="s">
        <v>211</v>
      </c>
      <c r="F659" s="92">
        <v>45292</v>
      </c>
      <c r="G659" s="91">
        <v>31</v>
      </c>
      <c r="H659" s="93">
        <v>45309</v>
      </c>
      <c r="I659" s="145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41" t="str">
        <f>IFERROR(Inv_SY!O660/Inv_SY!$Q660-1,"")</f>
        <v/>
      </c>
    </row>
    <row r="660" spans="1:21">
      <c r="A660" s="94" t="s">
        <v>210</v>
      </c>
      <c r="B660" s="91">
        <v>4</v>
      </c>
      <c r="C660" s="91">
        <v>2024</v>
      </c>
      <c r="D660" s="91" t="s">
        <v>211</v>
      </c>
      <c r="E660" s="91" t="s">
        <v>211</v>
      </c>
      <c r="F660" s="92">
        <v>45292</v>
      </c>
      <c r="G660" s="91">
        <v>31</v>
      </c>
      <c r="H660" s="93">
        <v>45310</v>
      </c>
      <c r="I660" s="145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41" t="str">
        <f>IFERROR(Inv_SY!O661/Inv_SY!$Q661-1,"")</f>
        <v/>
      </c>
    </row>
    <row r="661" spans="1:21">
      <c r="A661" s="94" t="s">
        <v>210</v>
      </c>
      <c r="B661" s="91">
        <v>4</v>
      </c>
      <c r="C661" s="91">
        <v>2024</v>
      </c>
      <c r="D661" s="91" t="s">
        <v>211</v>
      </c>
      <c r="E661" s="91" t="s">
        <v>211</v>
      </c>
      <c r="F661" s="92">
        <v>45292</v>
      </c>
      <c r="G661" s="91">
        <v>31</v>
      </c>
      <c r="H661" s="93">
        <v>45311</v>
      </c>
      <c r="I661" s="145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41" t="str">
        <f>IFERROR(Inv_SY!O662/Inv_SY!$Q662-1,"")</f>
        <v/>
      </c>
    </row>
    <row r="662" spans="1:21">
      <c r="A662" s="94" t="s">
        <v>210</v>
      </c>
      <c r="B662" s="91">
        <v>4</v>
      </c>
      <c r="C662" s="91">
        <v>2024</v>
      </c>
      <c r="D662" s="91" t="s">
        <v>211</v>
      </c>
      <c r="E662" s="91" t="s">
        <v>211</v>
      </c>
      <c r="F662" s="92">
        <v>45292</v>
      </c>
      <c r="G662" s="91">
        <v>31</v>
      </c>
      <c r="H662" s="93">
        <v>45312</v>
      </c>
      <c r="I662" s="145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41" t="str">
        <f>IFERROR(Inv_SY!O663/Inv_SY!$Q663-1,"")</f>
        <v/>
      </c>
    </row>
    <row r="663" spans="1:21">
      <c r="A663" s="94" t="s">
        <v>210</v>
      </c>
      <c r="B663" s="91">
        <v>4</v>
      </c>
      <c r="C663" s="91">
        <v>2024</v>
      </c>
      <c r="D663" s="91" t="s">
        <v>211</v>
      </c>
      <c r="E663" s="91" t="s">
        <v>211</v>
      </c>
      <c r="F663" s="92">
        <v>45292</v>
      </c>
      <c r="G663" s="91">
        <v>31</v>
      </c>
      <c r="H663" s="93">
        <v>45313</v>
      </c>
      <c r="I663" s="145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41" t="str">
        <f>IFERROR(Inv_SY!O664/Inv_SY!$Q664-1,"")</f>
        <v/>
      </c>
    </row>
    <row r="664" spans="1:21">
      <c r="A664" s="94" t="s">
        <v>210</v>
      </c>
      <c r="B664" s="91">
        <v>4</v>
      </c>
      <c r="C664" s="91">
        <v>2024</v>
      </c>
      <c r="D664" s="91" t="s">
        <v>211</v>
      </c>
      <c r="E664" s="91" t="s">
        <v>211</v>
      </c>
      <c r="F664" s="92">
        <v>45292</v>
      </c>
      <c r="G664" s="91">
        <v>31</v>
      </c>
      <c r="H664" s="93">
        <v>45314</v>
      </c>
      <c r="I664" s="145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41" t="str">
        <f>IFERROR(Inv_SY!O665/Inv_SY!$Q665-1,"")</f>
        <v/>
      </c>
    </row>
    <row r="665" spans="1:21">
      <c r="A665" s="94" t="s">
        <v>210</v>
      </c>
      <c r="B665" s="91">
        <v>4</v>
      </c>
      <c r="C665" s="91">
        <v>2024</v>
      </c>
      <c r="D665" s="91" t="s">
        <v>211</v>
      </c>
      <c r="E665" s="91" t="s">
        <v>211</v>
      </c>
      <c r="F665" s="92">
        <v>45292</v>
      </c>
      <c r="G665" s="91">
        <v>31</v>
      </c>
      <c r="H665" s="93">
        <v>45315</v>
      </c>
      <c r="I665" s="145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41" t="str">
        <f>IFERROR(Inv_SY!O666/Inv_SY!$Q666-1,"")</f>
        <v/>
      </c>
    </row>
    <row r="666" spans="1:21">
      <c r="A666" s="94" t="s">
        <v>210</v>
      </c>
      <c r="B666" s="91">
        <v>4</v>
      </c>
      <c r="C666" s="91">
        <v>2024</v>
      </c>
      <c r="D666" s="91" t="s">
        <v>211</v>
      </c>
      <c r="E666" s="91" t="s">
        <v>211</v>
      </c>
      <c r="F666" s="92">
        <v>45292</v>
      </c>
      <c r="G666" s="91">
        <v>31</v>
      </c>
      <c r="H666" s="93">
        <v>45316</v>
      </c>
      <c r="I666" s="145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41" t="str">
        <f>IFERROR(Inv_SY!O667/Inv_SY!$Q667-1,"")</f>
        <v/>
      </c>
    </row>
    <row r="667" spans="1:21">
      <c r="A667" s="94" t="s">
        <v>210</v>
      </c>
      <c r="B667" s="91">
        <v>4</v>
      </c>
      <c r="C667" s="91">
        <v>2024</v>
      </c>
      <c r="D667" s="91" t="s">
        <v>211</v>
      </c>
      <c r="E667" s="91" t="s">
        <v>211</v>
      </c>
      <c r="F667" s="92">
        <v>45292</v>
      </c>
      <c r="G667" s="91">
        <v>31</v>
      </c>
      <c r="H667" s="93">
        <v>45317</v>
      </c>
      <c r="I667" s="145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41" t="str">
        <f>IFERROR(Inv_SY!O668/Inv_SY!$Q668-1,"")</f>
        <v/>
      </c>
    </row>
    <row r="668" spans="1:21">
      <c r="A668" s="94" t="s">
        <v>210</v>
      </c>
      <c r="B668" s="91">
        <v>4</v>
      </c>
      <c r="C668" s="91">
        <v>2024</v>
      </c>
      <c r="D668" s="91" t="s">
        <v>211</v>
      </c>
      <c r="E668" s="91" t="s">
        <v>211</v>
      </c>
      <c r="F668" s="92">
        <v>45292</v>
      </c>
      <c r="G668" s="91">
        <v>31</v>
      </c>
      <c r="H668" s="93">
        <v>45318</v>
      </c>
      <c r="I668" s="145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41" t="str">
        <f>IFERROR(Inv_SY!O669/Inv_SY!$Q669-1,"")</f>
        <v/>
      </c>
    </row>
    <row r="669" spans="1:21">
      <c r="A669" s="94" t="s">
        <v>210</v>
      </c>
      <c r="B669" s="91">
        <v>4</v>
      </c>
      <c r="C669" s="91">
        <v>2024</v>
      </c>
      <c r="D669" s="91" t="s">
        <v>211</v>
      </c>
      <c r="E669" s="91" t="s">
        <v>211</v>
      </c>
      <c r="F669" s="92">
        <v>45292</v>
      </c>
      <c r="G669" s="91">
        <v>31</v>
      </c>
      <c r="H669" s="93">
        <v>45319</v>
      </c>
      <c r="I669" s="145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41" t="str">
        <f>IFERROR(Inv_SY!O670/Inv_SY!$Q670-1,"")</f>
        <v/>
      </c>
    </row>
    <row r="670" spans="1:21">
      <c r="A670" s="94" t="s">
        <v>210</v>
      </c>
      <c r="B670" s="91">
        <v>4</v>
      </c>
      <c r="C670" s="91">
        <v>2024</v>
      </c>
      <c r="D670" s="91" t="s">
        <v>211</v>
      </c>
      <c r="E670" s="91" t="s">
        <v>211</v>
      </c>
      <c r="F670" s="92">
        <v>45292</v>
      </c>
      <c r="G670" s="91">
        <v>31</v>
      </c>
      <c r="H670" s="93">
        <v>45320</v>
      </c>
      <c r="I670" s="145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41" t="str">
        <f>IFERROR(Inv_SY!O671/Inv_SY!$Q671-1,"")</f>
        <v/>
      </c>
    </row>
    <row r="671" spans="1:21">
      <c r="A671" s="94" t="s">
        <v>210</v>
      </c>
      <c r="B671" s="91">
        <v>4</v>
      </c>
      <c r="C671" s="91">
        <v>2024</v>
      </c>
      <c r="D671" s="91" t="s">
        <v>211</v>
      </c>
      <c r="E671" s="91" t="s">
        <v>211</v>
      </c>
      <c r="F671" s="92">
        <v>45292</v>
      </c>
      <c r="G671" s="91">
        <v>31</v>
      </c>
      <c r="H671" s="93">
        <v>45321</v>
      </c>
      <c r="I671" s="145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41" t="str">
        <f>IFERROR(Inv_SY!O672/Inv_SY!$Q672-1,"")</f>
        <v/>
      </c>
    </row>
    <row r="672" spans="1:21">
      <c r="A672" s="94" t="s">
        <v>210</v>
      </c>
      <c r="B672" s="91">
        <v>4</v>
      </c>
      <c r="C672" s="91">
        <v>2024</v>
      </c>
      <c r="D672" s="91" t="s">
        <v>211</v>
      </c>
      <c r="E672" s="91" t="s">
        <v>211</v>
      </c>
      <c r="F672" s="92">
        <v>45292</v>
      </c>
      <c r="G672" s="91">
        <v>31</v>
      </c>
      <c r="H672" s="93">
        <v>45322</v>
      </c>
      <c r="I672" s="145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41" t="str">
        <f>IFERROR(Inv_SY!O673/Inv_SY!$Q673-1,"")</f>
        <v/>
      </c>
    </row>
    <row r="673" spans="1:21">
      <c r="A673" s="94" t="s">
        <v>210</v>
      </c>
      <c r="B673" s="91">
        <v>4</v>
      </c>
      <c r="C673" s="91">
        <v>2024</v>
      </c>
      <c r="D673" s="91" t="s">
        <v>211</v>
      </c>
      <c r="E673" s="91" t="s">
        <v>211</v>
      </c>
      <c r="F673" s="92">
        <v>45323</v>
      </c>
      <c r="G673" s="91">
        <v>29</v>
      </c>
      <c r="H673" s="93">
        <v>45323</v>
      </c>
      <c r="I673" s="145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41" t="str">
        <f>IFERROR(Inv_SY!O674/Inv_SY!$Q674-1,"")</f>
        <v/>
      </c>
    </row>
    <row r="674" spans="1:21">
      <c r="A674" s="94" t="s">
        <v>210</v>
      </c>
      <c r="B674" s="91">
        <v>4</v>
      </c>
      <c r="C674" s="91">
        <v>2024</v>
      </c>
      <c r="D674" s="91" t="s">
        <v>211</v>
      </c>
      <c r="E674" s="91" t="s">
        <v>211</v>
      </c>
      <c r="F674" s="92">
        <v>45323</v>
      </c>
      <c r="G674" s="91">
        <v>29</v>
      </c>
      <c r="H674" s="93">
        <v>45324</v>
      </c>
      <c r="I674" s="145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41" t="str">
        <f>IFERROR(Inv_SY!O675/Inv_SY!$Q675-1,"")</f>
        <v/>
      </c>
    </row>
    <row r="675" spans="1:21">
      <c r="A675" s="91" t="s">
        <v>210</v>
      </c>
      <c r="B675" s="91">
        <v>4</v>
      </c>
      <c r="C675" s="91">
        <v>2024</v>
      </c>
      <c r="D675" s="91" t="s">
        <v>211</v>
      </c>
      <c r="E675" s="91" t="s">
        <v>211</v>
      </c>
      <c r="F675" s="92">
        <v>45323</v>
      </c>
      <c r="G675" s="91">
        <v>29</v>
      </c>
      <c r="H675" s="93">
        <v>45325</v>
      </c>
      <c r="I675" s="145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41" t="str">
        <f>IFERROR(Inv_SY!O676/Inv_SY!$Q676-1,"")</f>
        <v/>
      </c>
    </row>
    <row r="676" spans="1:21">
      <c r="A676" s="91" t="s">
        <v>210</v>
      </c>
      <c r="B676" s="91">
        <v>4</v>
      </c>
      <c r="C676" s="91">
        <v>2024</v>
      </c>
      <c r="D676" s="91" t="s">
        <v>211</v>
      </c>
      <c r="E676" s="91" t="s">
        <v>211</v>
      </c>
      <c r="F676" s="92">
        <v>45323</v>
      </c>
      <c r="G676" s="91">
        <v>29</v>
      </c>
      <c r="H676" s="93">
        <v>45326</v>
      </c>
      <c r="I676" s="145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41" t="str">
        <f>IFERROR(Inv_SY!O677/Inv_SY!$Q677-1,"")</f>
        <v/>
      </c>
    </row>
    <row r="677" spans="1:21">
      <c r="A677" s="91" t="s">
        <v>210</v>
      </c>
      <c r="B677" s="91">
        <v>4</v>
      </c>
      <c r="C677" s="91">
        <v>2024</v>
      </c>
      <c r="D677" s="91" t="s">
        <v>211</v>
      </c>
      <c r="E677" s="91" t="s">
        <v>211</v>
      </c>
      <c r="F677" s="92">
        <v>45323</v>
      </c>
      <c r="G677" s="91">
        <v>29</v>
      </c>
      <c r="H677" s="93">
        <v>45327</v>
      </c>
      <c r="I677" s="145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41" t="str">
        <f>IFERROR(Inv_SY!O678/Inv_SY!$Q678-1,"")</f>
        <v/>
      </c>
    </row>
    <row r="678" spans="1:21">
      <c r="A678" s="91" t="s">
        <v>210</v>
      </c>
      <c r="B678" s="91">
        <v>4</v>
      </c>
      <c r="C678" s="91">
        <v>2024</v>
      </c>
      <c r="D678" s="91" t="s">
        <v>211</v>
      </c>
      <c r="E678" s="91" t="s">
        <v>211</v>
      </c>
      <c r="F678" s="92">
        <v>45323</v>
      </c>
      <c r="G678" s="91">
        <v>29</v>
      </c>
      <c r="H678" s="93">
        <v>45328</v>
      </c>
      <c r="I678" s="145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41" t="str">
        <f>IFERROR(Inv_SY!O679/Inv_SY!$Q679-1,"")</f>
        <v/>
      </c>
    </row>
    <row r="679" spans="1:21">
      <c r="A679" s="91" t="s">
        <v>210</v>
      </c>
      <c r="B679" s="91">
        <v>4</v>
      </c>
      <c r="C679" s="91">
        <v>2024</v>
      </c>
      <c r="D679" s="91" t="s">
        <v>211</v>
      </c>
      <c r="E679" s="91" t="s">
        <v>211</v>
      </c>
      <c r="F679" s="92">
        <v>45323</v>
      </c>
      <c r="G679" s="91">
        <v>29</v>
      </c>
      <c r="H679" s="93">
        <v>45329</v>
      </c>
      <c r="I679" s="145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41" t="str">
        <f>IFERROR(Inv_SY!O680/Inv_SY!$Q680-1,"")</f>
        <v/>
      </c>
    </row>
    <row r="680" spans="1:21">
      <c r="A680" s="91" t="s">
        <v>210</v>
      </c>
      <c r="B680" s="91">
        <v>4</v>
      </c>
      <c r="C680" s="91">
        <v>2024</v>
      </c>
      <c r="D680" s="91" t="s">
        <v>211</v>
      </c>
      <c r="E680" s="91" t="s">
        <v>211</v>
      </c>
      <c r="F680" s="92">
        <v>45323</v>
      </c>
      <c r="G680" s="91">
        <v>29</v>
      </c>
      <c r="H680" s="93">
        <v>45330</v>
      </c>
      <c r="I680" s="145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41" t="str">
        <f>IFERROR(Inv_SY!O681/Inv_SY!$Q681-1,"")</f>
        <v/>
      </c>
    </row>
    <row r="681" spans="1:21">
      <c r="A681" s="91" t="s">
        <v>210</v>
      </c>
      <c r="B681" s="91">
        <v>4</v>
      </c>
      <c r="C681" s="91">
        <v>2024</v>
      </c>
      <c r="D681" s="91" t="s">
        <v>211</v>
      </c>
      <c r="E681" s="91" t="s">
        <v>211</v>
      </c>
      <c r="F681" s="92">
        <v>45323</v>
      </c>
      <c r="G681" s="91">
        <v>29</v>
      </c>
      <c r="H681" s="93">
        <v>45331</v>
      </c>
      <c r="I681" s="145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41" t="str">
        <f>IFERROR(Inv_SY!O682/Inv_SY!$Q682-1,"")</f>
        <v/>
      </c>
    </row>
    <row r="682" spans="1:21">
      <c r="A682" s="91" t="s">
        <v>210</v>
      </c>
      <c r="B682" s="91">
        <v>4</v>
      </c>
      <c r="C682" s="91">
        <v>2024</v>
      </c>
      <c r="D682" s="91" t="s">
        <v>211</v>
      </c>
      <c r="E682" s="91" t="s">
        <v>211</v>
      </c>
      <c r="F682" s="92">
        <v>45323</v>
      </c>
      <c r="G682" s="91">
        <v>29</v>
      </c>
      <c r="H682" s="93">
        <v>45332</v>
      </c>
      <c r="I682" s="145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41" t="str">
        <f>IFERROR(Inv_SY!O683/Inv_SY!$Q683-1,"")</f>
        <v/>
      </c>
    </row>
    <row r="683" spans="1:21">
      <c r="A683" s="91" t="s">
        <v>210</v>
      </c>
      <c r="B683" s="91">
        <v>4</v>
      </c>
      <c r="C683" s="91">
        <v>2024</v>
      </c>
      <c r="D683" s="91" t="s">
        <v>211</v>
      </c>
      <c r="E683" s="91" t="s">
        <v>211</v>
      </c>
      <c r="F683" s="92">
        <v>45323</v>
      </c>
      <c r="G683" s="91">
        <v>29</v>
      </c>
      <c r="H683" s="93">
        <v>45333</v>
      </c>
      <c r="I683" s="145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41" t="str">
        <f>IFERROR(Inv_SY!O684/Inv_SY!$Q684-1,"")</f>
        <v/>
      </c>
    </row>
    <row r="684" spans="1:21">
      <c r="A684" s="91" t="s">
        <v>210</v>
      </c>
      <c r="B684" s="91">
        <v>4</v>
      </c>
      <c r="C684" s="91">
        <v>2024</v>
      </c>
      <c r="D684" s="91" t="s">
        <v>211</v>
      </c>
      <c r="E684" s="91" t="s">
        <v>211</v>
      </c>
      <c r="F684" s="92">
        <v>45323</v>
      </c>
      <c r="G684" s="91">
        <v>29</v>
      </c>
      <c r="H684" s="93">
        <v>45334</v>
      </c>
      <c r="I684" s="145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41" t="str">
        <f>IFERROR(Inv_SY!O685/Inv_SY!$Q685-1,"")</f>
        <v/>
      </c>
    </row>
    <row r="685" spans="1:21">
      <c r="A685" s="91" t="s">
        <v>210</v>
      </c>
      <c r="B685" s="91">
        <v>4</v>
      </c>
      <c r="C685" s="91">
        <v>2024</v>
      </c>
      <c r="D685" s="91" t="s">
        <v>211</v>
      </c>
      <c r="E685" s="91" t="s">
        <v>211</v>
      </c>
      <c r="F685" s="92">
        <v>45323</v>
      </c>
      <c r="G685" s="91">
        <v>29</v>
      </c>
      <c r="H685" s="93">
        <v>45335</v>
      </c>
      <c r="I685" s="145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41" t="str">
        <f>IFERROR(Inv_SY!O686/Inv_SY!$Q686-1,"")</f>
        <v/>
      </c>
    </row>
    <row r="686" spans="1:21">
      <c r="A686" s="91" t="s">
        <v>210</v>
      </c>
      <c r="B686" s="91">
        <v>4</v>
      </c>
      <c r="C686" s="91">
        <v>2024</v>
      </c>
      <c r="D686" s="91" t="s">
        <v>211</v>
      </c>
      <c r="E686" s="91" t="s">
        <v>211</v>
      </c>
      <c r="F686" s="92">
        <v>45323</v>
      </c>
      <c r="G686" s="91">
        <v>29</v>
      </c>
      <c r="H686" s="93">
        <v>45336</v>
      </c>
      <c r="I686" s="145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41" t="str">
        <f>IFERROR(Inv_SY!O687/Inv_SY!$Q687-1,"")</f>
        <v/>
      </c>
    </row>
    <row r="687" spans="1:21">
      <c r="A687" s="91" t="s">
        <v>210</v>
      </c>
      <c r="B687" s="91">
        <v>4</v>
      </c>
      <c r="C687" s="91">
        <v>2024</v>
      </c>
      <c r="D687" s="91" t="s">
        <v>211</v>
      </c>
      <c r="E687" s="91" t="s">
        <v>211</v>
      </c>
      <c r="F687" s="92">
        <v>45323</v>
      </c>
      <c r="G687" s="91">
        <v>29</v>
      </c>
      <c r="H687" s="93">
        <v>45337</v>
      </c>
      <c r="I687" s="145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41" t="str">
        <f>IFERROR(Inv_SY!O688/Inv_SY!$Q688-1,"")</f>
        <v/>
      </c>
    </row>
    <row r="688" spans="1:21">
      <c r="A688" s="91" t="s">
        <v>210</v>
      </c>
      <c r="B688" s="91">
        <v>4</v>
      </c>
      <c r="C688" s="91">
        <v>2024</v>
      </c>
      <c r="D688" s="91" t="s">
        <v>211</v>
      </c>
      <c r="E688" s="91" t="s">
        <v>211</v>
      </c>
      <c r="F688" s="92">
        <v>45323</v>
      </c>
      <c r="G688" s="91">
        <v>29</v>
      </c>
      <c r="H688" s="93">
        <v>45338</v>
      </c>
      <c r="I688" s="145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41" t="str">
        <f>IFERROR(Inv_SY!O689/Inv_SY!$Q689-1,"")</f>
        <v/>
      </c>
    </row>
    <row r="689" spans="1:21">
      <c r="A689" s="91" t="s">
        <v>210</v>
      </c>
      <c r="B689" s="91">
        <v>4</v>
      </c>
      <c r="C689" s="91">
        <v>2024</v>
      </c>
      <c r="D689" s="91" t="s">
        <v>211</v>
      </c>
      <c r="E689" s="91" t="s">
        <v>211</v>
      </c>
      <c r="F689" s="92">
        <v>45323</v>
      </c>
      <c r="G689" s="91">
        <v>29</v>
      </c>
      <c r="H689" s="93">
        <v>45339</v>
      </c>
      <c r="I689" s="145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41" t="str">
        <f>IFERROR(Inv_SY!O690/Inv_SY!$Q690-1,"")</f>
        <v/>
      </c>
    </row>
    <row r="690" spans="1:21">
      <c r="A690" s="91" t="s">
        <v>210</v>
      </c>
      <c r="B690" s="91">
        <v>4</v>
      </c>
      <c r="C690" s="91">
        <v>2024</v>
      </c>
      <c r="D690" s="91" t="s">
        <v>211</v>
      </c>
      <c r="E690" s="91" t="s">
        <v>211</v>
      </c>
      <c r="F690" s="92">
        <v>45323</v>
      </c>
      <c r="G690" s="91">
        <v>29</v>
      </c>
      <c r="H690" s="93">
        <v>45340</v>
      </c>
      <c r="I690" s="145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41" t="str">
        <f>IFERROR(Inv_SY!O691/Inv_SY!$Q691-1,"")</f>
        <v/>
      </c>
    </row>
    <row r="691" spans="1:21">
      <c r="A691" s="91" t="s">
        <v>210</v>
      </c>
      <c r="B691" s="91">
        <v>4</v>
      </c>
      <c r="C691" s="91">
        <v>2024</v>
      </c>
      <c r="D691" s="91" t="s">
        <v>211</v>
      </c>
      <c r="E691" s="91" t="s">
        <v>211</v>
      </c>
      <c r="F691" s="92">
        <v>45323</v>
      </c>
      <c r="G691" s="91">
        <v>29</v>
      </c>
      <c r="H691" s="93">
        <v>45341</v>
      </c>
      <c r="I691" s="145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41" t="str">
        <f>IFERROR(Inv_SY!O692/Inv_SY!$Q692-1,"")</f>
        <v/>
      </c>
    </row>
    <row r="692" spans="1:21">
      <c r="A692" s="91" t="s">
        <v>210</v>
      </c>
      <c r="B692" s="91">
        <v>4</v>
      </c>
      <c r="C692" s="91">
        <v>2024</v>
      </c>
      <c r="D692" s="91" t="s">
        <v>211</v>
      </c>
      <c r="E692" s="91" t="s">
        <v>211</v>
      </c>
      <c r="F692" s="92">
        <v>45323</v>
      </c>
      <c r="G692" s="91">
        <v>29</v>
      </c>
      <c r="H692" s="93">
        <v>45342</v>
      </c>
      <c r="I692" s="145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41" t="str">
        <f>IFERROR(Inv_SY!O693/Inv_SY!$Q693-1,"")</f>
        <v/>
      </c>
    </row>
    <row r="693" spans="1:21">
      <c r="A693" s="91" t="s">
        <v>210</v>
      </c>
      <c r="B693" s="91">
        <v>4</v>
      </c>
      <c r="C693" s="91">
        <v>2024</v>
      </c>
      <c r="D693" s="91" t="s">
        <v>211</v>
      </c>
      <c r="E693" s="91" t="s">
        <v>211</v>
      </c>
      <c r="F693" s="92">
        <v>45323</v>
      </c>
      <c r="G693" s="91">
        <v>29</v>
      </c>
      <c r="H693" s="93">
        <v>45343</v>
      </c>
      <c r="I693" s="145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41" t="str">
        <f>IFERROR(Inv_SY!O694/Inv_SY!$Q694-1,"")</f>
        <v/>
      </c>
    </row>
    <row r="694" spans="1:21">
      <c r="A694" s="91" t="s">
        <v>210</v>
      </c>
      <c r="B694" s="91">
        <v>4</v>
      </c>
      <c r="C694" s="91">
        <v>2024</v>
      </c>
      <c r="D694" s="91" t="s">
        <v>211</v>
      </c>
      <c r="E694" s="91" t="s">
        <v>211</v>
      </c>
      <c r="F694" s="92">
        <v>45323</v>
      </c>
      <c r="G694" s="91">
        <v>29</v>
      </c>
      <c r="H694" s="93">
        <v>45344</v>
      </c>
      <c r="I694" s="145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41" t="str">
        <f>IFERROR(Inv_SY!O695/Inv_SY!$Q695-1,"")</f>
        <v/>
      </c>
    </row>
    <row r="695" spans="1:21">
      <c r="A695" s="91" t="s">
        <v>210</v>
      </c>
      <c r="B695" s="91">
        <v>4</v>
      </c>
      <c r="C695" s="91">
        <v>2024</v>
      </c>
      <c r="D695" s="91" t="s">
        <v>211</v>
      </c>
      <c r="E695" s="91" t="s">
        <v>211</v>
      </c>
      <c r="F695" s="92">
        <v>45323</v>
      </c>
      <c r="G695" s="91">
        <v>29</v>
      </c>
      <c r="H695" s="93">
        <v>45345</v>
      </c>
      <c r="I695" s="145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41" t="str">
        <f>IFERROR(Inv_SY!O696/Inv_SY!$Q696-1,"")</f>
        <v/>
      </c>
    </row>
    <row r="696" spans="1:21">
      <c r="A696" s="91" t="s">
        <v>210</v>
      </c>
      <c r="B696" s="91">
        <v>4</v>
      </c>
      <c r="C696" s="91">
        <v>2024</v>
      </c>
      <c r="D696" s="91" t="s">
        <v>211</v>
      </c>
      <c r="E696" s="91" t="s">
        <v>211</v>
      </c>
      <c r="F696" s="92">
        <v>45323</v>
      </c>
      <c r="G696" s="91">
        <v>29</v>
      </c>
      <c r="H696" s="93">
        <v>45346</v>
      </c>
      <c r="I696" s="145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41" t="str">
        <f>IFERROR(Inv_SY!O697/Inv_SY!$Q697-1,"")</f>
        <v/>
      </c>
    </row>
    <row r="697" spans="1:21">
      <c r="A697" s="91" t="s">
        <v>210</v>
      </c>
      <c r="B697" s="91">
        <v>4</v>
      </c>
      <c r="C697" s="91">
        <v>2024</v>
      </c>
      <c r="D697" s="91" t="s">
        <v>211</v>
      </c>
      <c r="E697" s="91" t="s">
        <v>211</v>
      </c>
      <c r="F697" s="92">
        <v>45323</v>
      </c>
      <c r="G697" s="91">
        <v>29</v>
      </c>
      <c r="H697" s="93">
        <v>45347</v>
      </c>
      <c r="I697" s="145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41" t="str">
        <f>IFERROR(Inv_SY!O698/Inv_SY!$Q698-1,"")</f>
        <v/>
      </c>
    </row>
    <row r="698" spans="1:21">
      <c r="A698" s="91" t="s">
        <v>210</v>
      </c>
      <c r="B698" s="91">
        <v>4</v>
      </c>
      <c r="C698" s="91">
        <v>2024</v>
      </c>
      <c r="D698" s="91" t="s">
        <v>211</v>
      </c>
      <c r="E698" s="91" t="s">
        <v>211</v>
      </c>
      <c r="F698" s="92">
        <v>45323</v>
      </c>
      <c r="G698" s="91">
        <v>29</v>
      </c>
      <c r="H698" s="93">
        <v>45348</v>
      </c>
      <c r="I698" s="145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41" t="str">
        <f>IFERROR(Inv_SY!O699/Inv_SY!$Q699-1,"")</f>
        <v/>
      </c>
    </row>
    <row r="699" spans="1:21">
      <c r="A699" s="91" t="s">
        <v>210</v>
      </c>
      <c r="B699" s="91">
        <v>4</v>
      </c>
      <c r="C699" s="91">
        <v>2024</v>
      </c>
      <c r="D699" s="91" t="s">
        <v>211</v>
      </c>
      <c r="E699" s="91" t="s">
        <v>211</v>
      </c>
      <c r="F699" s="92">
        <v>45323</v>
      </c>
      <c r="G699" s="91">
        <v>29</v>
      </c>
      <c r="H699" s="93">
        <v>45349</v>
      </c>
      <c r="I699" s="145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41" t="str">
        <f>IFERROR(Inv_SY!O700/Inv_SY!$Q700-1,"")</f>
        <v/>
      </c>
    </row>
    <row r="700" spans="1:21">
      <c r="A700" s="91" t="s">
        <v>210</v>
      </c>
      <c r="B700" s="91">
        <v>4</v>
      </c>
      <c r="C700" s="91">
        <v>2024</v>
      </c>
      <c r="D700" s="91" t="s">
        <v>211</v>
      </c>
      <c r="E700" s="91" t="s">
        <v>211</v>
      </c>
      <c r="F700" s="92">
        <v>45323</v>
      </c>
      <c r="G700" s="91">
        <v>29</v>
      </c>
      <c r="H700" s="93">
        <v>45350</v>
      </c>
      <c r="I700" s="145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41" t="str">
        <f>IFERROR(Inv_SY!O701/Inv_SY!$Q701-1,"")</f>
        <v/>
      </c>
    </row>
    <row r="701" spans="1:21">
      <c r="A701" s="91" t="s">
        <v>210</v>
      </c>
      <c r="B701" s="91">
        <v>4</v>
      </c>
      <c r="C701" s="91">
        <v>2024</v>
      </c>
      <c r="D701" s="91" t="s">
        <v>211</v>
      </c>
      <c r="E701" s="91" t="s">
        <v>211</v>
      </c>
      <c r="F701" s="92">
        <v>45323</v>
      </c>
      <c r="G701" s="91">
        <v>29</v>
      </c>
      <c r="H701" s="93">
        <v>45351</v>
      </c>
      <c r="I701" s="145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41" t="str">
        <f>IFERROR(Inv_SY!O702/Inv_SY!$Q702-1,"")</f>
        <v/>
      </c>
    </row>
    <row r="702" spans="1:21">
      <c r="A702" s="91" t="s">
        <v>210</v>
      </c>
      <c r="B702" s="91">
        <v>4</v>
      </c>
      <c r="C702" s="91">
        <v>2024</v>
      </c>
      <c r="D702" s="91" t="s">
        <v>211</v>
      </c>
      <c r="E702" s="91" t="s">
        <v>211</v>
      </c>
      <c r="F702" s="92">
        <v>45352</v>
      </c>
      <c r="G702" s="91">
        <v>31</v>
      </c>
      <c r="H702" s="93">
        <v>45352</v>
      </c>
      <c r="I702" s="145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41" t="str">
        <f>IFERROR(Inv_SY!O703/Inv_SY!$Q703-1,"")</f>
        <v/>
      </c>
    </row>
    <row r="703" spans="1:21">
      <c r="A703" s="91" t="s">
        <v>210</v>
      </c>
      <c r="B703" s="91">
        <v>4</v>
      </c>
      <c r="C703" s="91">
        <v>2024</v>
      </c>
      <c r="D703" s="91" t="s">
        <v>211</v>
      </c>
      <c r="E703" s="91" t="s">
        <v>211</v>
      </c>
      <c r="F703" s="92">
        <v>45352</v>
      </c>
      <c r="G703" s="91">
        <v>31</v>
      </c>
      <c r="H703" s="93">
        <v>45353</v>
      </c>
      <c r="I703" s="145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41" t="str">
        <f>IFERROR(Inv_SY!O704/Inv_SY!$Q704-1,"")</f>
        <v/>
      </c>
    </row>
    <row r="704" spans="1:21">
      <c r="A704" s="91" t="s">
        <v>210</v>
      </c>
      <c r="B704" s="91">
        <v>4</v>
      </c>
      <c r="C704" s="91">
        <v>2024</v>
      </c>
      <c r="D704" s="91" t="s">
        <v>211</v>
      </c>
      <c r="E704" s="91" t="s">
        <v>211</v>
      </c>
      <c r="F704" s="92">
        <v>45352</v>
      </c>
      <c r="G704" s="91">
        <v>31</v>
      </c>
      <c r="H704" s="93">
        <v>45354</v>
      </c>
      <c r="I704" s="145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41" t="str">
        <f>IFERROR(Inv_SY!O705/Inv_SY!$Q705-1,"")</f>
        <v/>
      </c>
    </row>
    <row r="705" spans="1:21">
      <c r="A705" s="91" t="s">
        <v>210</v>
      </c>
      <c r="B705" s="91">
        <v>4</v>
      </c>
      <c r="C705" s="91">
        <v>2024</v>
      </c>
      <c r="D705" s="91" t="s">
        <v>211</v>
      </c>
      <c r="E705" s="91" t="s">
        <v>211</v>
      </c>
      <c r="F705" s="92">
        <v>45352</v>
      </c>
      <c r="G705" s="91">
        <v>31</v>
      </c>
      <c r="H705" s="93">
        <v>45355</v>
      </c>
      <c r="I705" s="145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41" t="str">
        <f>IFERROR(Inv_SY!O706/Inv_SY!$Q706-1,"")</f>
        <v/>
      </c>
    </row>
    <row r="706" spans="1:21">
      <c r="A706" s="91" t="s">
        <v>210</v>
      </c>
      <c r="B706" s="91">
        <v>4</v>
      </c>
      <c r="C706" s="91">
        <v>2024</v>
      </c>
      <c r="D706" s="91" t="s">
        <v>211</v>
      </c>
      <c r="E706" s="91" t="s">
        <v>211</v>
      </c>
      <c r="F706" s="92">
        <v>45352</v>
      </c>
      <c r="G706" s="91">
        <v>31</v>
      </c>
      <c r="H706" s="93">
        <v>45356</v>
      </c>
      <c r="I706" s="145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41" t="str">
        <f>IFERROR(Inv_SY!O707/Inv_SY!$Q707-1,"")</f>
        <v/>
      </c>
    </row>
    <row r="707" spans="1:21">
      <c r="A707" s="91" t="s">
        <v>210</v>
      </c>
      <c r="B707" s="91">
        <v>4</v>
      </c>
      <c r="C707" s="91">
        <v>2024</v>
      </c>
      <c r="D707" s="91" t="s">
        <v>211</v>
      </c>
      <c r="E707" s="91" t="s">
        <v>211</v>
      </c>
      <c r="F707" s="92">
        <v>45352</v>
      </c>
      <c r="G707" s="91">
        <v>31</v>
      </c>
      <c r="H707" s="93">
        <v>45357</v>
      </c>
      <c r="I707" s="145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41" t="str">
        <f>IFERROR(Inv_SY!O708/Inv_SY!$Q708-1,"")</f>
        <v/>
      </c>
    </row>
    <row r="708" spans="1:21">
      <c r="A708" s="91" t="s">
        <v>210</v>
      </c>
      <c r="B708" s="91">
        <v>4</v>
      </c>
      <c r="C708" s="91">
        <v>2024</v>
      </c>
      <c r="D708" s="91" t="s">
        <v>211</v>
      </c>
      <c r="E708" s="91" t="s">
        <v>211</v>
      </c>
      <c r="F708" s="92">
        <v>45352</v>
      </c>
      <c r="G708" s="91">
        <v>31</v>
      </c>
      <c r="H708" s="93">
        <v>45358</v>
      </c>
      <c r="I708" s="145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41" t="str">
        <f>IFERROR(Inv_SY!O709/Inv_SY!$Q709-1,"")</f>
        <v/>
      </c>
    </row>
    <row r="709" spans="1:21">
      <c r="A709" s="91" t="s">
        <v>210</v>
      </c>
      <c r="B709" s="91">
        <v>4</v>
      </c>
      <c r="C709" s="91">
        <v>2024</v>
      </c>
      <c r="D709" s="91" t="s">
        <v>211</v>
      </c>
      <c r="E709" s="91" t="s">
        <v>211</v>
      </c>
      <c r="F709" s="92">
        <v>45352</v>
      </c>
      <c r="G709" s="91">
        <v>31</v>
      </c>
      <c r="H709" s="93">
        <v>45359</v>
      </c>
      <c r="I709" s="145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41" t="str">
        <f>IFERROR(Inv_SY!O710/Inv_SY!$Q710-1,"")</f>
        <v/>
      </c>
    </row>
    <row r="710" spans="1:21">
      <c r="A710" s="91" t="s">
        <v>210</v>
      </c>
      <c r="B710" s="91">
        <v>4</v>
      </c>
      <c r="C710" s="91">
        <v>2024</v>
      </c>
      <c r="D710" s="91" t="s">
        <v>211</v>
      </c>
      <c r="E710" s="91" t="s">
        <v>211</v>
      </c>
      <c r="F710" s="92">
        <v>45352</v>
      </c>
      <c r="G710" s="91">
        <v>31</v>
      </c>
      <c r="H710" s="93">
        <v>45360</v>
      </c>
      <c r="I710" s="145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41" t="str">
        <f>IFERROR(Inv_SY!O711/Inv_SY!$Q711-1,"")</f>
        <v/>
      </c>
    </row>
    <row r="711" spans="1:21">
      <c r="A711" s="91" t="s">
        <v>210</v>
      </c>
      <c r="B711" s="91">
        <v>4</v>
      </c>
      <c r="C711" s="91">
        <v>2024</v>
      </c>
      <c r="D711" s="91" t="s">
        <v>211</v>
      </c>
      <c r="E711" s="91" t="s">
        <v>211</v>
      </c>
      <c r="F711" s="92">
        <v>45352</v>
      </c>
      <c r="G711" s="91">
        <v>31</v>
      </c>
      <c r="H711" s="93">
        <v>45361</v>
      </c>
      <c r="I711" s="145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41" t="str">
        <f>IFERROR(Inv_SY!O712/Inv_SY!$Q712-1,"")</f>
        <v/>
      </c>
    </row>
    <row r="712" spans="1:21">
      <c r="A712" s="91" t="s">
        <v>210</v>
      </c>
      <c r="B712" s="91">
        <v>4</v>
      </c>
      <c r="C712" s="91">
        <v>2024</v>
      </c>
      <c r="D712" s="91" t="s">
        <v>211</v>
      </c>
      <c r="E712" s="91" t="s">
        <v>211</v>
      </c>
      <c r="F712" s="92">
        <v>45352</v>
      </c>
      <c r="G712" s="91">
        <v>31</v>
      </c>
      <c r="H712" s="93">
        <v>45362</v>
      </c>
      <c r="I712" s="145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41" t="str">
        <f>IFERROR(Inv_SY!O713/Inv_SY!$Q713-1,"")</f>
        <v/>
      </c>
    </row>
    <row r="713" spans="1:21">
      <c r="A713" s="91" t="s">
        <v>210</v>
      </c>
      <c r="B713" s="91">
        <v>4</v>
      </c>
      <c r="C713" s="91">
        <v>2024</v>
      </c>
      <c r="D713" s="91" t="s">
        <v>211</v>
      </c>
      <c r="E713" s="91" t="s">
        <v>211</v>
      </c>
      <c r="F713" s="92">
        <v>45352</v>
      </c>
      <c r="G713" s="91">
        <v>31</v>
      </c>
      <c r="H713" s="93">
        <v>45363</v>
      </c>
      <c r="I713" s="145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41" t="str">
        <f>IFERROR(Inv_SY!O714/Inv_SY!$Q714-1,"")</f>
        <v/>
      </c>
    </row>
    <row r="714" spans="1:21">
      <c r="A714" s="91" t="s">
        <v>210</v>
      </c>
      <c r="B714" s="91">
        <v>4</v>
      </c>
      <c r="C714" s="91">
        <v>2024</v>
      </c>
      <c r="D714" s="91" t="s">
        <v>211</v>
      </c>
      <c r="E714" s="91" t="s">
        <v>211</v>
      </c>
      <c r="F714" s="92">
        <v>45352</v>
      </c>
      <c r="G714" s="91">
        <v>31</v>
      </c>
      <c r="H714" s="93">
        <v>45364</v>
      </c>
      <c r="I714" s="145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41" t="str">
        <f>IFERROR(Inv_SY!O715/Inv_SY!$Q715-1,"")</f>
        <v/>
      </c>
    </row>
    <row r="715" spans="1:21">
      <c r="A715" s="91" t="s">
        <v>210</v>
      </c>
      <c r="B715" s="91">
        <v>4</v>
      </c>
      <c r="C715" s="91">
        <v>2024</v>
      </c>
      <c r="D715" s="91" t="s">
        <v>211</v>
      </c>
      <c r="E715" s="91" t="s">
        <v>211</v>
      </c>
      <c r="F715" s="92">
        <v>45352</v>
      </c>
      <c r="G715" s="91">
        <v>31</v>
      </c>
      <c r="H715" s="93">
        <v>45365</v>
      </c>
      <c r="I715" s="145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41" t="str">
        <f>IFERROR(Inv_SY!O716/Inv_SY!$Q716-1,"")</f>
        <v/>
      </c>
    </row>
    <row r="716" spans="1:21">
      <c r="A716" s="91" t="s">
        <v>210</v>
      </c>
      <c r="B716" s="91">
        <v>4</v>
      </c>
      <c r="C716" s="91">
        <v>2024</v>
      </c>
      <c r="D716" s="91" t="s">
        <v>211</v>
      </c>
      <c r="E716" s="91" t="s">
        <v>211</v>
      </c>
      <c r="F716" s="92">
        <v>45352</v>
      </c>
      <c r="G716" s="91">
        <f t="shared" ref="G716:G749" si="12">DAY(EOMONTH(F716,0))</f>
        <v>31</v>
      </c>
      <c r="H716" s="93">
        <f t="shared" ref="H716:H749" si="13">H715+1</f>
        <v>45366</v>
      </c>
      <c r="I716" s="145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41" t="str">
        <f>IFERROR(Inv_SY!O717/Inv_SY!$Q717-1,"")</f>
        <v/>
      </c>
    </row>
    <row r="717" spans="1:21">
      <c r="A717" s="91" t="s">
        <v>210</v>
      </c>
      <c r="B717" s="91">
        <v>4</v>
      </c>
      <c r="C717" s="91">
        <v>2024</v>
      </c>
      <c r="D717" s="91" t="s">
        <v>211</v>
      </c>
      <c r="E717" s="91" t="s">
        <v>211</v>
      </c>
      <c r="F717" s="92">
        <v>45352</v>
      </c>
      <c r="G717" s="91">
        <f t="shared" si="12"/>
        <v>31</v>
      </c>
      <c r="H717" s="93">
        <f t="shared" si="13"/>
        <v>45367</v>
      </c>
      <c r="I717" s="145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41" t="str">
        <f>IFERROR(Inv_SY!O718/Inv_SY!$Q718-1,"")</f>
        <v/>
      </c>
    </row>
    <row r="718" spans="1:21">
      <c r="A718" s="91" t="s">
        <v>210</v>
      </c>
      <c r="B718" s="91">
        <v>4</v>
      </c>
      <c r="C718" s="91">
        <v>2024</v>
      </c>
      <c r="D718" s="91" t="s">
        <v>211</v>
      </c>
      <c r="E718" s="91" t="s">
        <v>211</v>
      </c>
      <c r="F718" s="92">
        <v>45352</v>
      </c>
      <c r="G718" s="91">
        <f t="shared" si="12"/>
        <v>31</v>
      </c>
      <c r="H718" s="93">
        <f t="shared" si="13"/>
        <v>45368</v>
      </c>
      <c r="I718" s="145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41" t="str">
        <f>IFERROR(Inv_SY!O719/Inv_SY!$Q719-1,"")</f>
        <v/>
      </c>
    </row>
    <row r="719" spans="1:21">
      <c r="A719" s="91" t="s">
        <v>210</v>
      </c>
      <c r="B719" s="91">
        <v>4</v>
      </c>
      <c r="C719" s="91">
        <v>2024</v>
      </c>
      <c r="D719" s="91" t="s">
        <v>211</v>
      </c>
      <c r="E719" s="91" t="s">
        <v>211</v>
      </c>
      <c r="F719" s="92">
        <v>45352</v>
      </c>
      <c r="G719" s="91">
        <f t="shared" si="12"/>
        <v>31</v>
      </c>
      <c r="H719" s="93">
        <f t="shared" si="13"/>
        <v>45369</v>
      </c>
      <c r="I719" s="145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41" t="str">
        <f>IFERROR(Inv_SY!O720/Inv_SY!$Q720-1,"")</f>
        <v/>
      </c>
    </row>
    <row r="720" spans="1:21">
      <c r="A720" s="91" t="s">
        <v>210</v>
      </c>
      <c r="B720" s="91">
        <v>4</v>
      </c>
      <c r="C720" s="91">
        <v>2024</v>
      </c>
      <c r="D720" s="91" t="s">
        <v>211</v>
      </c>
      <c r="E720" s="91" t="s">
        <v>211</v>
      </c>
      <c r="F720" s="92">
        <v>45352</v>
      </c>
      <c r="G720" s="91">
        <f t="shared" si="12"/>
        <v>31</v>
      </c>
      <c r="H720" s="93">
        <f t="shared" si="13"/>
        <v>45370</v>
      </c>
      <c r="I720" s="145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41" t="str">
        <f>IFERROR(Inv_SY!O721/Inv_SY!$Q721-1,"")</f>
        <v/>
      </c>
    </row>
    <row r="721" spans="1:21">
      <c r="A721" s="91" t="s">
        <v>210</v>
      </c>
      <c r="B721" s="91">
        <v>4</v>
      </c>
      <c r="C721" s="91">
        <v>2024</v>
      </c>
      <c r="D721" s="91" t="s">
        <v>211</v>
      </c>
      <c r="E721" s="91" t="s">
        <v>211</v>
      </c>
      <c r="F721" s="92">
        <v>45352</v>
      </c>
      <c r="G721" s="91">
        <f t="shared" si="12"/>
        <v>31</v>
      </c>
      <c r="H721" s="93">
        <f t="shared" si="13"/>
        <v>45371</v>
      </c>
      <c r="I721" s="145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41" t="str">
        <f>IFERROR(Inv_SY!O722/Inv_SY!$Q722-1,"")</f>
        <v/>
      </c>
    </row>
    <row r="722" spans="1:21">
      <c r="A722" s="91" t="s">
        <v>210</v>
      </c>
      <c r="B722" s="91">
        <v>4</v>
      </c>
      <c r="C722" s="91">
        <v>2024</v>
      </c>
      <c r="D722" s="91" t="s">
        <v>211</v>
      </c>
      <c r="E722" s="91" t="s">
        <v>211</v>
      </c>
      <c r="F722" s="92">
        <v>45352</v>
      </c>
      <c r="G722" s="91">
        <f t="shared" si="12"/>
        <v>31</v>
      </c>
      <c r="H722" s="93">
        <f t="shared" si="13"/>
        <v>45372</v>
      </c>
      <c r="I722" s="145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41" t="str">
        <f>IFERROR(Inv_SY!O723/Inv_SY!$Q723-1,"")</f>
        <v/>
      </c>
    </row>
    <row r="723" spans="1:21">
      <c r="A723" s="91" t="s">
        <v>210</v>
      </c>
      <c r="B723" s="91">
        <v>4</v>
      </c>
      <c r="C723" s="91">
        <v>2024</v>
      </c>
      <c r="D723" s="91" t="s">
        <v>211</v>
      </c>
      <c r="E723" s="91" t="s">
        <v>211</v>
      </c>
      <c r="F723" s="92">
        <v>45352</v>
      </c>
      <c r="G723" s="91">
        <f t="shared" si="12"/>
        <v>31</v>
      </c>
      <c r="H723" s="93">
        <f t="shared" si="13"/>
        <v>45373</v>
      </c>
      <c r="I723" s="145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41" t="str">
        <f>IFERROR(Inv_SY!O724/Inv_SY!$Q724-1,"")</f>
        <v/>
      </c>
    </row>
    <row r="724" spans="1:21">
      <c r="A724" s="91" t="s">
        <v>210</v>
      </c>
      <c r="B724" s="91">
        <v>4</v>
      </c>
      <c r="C724" s="91">
        <v>2024</v>
      </c>
      <c r="D724" s="91" t="s">
        <v>211</v>
      </c>
      <c r="E724" s="91" t="s">
        <v>211</v>
      </c>
      <c r="F724" s="92">
        <v>45352</v>
      </c>
      <c r="G724" s="91">
        <f t="shared" si="12"/>
        <v>31</v>
      </c>
      <c r="H724" s="93">
        <f t="shared" si="13"/>
        <v>45374</v>
      </c>
      <c r="I724" s="145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41" t="str">
        <f>IFERROR(Inv_SY!O725/Inv_SY!$Q725-1,"")</f>
        <v/>
      </c>
    </row>
    <row r="725" spans="1:21">
      <c r="A725" s="91" t="s">
        <v>210</v>
      </c>
      <c r="B725" s="91">
        <v>4</v>
      </c>
      <c r="C725" s="91">
        <v>2024</v>
      </c>
      <c r="D725" s="91" t="s">
        <v>211</v>
      </c>
      <c r="E725" s="91" t="s">
        <v>211</v>
      </c>
      <c r="F725" s="92">
        <v>45352</v>
      </c>
      <c r="G725" s="91">
        <f t="shared" si="12"/>
        <v>31</v>
      </c>
      <c r="H725" s="93">
        <f t="shared" si="13"/>
        <v>45375</v>
      </c>
      <c r="I725" s="145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41" t="str">
        <f>IFERROR(Inv_SY!O726/Inv_SY!$Q726-1,"")</f>
        <v/>
      </c>
    </row>
    <row r="726" spans="1:21">
      <c r="A726" s="91" t="s">
        <v>210</v>
      </c>
      <c r="B726" s="91">
        <v>4</v>
      </c>
      <c r="C726" s="91">
        <v>2024</v>
      </c>
      <c r="D726" s="91" t="s">
        <v>211</v>
      </c>
      <c r="E726" s="91" t="s">
        <v>211</v>
      </c>
      <c r="F726" s="92">
        <v>45352</v>
      </c>
      <c r="G726" s="91">
        <f t="shared" si="12"/>
        <v>31</v>
      </c>
      <c r="H726" s="93">
        <f t="shared" si="13"/>
        <v>45376</v>
      </c>
      <c r="I726" s="145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41" t="str">
        <f>IFERROR(Inv_SY!O727/Inv_SY!$Q727-1,"")</f>
        <v/>
      </c>
    </row>
    <row r="727" spans="1:21">
      <c r="A727" s="91" t="s">
        <v>210</v>
      </c>
      <c r="B727" s="91">
        <v>4</v>
      </c>
      <c r="C727" s="91">
        <v>2024</v>
      </c>
      <c r="D727" s="91" t="s">
        <v>211</v>
      </c>
      <c r="E727" s="91" t="s">
        <v>211</v>
      </c>
      <c r="F727" s="92">
        <v>45352</v>
      </c>
      <c r="G727" s="91">
        <f t="shared" si="12"/>
        <v>31</v>
      </c>
      <c r="H727" s="93">
        <f t="shared" si="13"/>
        <v>45377</v>
      </c>
      <c r="I727" s="145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41" t="str">
        <f>IFERROR(Inv_SY!O728/Inv_SY!$Q728-1,"")</f>
        <v/>
      </c>
    </row>
    <row r="728" spans="1:21">
      <c r="A728" s="91" t="s">
        <v>210</v>
      </c>
      <c r="B728" s="91">
        <v>4</v>
      </c>
      <c r="C728" s="91">
        <v>2024</v>
      </c>
      <c r="D728" s="91" t="s">
        <v>211</v>
      </c>
      <c r="E728" s="91" t="s">
        <v>211</v>
      </c>
      <c r="F728" s="92">
        <v>45352</v>
      </c>
      <c r="G728" s="91">
        <f t="shared" si="12"/>
        <v>31</v>
      </c>
      <c r="H728" s="93">
        <f t="shared" si="13"/>
        <v>45378</v>
      </c>
      <c r="I728" s="145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41" t="str">
        <f>IFERROR(Inv_SY!O729/Inv_SY!$Q729-1,"")</f>
        <v/>
      </c>
    </row>
    <row r="729" spans="1:21">
      <c r="A729" s="91" t="s">
        <v>210</v>
      </c>
      <c r="B729" s="91">
        <v>4</v>
      </c>
      <c r="C729" s="91">
        <v>2024</v>
      </c>
      <c r="D729" s="91" t="s">
        <v>211</v>
      </c>
      <c r="E729" s="91" t="s">
        <v>211</v>
      </c>
      <c r="F729" s="92">
        <v>45352</v>
      </c>
      <c r="G729" s="91">
        <f t="shared" si="12"/>
        <v>31</v>
      </c>
      <c r="H729" s="93">
        <f t="shared" si="13"/>
        <v>45379</v>
      </c>
      <c r="I729" s="145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41" t="str">
        <f>IFERROR(Inv_SY!O730/Inv_SY!$Q730-1,"")</f>
        <v/>
      </c>
    </row>
    <row r="730" spans="1:21">
      <c r="A730" s="91" t="s">
        <v>210</v>
      </c>
      <c r="B730" s="91">
        <v>4</v>
      </c>
      <c r="C730" s="91">
        <v>2024</v>
      </c>
      <c r="D730" s="91" t="s">
        <v>211</v>
      </c>
      <c r="E730" s="91" t="s">
        <v>211</v>
      </c>
      <c r="F730" s="92">
        <v>45352</v>
      </c>
      <c r="G730" s="91">
        <f t="shared" si="12"/>
        <v>31</v>
      </c>
      <c r="H730" s="93">
        <f t="shared" si="13"/>
        <v>45380</v>
      </c>
      <c r="I730" s="145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41" t="str">
        <f>IFERROR(Inv_SY!O731/Inv_SY!$Q731-1,"")</f>
        <v/>
      </c>
    </row>
    <row r="731" spans="1:21">
      <c r="A731" s="91" t="s">
        <v>210</v>
      </c>
      <c r="B731" s="91">
        <v>4</v>
      </c>
      <c r="C731" s="91">
        <v>2024</v>
      </c>
      <c r="D731" s="91" t="s">
        <v>211</v>
      </c>
      <c r="E731" s="91" t="s">
        <v>211</v>
      </c>
      <c r="F731" s="92">
        <v>45352</v>
      </c>
      <c r="G731" s="91">
        <f t="shared" si="12"/>
        <v>31</v>
      </c>
      <c r="H731" s="93">
        <f t="shared" si="13"/>
        <v>45381</v>
      </c>
      <c r="I731" s="145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41" t="str">
        <f>IFERROR(Inv_SY!O732/Inv_SY!$Q732-1,"")</f>
        <v/>
      </c>
    </row>
    <row r="732" spans="1:21">
      <c r="A732" s="91" t="s">
        <v>210</v>
      </c>
      <c r="B732" s="91">
        <v>4</v>
      </c>
      <c r="C732" s="91">
        <v>2024</v>
      </c>
      <c r="D732" s="91" t="s">
        <v>211</v>
      </c>
      <c r="E732" s="91" t="s">
        <v>211</v>
      </c>
      <c r="F732" s="92">
        <v>45352</v>
      </c>
      <c r="G732" s="91">
        <f t="shared" si="12"/>
        <v>31</v>
      </c>
      <c r="H732" s="93">
        <f t="shared" si="13"/>
        <v>45382</v>
      </c>
      <c r="I732" s="145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41" t="str">
        <f>IFERROR(Inv_SY!O733/Inv_SY!$Q733-1,"")</f>
        <v/>
      </c>
    </row>
    <row r="733" spans="1:21">
      <c r="A733" s="91" t="s">
        <v>210</v>
      </c>
      <c r="B733" s="91">
        <v>4</v>
      </c>
      <c r="C733" s="91">
        <v>2024</v>
      </c>
      <c r="D733" s="91" t="s">
        <v>211</v>
      </c>
      <c r="E733" s="91" t="s">
        <v>211</v>
      </c>
      <c r="F733" s="92">
        <v>45383</v>
      </c>
      <c r="G733" s="91">
        <f t="shared" si="12"/>
        <v>30</v>
      </c>
      <c r="H733" s="93">
        <f t="shared" si="13"/>
        <v>45383</v>
      </c>
      <c r="I733" s="145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41" t="str">
        <f>IFERROR(Inv_SY!O734/Inv_SY!$Q734-1,"")</f>
        <v/>
      </c>
    </row>
    <row r="734" spans="1:21">
      <c r="A734" s="91" t="s">
        <v>212</v>
      </c>
      <c r="B734" s="91">
        <v>4</v>
      </c>
      <c r="C734" s="91">
        <v>2024</v>
      </c>
      <c r="D734" s="91" t="s">
        <v>211</v>
      </c>
      <c r="E734" s="91" t="s">
        <v>211</v>
      </c>
      <c r="F734" s="92">
        <v>45383</v>
      </c>
      <c r="G734" s="91">
        <f t="shared" si="12"/>
        <v>30</v>
      </c>
      <c r="H734" s="93">
        <f t="shared" si="13"/>
        <v>45384</v>
      </c>
      <c r="I734" s="145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41" t="str">
        <f>IFERROR(Inv_SY!O735/Inv_SY!$Q735-1,"")</f>
        <v/>
      </c>
    </row>
    <row r="735" spans="1:21">
      <c r="A735" s="91" t="s">
        <v>212</v>
      </c>
      <c r="B735" s="91">
        <v>4</v>
      </c>
      <c r="C735" s="91">
        <v>2024</v>
      </c>
      <c r="D735" s="91" t="s">
        <v>211</v>
      </c>
      <c r="E735" s="91" t="s">
        <v>211</v>
      </c>
      <c r="F735" s="92">
        <v>45383</v>
      </c>
      <c r="G735" s="91">
        <f t="shared" si="12"/>
        <v>30</v>
      </c>
      <c r="H735" s="93">
        <f t="shared" si="13"/>
        <v>45385</v>
      </c>
      <c r="I735" s="145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41" t="str">
        <f>IFERROR(Inv_SY!O736/Inv_SY!$Q736-1,"")</f>
        <v/>
      </c>
    </row>
    <row r="736" spans="1:21">
      <c r="A736" s="91" t="s">
        <v>212</v>
      </c>
      <c r="B736" s="91">
        <v>4</v>
      </c>
      <c r="C736" s="91">
        <v>2024</v>
      </c>
      <c r="D736" s="91" t="s">
        <v>211</v>
      </c>
      <c r="E736" s="91" t="s">
        <v>211</v>
      </c>
      <c r="F736" s="92">
        <v>45383</v>
      </c>
      <c r="G736" s="91">
        <f t="shared" si="12"/>
        <v>30</v>
      </c>
      <c r="H736" s="93">
        <f t="shared" si="13"/>
        <v>45386</v>
      </c>
      <c r="I736" s="145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41" t="str">
        <f>IFERROR(Inv_SY!O737/Inv_SY!$Q737-1,"")</f>
        <v/>
      </c>
    </row>
    <row r="737" spans="1:21">
      <c r="A737" s="91" t="s">
        <v>212</v>
      </c>
      <c r="B737" s="91">
        <v>4</v>
      </c>
      <c r="C737" s="91">
        <v>2024</v>
      </c>
      <c r="D737" s="91" t="s">
        <v>211</v>
      </c>
      <c r="E737" s="91" t="s">
        <v>211</v>
      </c>
      <c r="F737" s="92">
        <v>45383</v>
      </c>
      <c r="G737" s="91">
        <f t="shared" si="12"/>
        <v>30</v>
      </c>
      <c r="H737" s="93">
        <f t="shared" si="13"/>
        <v>45387</v>
      </c>
      <c r="I737" s="145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41" t="str">
        <f>IFERROR(Inv_SY!O738/Inv_SY!$Q738-1,"")</f>
        <v/>
      </c>
    </row>
    <row r="738" spans="1:21">
      <c r="A738" s="91" t="s">
        <v>212</v>
      </c>
      <c r="B738" s="91">
        <v>4</v>
      </c>
      <c r="C738" s="91">
        <v>2024</v>
      </c>
      <c r="D738" s="91" t="s">
        <v>211</v>
      </c>
      <c r="E738" s="91" t="s">
        <v>211</v>
      </c>
      <c r="F738" s="92">
        <v>45383</v>
      </c>
      <c r="G738" s="91">
        <f t="shared" si="12"/>
        <v>30</v>
      </c>
      <c r="H738" s="93">
        <f t="shared" si="13"/>
        <v>45388</v>
      </c>
      <c r="I738" s="145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41" t="str">
        <f>IFERROR(Inv_SY!O739/Inv_SY!$Q739-1,"")</f>
        <v/>
      </c>
    </row>
    <row r="739" spans="1:21">
      <c r="A739" s="91" t="s">
        <v>212</v>
      </c>
      <c r="B739" s="91">
        <v>4</v>
      </c>
      <c r="C739" s="91">
        <v>2024</v>
      </c>
      <c r="D739" s="91" t="s">
        <v>211</v>
      </c>
      <c r="E739" s="91" t="s">
        <v>211</v>
      </c>
      <c r="F739" s="92">
        <v>45383</v>
      </c>
      <c r="G739" s="91">
        <f t="shared" si="12"/>
        <v>30</v>
      </c>
      <c r="H739" s="93">
        <f t="shared" si="13"/>
        <v>45389</v>
      </c>
      <c r="I739" s="145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41" t="str">
        <f>IFERROR(Inv_SY!O740/Inv_SY!$Q740-1,"")</f>
        <v/>
      </c>
    </row>
    <row r="740" spans="1:21">
      <c r="A740" s="91" t="s">
        <v>212</v>
      </c>
      <c r="B740" s="91">
        <v>4</v>
      </c>
      <c r="C740" s="91">
        <v>2024</v>
      </c>
      <c r="D740" s="91" t="s">
        <v>211</v>
      </c>
      <c r="E740" s="91" t="s">
        <v>211</v>
      </c>
      <c r="F740" s="92">
        <v>45383</v>
      </c>
      <c r="G740" s="91">
        <f t="shared" si="12"/>
        <v>30</v>
      </c>
      <c r="H740" s="93">
        <f t="shared" si="13"/>
        <v>45390</v>
      </c>
      <c r="I740" s="145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41" t="str">
        <f>IFERROR(Inv_SY!O741/Inv_SY!$Q741-1,"")</f>
        <v/>
      </c>
    </row>
    <row r="741" spans="1:21">
      <c r="A741" s="91" t="s">
        <v>212</v>
      </c>
      <c r="B741" s="91">
        <v>4</v>
      </c>
      <c r="C741" s="91">
        <v>2024</v>
      </c>
      <c r="D741" s="91" t="s">
        <v>211</v>
      </c>
      <c r="E741" s="91" t="s">
        <v>211</v>
      </c>
      <c r="F741" s="92">
        <v>45383</v>
      </c>
      <c r="G741" s="91">
        <f t="shared" si="12"/>
        <v>30</v>
      </c>
      <c r="H741" s="93">
        <f t="shared" si="13"/>
        <v>45391</v>
      </c>
      <c r="I741" s="145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41" t="str">
        <f>IFERROR(Inv_SY!O742/Inv_SY!$Q742-1,"")</f>
        <v/>
      </c>
    </row>
    <row r="742" spans="1:21">
      <c r="A742" s="91" t="s">
        <v>212</v>
      </c>
      <c r="B742" s="91">
        <v>4</v>
      </c>
      <c r="C742" s="91">
        <v>2024</v>
      </c>
      <c r="D742" s="91" t="s">
        <v>211</v>
      </c>
      <c r="E742" s="91" t="s">
        <v>211</v>
      </c>
      <c r="F742" s="92">
        <v>45383</v>
      </c>
      <c r="G742" s="91">
        <f t="shared" si="12"/>
        <v>30</v>
      </c>
      <c r="H742" s="93">
        <f t="shared" si="13"/>
        <v>45392</v>
      </c>
      <c r="I742" s="145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41" t="str">
        <f>IFERROR(Inv_SY!O743/Inv_SY!$Q743-1,"")</f>
        <v/>
      </c>
    </row>
    <row r="743" spans="1:21">
      <c r="A743" s="91" t="s">
        <v>212</v>
      </c>
      <c r="B743" s="91">
        <v>4</v>
      </c>
      <c r="C743" s="91">
        <v>2024</v>
      </c>
      <c r="D743" s="91" t="s">
        <v>211</v>
      </c>
      <c r="E743" s="91" t="s">
        <v>211</v>
      </c>
      <c r="F743" s="92">
        <v>45383</v>
      </c>
      <c r="G743" s="91">
        <f t="shared" si="12"/>
        <v>30</v>
      </c>
      <c r="H743" s="93">
        <f t="shared" si="13"/>
        <v>45393</v>
      </c>
      <c r="I743" s="145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41" t="str">
        <f>IFERROR(Inv_SY!O744/Inv_SY!$Q744-1,"")</f>
        <v/>
      </c>
    </row>
    <row r="744" spans="1:21">
      <c r="A744" s="91" t="s">
        <v>212</v>
      </c>
      <c r="B744" s="91">
        <v>4</v>
      </c>
      <c r="C744" s="91">
        <v>2024</v>
      </c>
      <c r="D744" s="91" t="s">
        <v>211</v>
      </c>
      <c r="E744" s="91" t="s">
        <v>211</v>
      </c>
      <c r="F744" s="92">
        <v>45383</v>
      </c>
      <c r="G744" s="91">
        <f t="shared" si="12"/>
        <v>30</v>
      </c>
      <c r="H744" s="93">
        <f t="shared" si="13"/>
        <v>45394</v>
      </c>
      <c r="I744" s="145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41" t="str">
        <f>IFERROR(Inv_SY!O745/Inv_SY!$Q745-1,"")</f>
        <v/>
      </c>
    </row>
    <row r="745" spans="1:21">
      <c r="A745" s="91" t="s">
        <v>212</v>
      </c>
      <c r="B745" s="91">
        <v>4</v>
      </c>
      <c r="C745" s="91">
        <v>2024</v>
      </c>
      <c r="D745" s="91" t="s">
        <v>211</v>
      </c>
      <c r="E745" s="91" t="s">
        <v>211</v>
      </c>
      <c r="F745" s="92">
        <v>45383</v>
      </c>
      <c r="G745" s="91">
        <f t="shared" si="12"/>
        <v>30</v>
      </c>
      <c r="H745" s="93">
        <f t="shared" si="13"/>
        <v>45395</v>
      </c>
      <c r="I745" s="145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41" t="str">
        <f>IFERROR(Inv_SY!O746/Inv_SY!$Q746-1,"")</f>
        <v/>
      </c>
    </row>
    <row r="746" spans="1:21">
      <c r="A746" s="91" t="s">
        <v>212</v>
      </c>
      <c r="B746" s="91">
        <v>4</v>
      </c>
      <c r="C746" s="91">
        <v>2024</v>
      </c>
      <c r="D746" s="91" t="s">
        <v>211</v>
      </c>
      <c r="E746" s="91" t="s">
        <v>211</v>
      </c>
      <c r="F746" s="92">
        <v>45383</v>
      </c>
      <c r="G746" s="91">
        <f t="shared" si="12"/>
        <v>30</v>
      </c>
      <c r="H746" s="93">
        <f t="shared" si="13"/>
        <v>45396</v>
      </c>
      <c r="I746" s="145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41" t="str">
        <f>IFERROR(Inv_SY!O747/Inv_SY!$Q747-1,"")</f>
        <v/>
      </c>
    </row>
    <row r="747" spans="1:21">
      <c r="A747" s="91" t="s">
        <v>212</v>
      </c>
      <c r="B747" s="91">
        <v>4</v>
      </c>
      <c r="C747" s="91">
        <v>2024</v>
      </c>
      <c r="D747" s="91" t="s">
        <v>211</v>
      </c>
      <c r="E747" s="91" t="s">
        <v>211</v>
      </c>
      <c r="F747" s="92">
        <v>45383</v>
      </c>
      <c r="G747" s="91">
        <f t="shared" si="12"/>
        <v>30</v>
      </c>
      <c r="H747" s="93">
        <f t="shared" si="13"/>
        <v>45397</v>
      </c>
      <c r="I747" s="145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41" t="str">
        <f>IFERROR(Inv_SY!O748/Inv_SY!$Q748-1,"")</f>
        <v/>
      </c>
    </row>
    <row r="748" spans="1:21">
      <c r="A748" s="91" t="s">
        <v>212</v>
      </c>
      <c r="B748" s="91">
        <v>4</v>
      </c>
      <c r="C748" s="91">
        <v>2024</v>
      </c>
      <c r="D748" s="91" t="s">
        <v>211</v>
      </c>
      <c r="E748" s="91" t="s">
        <v>211</v>
      </c>
      <c r="F748" s="92">
        <v>45383</v>
      </c>
      <c r="G748" s="91">
        <f t="shared" si="12"/>
        <v>30</v>
      </c>
      <c r="H748" s="93">
        <f t="shared" si="13"/>
        <v>45398</v>
      </c>
      <c r="I748" s="145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41" t="str">
        <f>IFERROR(Inv_SY!O749/Inv_SY!$Q749-1,"")</f>
        <v/>
      </c>
    </row>
    <row r="749" spans="1:21">
      <c r="A749" s="91" t="s">
        <v>212</v>
      </c>
      <c r="B749" s="91">
        <v>4</v>
      </c>
      <c r="C749" s="91">
        <v>2024</v>
      </c>
      <c r="D749" s="91" t="s">
        <v>211</v>
      </c>
      <c r="E749" s="91" t="s">
        <v>211</v>
      </c>
      <c r="F749" s="92">
        <v>45383</v>
      </c>
      <c r="G749" s="91">
        <f t="shared" si="12"/>
        <v>30</v>
      </c>
      <c r="H749" s="93">
        <f t="shared" si="13"/>
        <v>45399</v>
      </c>
      <c r="I749" s="145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41" t="str">
        <f>IFERROR(Inv_SY!O750/Inv_SY!$Q750-1,"")</f>
        <v/>
      </c>
    </row>
    <row r="750" spans="1:21">
      <c r="A750" s="91" t="s">
        <v>212</v>
      </c>
      <c r="B750" s="91">
        <v>4</v>
      </c>
      <c r="C750" s="91">
        <v>2024</v>
      </c>
      <c r="D750" s="91" t="s">
        <v>211</v>
      </c>
      <c r="E750" s="91" t="s">
        <v>211</v>
      </c>
      <c r="F750" s="92">
        <v>45383</v>
      </c>
      <c r="G750" s="91">
        <f>DAY(EOMONTH(F750,0))</f>
        <v>30</v>
      </c>
      <c r="H750" s="93">
        <f>H749+1</f>
        <v>45400</v>
      </c>
      <c r="I750" s="145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41" t="str">
        <f>IFERROR(Inv_SY!O751/Inv_SY!$Q751-1,"")</f>
        <v/>
      </c>
    </row>
    <row r="751" spans="1:21">
      <c r="A751" s="91" t="s">
        <v>212</v>
      </c>
      <c r="B751" s="91">
        <v>4</v>
      </c>
      <c r="C751" s="91">
        <v>2024</v>
      </c>
      <c r="D751" s="91" t="s">
        <v>211</v>
      </c>
      <c r="E751" s="91" t="s">
        <v>211</v>
      </c>
      <c r="F751" s="92">
        <v>45383</v>
      </c>
      <c r="G751" s="91">
        <f t="shared" ref="G751:G756" si="14">DAY(EOMONTH(F751,0))</f>
        <v>30</v>
      </c>
      <c r="H751" s="93">
        <f t="shared" ref="H751:H793" si="15">H750+1</f>
        <v>45401</v>
      </c>
      <c r="I751" s="145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41" t="str">
        <f>IFERROR(Inv_SY!O752/Inv_SY!$Q752-1,"")</f>
        <v/>
      </c>
    </row>
    <row r="752" spans="1:21">
      <c r="A752" s="91" t="s">
        <v>212</v>
      </c>
      <c r="B752" s="91">
        <v>4</v>
      </c>
      <c r="C752" s="91">
        <v>2024</v>
      </c>
      <c r="D752" s="91" t="s">
        <v>211</v>
      </c>
      <c r="E752" s="91" t="s">
        <v>211</v>
      </c>
      <c r="F752" s="92">
        <v>45383</v>
      </c>
      <c r="G752" s="91">
        <f t="shared" si="14"/>
        <v>30</v>
      </c>
      <c r="H752" s="93">
        <f t="shared" si="15"/>
        <v>45402</v>
      </c>
      <c r="I752" s="145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41" t="str">
        <f>IFERROR(Inv_SY!O753/Inv_SY!$Q753-1,"")</f>
        <v/>
      </c>
    </row>
    <row r="753" spans="1:21">
      <c r="A753" s="91" t="s">
        <v>212</v>
      </c>
      <c r="B753" s="91">
        <v>4</v>
      </c>
      <c r="C753" s="91">
        <v>2024</v>
      </c>
      <c r="D753" s="91" t="s">
        <v>211</v>
      </c>
      <c r="E753" s="91" t="s">
        <v>211</v>
      </c>
      <c r="F753" s="92">
        <v>45383</v>
      </c>
      <c r="G753" s="91">
        <f t="shared" si="14"/>
        <v>30</v>
      </c>
      <c r="H753" s="93">
        <f t="shared" si="15"/>
        <v>45403</v>
      </c>
      <c r="I753" s="145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41" t="str">
        <f>IFERROR(Inv_SY!O754/Inv_SY!$Q754-1,"")</f>
        <v/>
      </c>
    </row>
    <row r="754" spans="1:21">
      <c r="A754" s="91" t="s">
        <v>212</v>
      </c>
      <c r="B754" s="91">
        <v>4</v>
      </c>
      <c r="C754" s="91">
        <v>2024</v>
      </c>
      <c r="D754" s="91" t="s">
        <v>211</v>
      </c>
      <c r="E754" s="91" t="s">
        <v>211</v>
      </c>
      <c r="F754" s="92">
        <v>45383</v>
      </c>
      <c r="G754" s="91">
        <f t="shared" si="14"/>
        <v>30</v>
      </c>
      <c r="H754" s="93">
        <f t="shared" si="15"/>
        <v>45404</v>
      </c>
      <c r="I754" s="145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41" t="str">
        <f>IFERROR(Inv_SY!O755/Inv_SY!$Q755-1,"")</f>
        <v/>
      </c>
    </row>
    <row r="755" spans="1:21">
      <c r="A755" s="91" t="s">
        <v>212</v>
      </c>
      <c r="B755" s="91">
        <v>4</v>
      </c>
      <c r="C755" s="91">
        <v>2024</v>
      </c>
      <c r="D755" s="91" t="s">
        <v>211</v>
      </c>
      <c r="E755" s="91" t="s">
        <v>211</v>
      </c>
      <c r="F755" s="92">
        <v>45383</v>
      </c>
      <c r="G755" s="91">
        <f t="shared" si="14"/>
        <v>30</v>
      </c>
      <c r="H755" s="93">
        <f t="shared" si="15"/>
        <v>45405</v>
      </c>
      <c r="I755" s="145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41" t="str">
        <f>IFERROR(Inv_SY!O756/Inv_SY!$Q756-1,"")</f>
        <v/>
      </c>
    </row>
    <row r="756" spans="1:21">
      <c r="A756" s="91" t="s">
        <v>212</v>
      </c>
      <c r="B756" s="91">
        <v>4</v>
      </c>
      <c r="C756" s="91">
        <v>2024</v>
      </c>
      <c r="D756" s="91" t="s">
        <v>211</v>
      </c>
      <c r="E756" s="91" t="s">
        <v>211</v>
      </c>
      <c r="F756" s="92">
        <v>45383</v>
      </c>
      <c r="G756" s="91">
        <f t="shared" si="14"/>
        <v>30</v>
      </c>
      <c r="H756" s="93">
        <f t="shared" si="15"/>
        <v>45406</v>
      </c>
      <c r="I756" s="145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41" t="str">
        <f>IFERROR(Inv_SY!O757/Inv_SY!$Q757-1,"")</f>
        <v/>
      </c>
    </row>
    <row r="757" spans="1:21">
      <c r="A757" s="91" t="s">
        <v>212</v>
      </c>
      <c r="B757" s="91">
        <v>4</v>
      </c>
      <c r="C757" s="91">
        <v>2024</v>
      </c>
      <c r="D757" s="91" t="s">
        <v>211</v>
      </c>
      <c r="E757" s="91" t="s">
        <v>211</v>
      </c>
      <c r="F757" s="92">
        <v>45383</v>
      </c>
      <c r="G757" s="91">
        <f t="shared" ref="G757:G769" si="16">DAY(EOMONTH(F757,0))</f>
        <v>30</v>
      </c>
      <c r="H757" s="93">
        <f t="shared" si="15"/>
        <v>45407</v>
      </c>
      <c r="I757" s="145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41" t="str">
        <f>IFERROR(Inv_SY!O758/Inv_SY!$Q758-1,"")</f>
        <v/>
      </c>
    </row>
    <row r="758" spans="1:21">
      <c r="A758" s="91" t="s">
        <v>212</v>
      </c>
      <c r="B758" s="91">
        <v>4</v>
      </c>
      <c r="C758" s="91">
        <v>2024</v>
      </c>
      <c r="D758" s="91" t="s">
        <v>211</v>
      </c>
      <c r="E758" s="91" t="s">
        <v>211</v>
      </c>
      <c r="F758" s="92">
        <v>45383</v>
      </c>
      <c r="G758" s="91">
        <f t="shared" si="16"/>
        <v>30</v>
      </c>
      <c r="H758" s="93">
        <f t="shared" si="15"/>
        <v>45408</v>
      </c>
      <c r="I758" s="145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41" t="str">
        <f>IFERROR(Inv_SY!O759/Inv_SY!$Q759-1,"")</f>
        <v/>
      </c>
    </row>
    <row r="759" spans="1:21">
      <c r="A759" s="91" t="s">
        <v>212</v>
      </c>
      <c r="B759" s="91">
        <v>4</v>
      </c>
      <c r="C759" s="91">
        <v>2024</v>
      </c>
      <c r="D759" s="91" t="s">
        <v>211</v>
      </c>
      <c r="E759" s="91" t="s">
        <v>211</v>
      </c>
      <c r="F759" s="92">
        <v>45383</v>
      </c>
      <c r="G759" s="91">
        <f t="shared" si="16"/>
        <v>30</v>
      </c>
      <c r="H759" s="93">
        <f t="shared" si="15"/>
        <v>45409</v>
      </c>
      <c r="I759" s="145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41" t="str">
        <f>IFERROR(Inv_SY!O760/Inv_SY!$Q760-1,"")</f>
        <v/>
      </c>
    </row>
    <row r="760" spans="1:21">
      <c r="A760" s="91" t="s">
        <v>212</v>
      </c>
      <c r="B760" s="91">
        <v>4</v>
      </c>
      <c r="C760" s="91">
        <v>2024</v>
      </c>
      <c r="D760" s="91" t="s">
        <v>211</v>
      </c>
      <c r="E760" s="91" t="s">
        <v>211</v>
      </c>
      <c r="F760" s="92">
        <v>45383</v>
      </c>
      <c r="G760" s="91">
        <f t="shared" si="16"/>
        <v>30</v>
      </c>
      <c r="H760" s="93">
        <f t="shared" si="15"/>
        <v>45410</v>
      </c>
      <c r="I760" s="145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41" t="str">
        <f>IFERROR(Inv_SY!O761/Inv_SY!$Q761-1,"")</f>
        <v/>
      </c>
    </row>
    <row r="761" spans="1:21">
      <c r="A761" s="91" t="s">
        <v>212</v>
      </c>
      <c r="B761" s="91">
        <v>4</v>
      </c>
      <c r="C761" s="91">
        <v>2024</v>
      </c>
      <c r="D761" s="91" t="s">
        <v>211</v>
      </c>
      <c r="E761" s="91" t="s">
        <v>211</v>
      </c>
      <c r="F761" s="92">
        <v>45383</v>
      </c>
      <c r="G761" s="91">
        <f t="shared" si="16"/>
        <v>30</v>
      </c>
      <c r="H761" s="93">
        <f t="shared" si="15"/>
        <v>45411</v>
      </c>
      <c r="I761" s="145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41" t="str">
        <f>IFERROR(Inv_SY!O762/Inv_SY!$Q762-1,"")</f>
        <v/>
      </c>
    </row>
    <row r="762" spans="1:21">
      <c r="A762" s="91" t="s">
        <v>212</v>
      </c>
      <c r="B762" s="91">
        <v>4</v>
      </c>
      <c r="C762" s="91">
        <v>2024</v>
      </c>
      <c r="D762" s="91" t="s">
        <v>211</v>
      </c>
      <c r="E762" s="91" t="s">
        <v>211</v>
      </c>
      <c r="F762" s="92">
        <v>45383</v>
      </c>
      <c r="G762" s="91">
        <f t="shared" si="16"/>
        <v>30</v>
      </c>
      <c r="H762" s="93">
        <f t="shared" si="15"/>
        <v>45412</v>
      </c>
      <c r="I762" s="145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41" t="str">
        <f>IFERROR(Inv_SY!O763/Inv_SY!$Q763-1,"")</f>
        <v/>
      </c>
    </row>
    <row r="763" spans="1:21">
      <c r="A763" s="91" t="s">
        <v>212</v>
      </c>
      <c r="B763" s="91">
        <v>5</v>
      </c>
      <c r="C763" s="91">
        <v>2024</v>
      </c>
      <c r="D763" s="91" t="s">
        <v>211</v>
      </c>
      <c r="E763" s="91" t="s">
        <v>211</v>
      </c>
      <c r="F763" s="92">
        <v>45413</v>
      </c>
      <c r="G763" s="91">
        <f t="shared" si="16"/>
        <v>31</v>
      </c>
      <c r="H763" s="93">
        <f t="shared" si="15"/>
        <v>45413</v>
      </c>
      <c r="I763" s="145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41" t="str">
        <f>IFERROR(Inv_SY!O764/Inv_SY!$Q764-1,"")</f>
        <v/>
      </c>
    </row>
    <row r="764" spans="1:21">
      <c r="A764" s="91" t="s">
        <v>212</v>
      </c>
      <c r="B764" s="91">
        <v>5</v>
      </c>
      <c r="C764" s="91">
        <v>2024</v>
      </c>
      <c r="D764" s="91" t="s">
        <v>211</v>
      </c>
      <c r="E764" s="91" t="s">
        <v>211</v>
      </c>
      <c r="F764" s="92">
        <v>45413</v>
      </c>
      <c r="G764" s="91">
        <f t="shared" si="16"/>
        <v>31</v>
      </c>
      <c r="H764" s="93">
        <f t="shared" si="15"/>
        <v>45414</v>
      </c>
      <c r="I764" s="145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41" t="str">
        <f>IFERROR(Inv_SY!O765/Inv_SY!$Q765-1,"")</f>
        <v/>
      </c>
    </row>
    <row r="765" spans="1:21">
      <c r="A765" s="91" t="s">
        <v>212</v>
      </c>
      <c r="B765" s="91">
        <v>5</v>
      </c>
      <c r="C765" s="91">
        <v>2024</v>
      </c>
      <c r="D765" s="91" t="s">
        <v>211</v>
      </c>
      <c r="E765" s="91" t="s">
        <v>211</v>
      </c>
      <c r="F765" s="92">
        <v>45413</v>
      </c>
      <c r="G765" s="91">
        <f t="shared" si="16"/>
        <v>31</v>
      </c>
      <c r="H765" s="93">
        <f t="shared" si="15"/>
        <v>45415</v>
      </c>
      <c r="I765" s="145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41" t="str">
        <f>IFERROR(Inv_SY!O766/Inv_SY!$Q766-1,"")</f>
        <v/>
      </c>
    </row>
    <row r="766" spans="1:21">
      <c r="A766" s="91" t="s">
        <v>212</v>
      </c>
      <c r="B766" s="91">
        <v>5</v>
      </c>
      <c r="C766" s="91">
        <v>2024</v>
      </c>
      <c r="D766" s="91" t="s">
        <v>211</v>
      </c>
      <c r="E766" s="91" t="s">
        <v>211</v>
      </c>
      <c r="F766" s="92">
        <v>45413</v>
      </c>
      <c r="G766" s="91">
        <f t="shared" si="16"/>
        <v>31</v>
      </c>
      <c r="H766" s="93">
        <f t="shared" si="15"/>
        <v>45416</v>
      </c>
      <c r="I766" s="145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41" t="str">
        <f>IFERROR(Inv_SY!O767/Inv_SY!$Q767-1,"")</f>
        <v/>
      </c>
    </row>
    <row r="767" spans="1:21">
      <c r="A767" s="91" t="s">
        <v>212</v>
      </c>
      <c r="B767" s="91">
        <v>5</v>
      </c>
      <c r="C767" s="91">
        <v>2024</v>
      </c>
      <c r="D767" s="91" t="s">
        <v>211</v>
      </c>
      <c r="E767" s="91" t="s">
        <v>211</v>
      </c>
      <c r="F767" s="92">
        <v>45413</v>
      </c>
      <c r="G767" s="91">
        <f t="shared" si="16"/>
        <v>31</v>
      </c>
      <c r="H767" s="93">
        <f t="shared" si="15"/>
        <v>45417</v>
      </c>
      <c r="I767" s="145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41" t="str">
        <f>IFERROR(Inv_SY!O768/Inv_SY!$Q768-1,"")</f>
        <v/>
      </c>
    </row>
    <row r="768" spans="1:21">
      <c r="A768" s="91" t="s">
        <v>212</v>
      </c>
      <c r="B768" s="91">
        <v>5</v>
      </c>
      <c r="C768" s="91">
        <v>2024</v>
      </c>
      <c r="D768" s="91" t="s">
        <v>211</v>
      </c>
      <c r="E768" s="91" t="s">
        <v>211</v>
      </c>
      <c r="F768" s="92">
        <v>45413</v>
      </c>
      <c r="G768" s="91">
        <f t="shared" si="16"/>
        <v>31</v>
      </c>
      <c r="H768" s="93">
        <f t="shared" si="15"/>
        <v>45418</v>
      </c>
      <c r="I768" s="145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41" t="str">
        <f>IFERROR(Inv_SY!O769/Inv_SY!$Q769-1,"")</f>
        <v/>
      </c>
    </row>
    <row r="769" spans="1:21">
      <c r="A769" s="91" t="s">
        <v>212</v>
      </c>
      <c r="B769" s="91">
        <v>5</v>
      </c>
      <c r="C769" s="91">
        <v>2024</v>
      </c>
      <c r="D769" s="91" t="s">
        <v>211</v>
      </c>
      <c r="E769" s="91" t="s">
        <v>211</v>
      </c>
      <c r="F769" s="92">
        <v>45413</v>
      </c>
      <c r="G769" s="91">
        <f t="shared" si="16"/>
        <v>31</v>
      </c>
      <c r="H769" s="93">
        <f t="shared" si="15"/>
        <v>45419</v>
      </c>
      <c r="I769" s="145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41" t="str">
        <f>IFERROR(Inv_SY!O770/Inv_SY!$Q770-1,"")</f>
        <v/>
      </c>
    </row>
    <row r="770" spans="1:21">
      <c r="A770" s="91" t="s">
        <v>212</v>
      </c>
      <c r="B770" s="91">
        <v>5</v>
      </c>
      <c r="C770" s="91">
        <v>2024</v>
      </c>
      <c r="D770" s="91" t="s">
        <v>211</v>
      </c>
      <c r="E770" s="91" t="s">
        <v>211</v>
      </c>
      <c r="F770" s="92">
        <v>45413</v>
      </c>
      <c r="G770" s="91">
        <f t="shared" ref="G770:G777" si="17">DAY(EOMONTH(F770,0))</f>
        <v>31</v>
      </c>
      <c r="H770" s="93">
        <f t="shared" si="15"/>
        <v>45420</v>
      </c>
      <c r="I770" s="145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41" t="str">
        <f>IFERROR(Inv_SY!O771/Inv_SY!$Q771-1,"")</f>
        <v/>
      </c>
    </row>
    <row r="771" spans="1:21">
      <c r="A771" s="91" t="s">
        <v>212</v>
      </c>
      <c r="B771" s="91">
        <v>5</v>
      </c>
      <c r="C771" s="91">
        <v>2024</v>
      </c>
      <c r="D771" s="91" t="s">
        <v>211</v>
      </c>
      <c r="E771" s="91" t="s">
        <v>211</v>
      </c>
      <c r="F771" s="92">
        <v>45413</v>
      </c>
      <c r="G771" s="91">
        <f t="shared" si="17"/>
        <v>31</v>
      </c>
      <c r="H771" s="93">
        <f t="shared" si="15"/>
        <v>45421</v>
      </c>
      <c r="I771" s="145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41" t="str">
        <f>IFERROR(Inv_SY!O772/Inv_SY!$Q772-1,"")</f>
        <v/>
      </c>
    </row>
    <row r="772" spans="1:21">
      <c r="A772" s="91" t="s">
        <v>212</v>
      </c>
      <c r="B772" s="91">
        <v>5</v>
      </c>
      <c r="C772" s="91">
        <v>2024</v>
      </c>
      <c r="D772" s="91" t="s">
        <v>211</v>
      </c>
      <c r="E772" s="91" t="s">
        <v>211</v>
      </c>
      <c r="F772" s="92">
        <v>45413</v>
      </c>
      <c r="G772" s="91">
        <f t="shared" si="17"/>
        <v>31</v>
      </c>
      <c r="H772" s="93">
        <f t="shared" si="15"/>
        <v>45422</v>
      </c>
      <c r="I772" s="145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41" t="str">
        <f>IFERROR(Inv_SY!O773/Inv_SY!$Q773-1,"")</f>
        <v/>
      </c>
    </row>
    <row r="773" spans="1:21">
      <c r="A773" s="91" t="s">
        <v>212</v>
      </c>
      <c r="B773" s="91">
        <v>5</v>
      </c>
      <c r="C773" s="91">
        <v>2024</v>
      </c>
      <c r="D773" s="91" t="s">
        <v>211</v>
      </c>
      <c r="E773" s="91" t="s">
        <v>211</v>
      </c>
      <c r="F773" s="92">
        <v>45413</v>
      </c>
      <c r="G773" s="91">
        <f t="shared" si="17"/>
        <v>31</v>
      </c>
      <c r="H773" s="93">
        <f t="shared" si="15"/>
        <v>45423</v>
      </c>
      <c r="I773" s="145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41" t="str">
        <f>IFERROR(Inv_SY!O774/Inv_SY!$Q774-1,"")</f>
        <v/>
      </c>
    </row>
    <row r="774" spans="1:21">
      <c r="A774" s="91" t="s">
        <v>212</v>
      </c>
      <c r="B774" s="91">
        <v>5</v>
      </c>
      <c r="C774" s="91">
        <v>2024</v>
      </c>
      <c r="D774" s="91" t="s">
        <v>211</v>
      </c>
      <c r="E774" s="91" t="s">
        <v>211</v>
      </c>
      <c r="F774" s="92">
        <v>45413</v>
      </c>
      <c r="G774" s="91">
        <f t="shared" si="17"/>
        <v>31</v>
      </c>
      <c r="H774" s="93">
        <f t="shared" si="15"/>
        <v>45424</v>
      </c>
      <c r="I774" s="145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41" t="str">
        <f>IFERROR(Inv_SY!O775/Inv_SY!$Q775-1,"")</f>
        <v/>
      </c>
    </row>
    <row r="775" spans="1:21">
      <c r="A775" s="91" t="s">
        <v>212</v>
      </c>
      <c r="B775" s="91">
        <v>5</v>
      </c>
      <c r="C775" s="91">
        <v>2024</v>
      </c>
      <c r="D775" s="91" t="s">
        <v>211</v>
      </c>
      <c r="E775" s="91" t="s">
        <v>211</v>
      </c>
      <c r="F775" s="92">
        <v>45413</v>
      </c>
      <c r="G775" s="91">
        <f t="shared" si="17"/>
        <v>31</v>
      </c>
      <c r="H775" s="93">
        <f t="shared" si="15"/>
        <v>45425</v>
      </c>
      <c r="I775" s="145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41" t="str">
        <f>IFERROR(Inv_SY!O776/Inv_SY!$Q776-1,"")</f>
        <v/>
      </c>
    </row>
    <row r="776" spans="1:21">
      <c r="A776" s="91" t="s">
        <v>212</v>
      </c>
      <c r="B776" s="91">
        <v>5</v>
      </c>
      <c r="C776" s="91">
        <v>2024</v>
      </c>
      <c r="D776" s="91" t="s">
        <v>211</v>
      </c>
      <c r="E776" s="91" t="s">
        <v>211</v>
      </c>
      <c r="F776" s="92">
        <v>45413</v>
      </c>
      <c r="G776" s="91">
        <f t="shared" si="17"/>
        <v>31</v>
      </c>
      <c r="H776" s="93">
        <f t="shared" si="15"/>
        <v>45426</v>
      </c>
      <c r="I776" s="145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41" t="str">
        <f>IFERROR(Inv_SY!O777/Inv_SY!$Q777-1,"")</f>
        <v/>
      </c>
    </row>
    <row r="777" spans="1:21">
      <c r="A777" s="91" t="s">
        <v>212</v>
      </c>
      <c r="B777" s="91">
        <v>5</v>
      </c>
      <c r="C777" s="91">
        <v>2024</v>
      </c>
      <c r="D777" s="91" t="s">
        <v>211</v>
      </c>
      <c r="E777" s="91" t="s">
        <v>211</v>
      </c>
      <c r="F777" s="92">
        <v>45413</v>
      </c>
      <c r="G777" s="91">
        <f t="shared" si="17"/>
        <v>31</v>
      </c>
      <c r="H777" s="93">
        <f t="shared" si="15"/>
        <v>45427</v>
      </c>
      <c r="I777" s="145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41" t="str">
        <f>IFERROR(Inv_SY!O778/Inv_SY!$Q778-1,"")</f>
        <v/>
      </c>
    </row>
    <row r="778" spans="1:21">
      <c r="A778" s="91" t="s">
        <v>212</v>
      </c>
      <c r="B778" s="91">
        <v>5</v>
      </c>
      <c r="C778" s="91">
        <v>2024</v>
      </c>
      <c r="D778" s="91" t="s">
        <v>211</v>
      </c>
      <c r="E778" s="91" t="s">
        <v>211</v>
      </c>
      <c r="F778" s="92">
        <v>45413</v>
      </c>
      <c r="G778" s="91">
        <f t="shared" ref="G778:G791" si="18">DAY(EOMONTH(F778,0))</f>
        <v>31</v>
      </c>
      <c r="H778" s="93">
        <f t="shared" si="15"/>
        <v>45428</v>
      </c>
      <c r="I778" s="145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41" t="str">
        <f>IFERROR(Inv_SY!O779/Inv_SY!$Q779-1,"")</f>
        <v/>
      </c>
    </row>
    <row r="779" spans="1:21">
      <c r="A779" s="91" t="s">
        <v>212</v>
      </c>
      <c r="B779" s="91">
        <v>5</v>
      </c>
      <c r="C779" s="91">
        <v>2024</v>
      </c>
      <c r="D779" s="91" t="s">
        <v>211</v>
      </c>
      <c r="E779" s="91" t="s">
        <v>211</v>
      </c>
      <c r="F779" s="92">
        <v>45413</v>
      </c>
      <c r="G779" s="91">
        <f t="shared" si="18"/>
        <v>31</v>
      </c>
      <c r="H779" s="93">
        <f t="shared" si="15"/>
        <v>45429</v>
      </c>
      <c r="I779" s="145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41" t="str">
        <f>IFERROR(Inv_SY!O780/Inv_SY!$Q780-1,"")</f>
        <v/>
      </c>
    </row>
    <row r="780" spans="1:21">
      <c r="A780" s="91" t="s">
        <v>212</v>
      </c>
      <c r="B780" s="91">
        <v>5</v>
      </c>
      <c r="C780" s="91">
        <v>2024</v>
      </c>
      <c r="D780" s="91" t="s">
        <v>211</v>
      </c>
      <c r="E780" s="91" t="s">
        <v>211</v>
      </c>
      <c r="F780" s="92">
        <v>45413</v>
      </c>
      <c r="G780" s="91">
        <f t="shared" si="18"/>
        <v>31</v>
      </c>
      <c r="H780" s="93">
        <f t="shared" si="15"/>
        <v>45430</v>
      </c>
      <c r="I780" s="145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41" t="str">
        <f>IFERROR(Inv_SY!O781/Inv_SY!$Q781-1,"")</f>
        <v/>
      </c>
    </row>
    <row r="781" spans="1:21">
      <c r="A781" s="91" t="s">
        <v>212</v>
      </c>
      <c r="B781" s="91">
        <v>5</v>
      </c>
      <c r="C781" s="91">
        <v>2024</v>
      </c>
      <c r="D781" s="91" t="s">
        <v>211</v>
      </c>
      <c r="E781" s="91" t="s">
        <v>211</v>
      </c>
      <c r="F781" s="92">
        <v>45413</v>
      </c>
      <c r="G781" s="91">
        <f t="shared" si="18"/>
        <v>31</v>
      </c>
      <c r="H781" s="93">
        <f t="shared" si="15"/>
        <v>45431</v>
      </c>
      <c r="I781" s="145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41" t="str">
        <f>IFERROR(Inv_SY!O782/Inv_SY!$Q782-1,"")</f>
        <v/>
      </c>
    </row>
    <row r="782" spans="1:21">
      <c r="A782" s="91" t="s">
        <v>212</v>
      </c>
      <c r="B782" s="91">
        <v>5</v>
      </c>
      <c r="C782" s="91">
        <v>2024</v>
      </c>
      <c r="D782" s="91" t="s">
        <v>211</v>
      </c>
      <c r="E782" s="91" t="s">
        <v>211</v>
      </c>
      <c r="F782" s="92">
        <v>45413</v>
      </c>
      <c r="G782" s="91">
        <f t="shared" si="18"/>
        <v>31</v>
      </c>
      <c r="H782" s="93">
        <f t="shared" si="15"/>
        <v>45432</v>
      </c>
      <c r="I782" s="145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41" t="str">
        <f>IFERROR(Inv_SY!O783/Inv_SY!$Q783-1,"")</f>
        <v/>
      </c>
    </row>
    <row r="783" spans="1:21">
      <c r="A783" s="91" t="s">
        <v>212</v>
      </c>
      <c r="B783" s="91">
        <v>5</v>
      </c>
      <c r="C783" s="91">
        <v>2024</v>
      </c>
      <c r="D783" s="91" t="s">
        <v>211</v>
      </c>
      <c r="E783" s="91" t="s">
        <v>211</v>
      </c>
      <c r="F783" s="92">
        <v>45413</v>
      </c>
      <c r="G783" s="91">
        <f t="shared" si="18"/>
        <v>31</v>
      </c>
      <c r="H783" s="93">
        <f t="shared" si="15"/>
        <v>45433</v>
      </c>
      <c r="I783" s="145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41" t="str">
        <f>IFERROR(Inv_SY!O784/Inv_SY!$Q784-1,"")</f>
        <v/>
      </c>
    </row>
    <row r="784" spans="1:21">
      <c r="A784" s="91" t="s">
        <v>212</v>
      </c>
      <c r="B784" s="91">
        <v>5</v>
      </c>
      <c r="C784" s="91">
        <v>2024</v>
      </c>
      <c r="D784" s="91" t="s">
        <v>211</v>
      </c>
      <c r="E784" s="91" t="s">
        <v>211</v>
      </c>
      <c r="F784" s="92">
        <v>45413</v>
      </c>
      <c r="G784" s="91">
        <f t="shared" si="18"/>
        <v>31</v>
      </c>
      <c r="H784" s="93">
        <f t="shared" si="15"/>
        <v>45434</v>
      </c>
      <c r="I784" s="145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41" t="str">
        <f>IFERROR(Inv_SY!O785/Inv_SY!$Q785-1,"")</f>
        <v/>
      </c>
    </row>
    <row r="785" spans="1:21">
      <c r="A785" s="91" t="s">
        <v>212</v>
      </c>
      <c r="B785" s="91">
        <v>5</v>
      </c>
      <c r="C785" s="91">
        <v>2024</v>
      </c>
      <c r="D785" s="91" t="s">
        <v>211</v>
      </c>
      <c r="E785" s="91" t="s">
        <v>211</v>
      </c>
      <c r="F785" s="92">
        <v>45413</v>
      </c>
      <c r="G785" s="91">
        <f t="shared" si="18"/>
        <v>31</v>
      </c>
      <c r="H785" s="93">
        <f t="shared" si="15"/>
        <v>45435</v>
      </c>
      <c r="I785" s="145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41" t="str">
        <f>IFERROR(Inv_SY!O786/Inv_SY!$Q786-1,"")</f>
        <v/>
      </c>
    </row>
    <row r="786" spans="1:21">
      <c r="A786" s="91" t="s">
        <v>212</v>
      </c>
      <c r="B786" s="91">
        <v>5</v>
      </c>
      <c r="C786" s="91">
        <v>2024</v>
      </c>
      <c r="D786" s="91" t="s">
        <v>211</v>
      </c>
      <c r="E786" s="91" t="s">
        <v>211</v>
      </c>
      <c r="F786" s="92">
        <v>45413</v>
      </c>
      <c r="G786" s="91">
        <f t="shared" si="18"/>
        <v>31</v>
      </c>
      <c r="H786" s="93">
        <f t="shared" si="15"/>
        <v>45436</v>
      </c>
      <c r="I786" s="145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41" t="str">
        <f>IFERROR(Inv_SY!O787/Inv_SY!$Q787-1,"")</f>
        <v/>
      </c>
    </row>
    <row r="787" spans="1:21">
      <c r="A787" s="91" t="s">
        <v>212</v>
      </c>
      <c r="B787" s="91">
        <v>5</v>
      </c>
      <c r="C787" s="91">
        <v>2024</v>
      </c>
      <c r="D787" s="91" t="s">
        <v>211</v>
      </c>
      <c r="E787" s="91" t="s">
        <v>211</v>
      </c>
      <c r="F787" s="92">
        <v>45413</v>
      </c>
      <c r="G787" s="91">
        <f t="shared" si="18"/>
        <v>31</v>
      </c>
      <c r="H787" s="93">
        <f t="shared" si="15"/>
        <v>45437</v>
      </c>
      <c r="I787" s="145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41" t="str">
        <f>IFERROR(Inv_SY!O788/Inv_SY!$Q788-1,"")</f>
        <v/>
      </c>
    </row>
    <row r="788" spans="1:21">
      <c r="A788" s="91" t="s">
        <v>212</v>
      </c>
      <c r="B788" s="91">
        <v>5</v>
      </c>
      <c r="C788" s="91">
        <v>2024</v>
      </c>
      <c r="D788" s="91" t="s">
        <v>211</v>
      </c>
      <c r="E788" s="91" t="s">
        <v>211</v>
      </c>
      <c r="F788" s="92">
        <v>45413</v>
      </c>
      <c r="G788" s="91">
        <f t="shared" si="18"/>
        <v>31</v>
      </c>
      <c r="H788" s="93">
        <f t="shared" si="15"/>
        <v>45438</v>
      </c>
      <c r="I788" s="145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41" t="str">
        <f>IFERROR(Inv_SY!O789/Inv_SY!$Q789-1,"")</f>
        <v/>
      </c>
    </row>
    <row r="789" spans="1:21">
      <c r="A789" s="91" t="s">
        <v>212</v>
      </c>
      <c r="B789" s="91">
        <v>5</v>
      </c>
      <c r="C789" s="91">
        <v>2024</v>
      </c>
      <c r="D789" s="91" t="s">
        <v>211</v>
      </c>
      <c r="E789" s="91" t="s">
        <v>211</v>
      </c>
      <c r="F789" s="92">
        <v>45413</v>
      </c>
      <c r="G789" s="91">
        <f t="shared" si="18"/>
        <v>31</v>
      </c>
      <c r="H789" s="93">
        <f t="shared" si="15"/>
        <v>45439</v>
      </c>
      <c r="I789" s="145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41" t="str">
        <f>IFERROR(Inv_SY!O790/Inv_SY!$Q790-1,"")</f>
        <v/>
      </c>
    </row>
    <row r="790" spans="1:21">
      <c r="A790" s="91" t="s">
        <v>212</v>
      </c>
      <c r="B790" s="91">
        <v>5</v>
      </c>
      <c r="C790" s="91">
        <v>2024</v>
      </c>
      <c r="D790" s="91" t="s">
        <v>211</v>
      </c>
      <c r="E790" s="91" t="s">
        <v>211</v>
      </c>
      <c r="F790" s="92">
        <v>45413</v>
      </c>
      <c r="G790" s="91">
        <f t="shared" si="18"/>
        <v>31</v>
      </c>
      <c r="H790" s="93">
        <f t="shared" si="15"/>
        <v>45440</v>
      </c>
      <c r="I790" s="145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41" t="str">
        <f>IFERROR(Inv_SY!O791/Inv_SY!$Q791-1,"")</f>
        <v/>
      </c>
    </row>
    <row r="791" spans="1:21">
      <c r="A791" s="91" t="s">
        <v>212</v>
      </c>
      <c r="B791" s="91">
        <v>5</v>
      </c>
      <c r="C791" s="91">
        <v>2024</v>
      </c>
      <c r="D791" s="91" t="s">
        <v>211</v>
      </c>
      <c r="E791" s="91" t="s">
        <v>211</v>
      </c>
      <c r="F791" s="92">
        <v>45413</v>
      </c>
      <c r="G791" s="91">
        <f t="shared" si="18"/>
        <v>31</v>
      </c>
      <c r="H791" s="93">
        <f t="shared" si="15"/>
        <v>45441</v>
      </c>
      <c r="I791" s="145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41" t="str">
        <f>IFERROR(Inv_SY!O792/Inv_SY!$Q792-1,"")</f>
        <v/>
      </c>
    </row>
    <row r="792" spans="1:21">
      <c r="A792" s="91" t="s">
        <v>212</v>
      </c>
      <c r="B792" s="91">
        <v>5</v>
      </c>
      <c r="C792" s="91">
        <v>2024</v>
      </c>
      <c r="D792" s="91" t="s">
        <v>211</v>
      </c>
      <c r="E792" s="91" t="s">
        <v>211</v>
      </c>
      <c r="F792" s="92">
        <v>45413</v>
      </c>
      <c r="G792" s="91">
        <f t="shared" ref="G792:G793" si="19">DAY(EOMONTH(F792,0))</f>
        <v>31</v>
      </c>
      <c r="H792" s="93">
        <f t="shared" si="15"/>
        <v>45442</v>
      </c>
      <c r="I792" s="145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41" t="str">
        <f>IFERROR(Inv_SY!O793/Inv_SY!$Q793-1,"")</f>
        <v/>
      </c>
    </row>
    <row r="793" spans="1:21">
      <c r="A793" s="91" t="s">
        <v>212</v>
      </c>
      <c r="B793" s="91">
        <v>5</v>
      </c>
      <c r="C793" s="91">
        <v>2024</v>
      </c>
      <c r="D793" s="91" t="s">
        <v>211</v>
      </c>
      <c r="E793" s="91" t="s">
        <v>211</v>
      </c>
      <c r="F793" s="92">
        <v>45413</v>
      </c>
      <c r="G793" s="91">
        <f t="shared" si="19"/>
        <v>31</v>
      </c>
      <c r="H793" s="93">
        <f t="shared" si="15"/>
        <v>45443</v>
      </c>
      <c r="I793" s="145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41" t="str">
        <f>IFERROR(Inv_SY!O794/Inv_SY!$Q794-1,"")</f>
        <v/>
      </c>
    </row>
    <row r="794" spans="1:21">
      <c r="A794" s="91" t="s">
        <v>212</v>
      </c>
      <c r="B794" s="91">
        <v>5</v>
      </c>
      <c r="C794" s="91">
        <v>2024</v>
      </c>
      <c r="D794" s="91" t="s">
        <v>211</v>
      </c>
      <c r="E794" s="91" t="s">
        <v>211</v>
      </c>
      <c r="F794" s="92">
        <v>45444</v>
      </c>
      <c r="G794" s="91">
        <f>DAY(EOMONTH(F794,0))</f>
        <v>30</v>
      </c>
      <c r="H794" s="93">
        <f>H793+1</f>
        <v>45444</v>
      </c>
      <c r="I794" s="145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41" t="str">
        <f>IFERROR(Inv_SY!O795/Inv_SY!$Q795-1,"")</f>
        <v/>
      </c>
    </row>
    <row r="795" spans="1:21">
      <c r="A795" s="91" t="s">
        <v>212</v>
      </c>
      <c r="B795" s="91">
        <v>5</v>
      </c>
      <c r="C795" s="91">
        <v>2024</v>
      </c>
      <c r="D795" s="91" t="s">
        <v>211</v>
      </c>
      <c r="E795" s="91" t="s">
        <v>211</v>
      </c>
      <c r="F795" s="92">
        <v>45444</v>
      </c>
      <c r="G795" s="91">
        <f t="shared" ref="G795:G841" si="20">DAY(EOMONTH(F795,0))</f>
        <v>30</v>
      </c>
      <c r="H795" s="93">
        <f t="shared" ref="H795:H858" si="21">H794+1</f>
        <v>45445</v>
      </c>
      <c r="I795" s="145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41" t="str">
        <f>IFERROR(Inv_SY!O796/Inv_SY!$Q796-1,"")</f>
        <v/>
      </c>
    </row>
    <row r="796" spans="1:21">
      <c r="A796" s="91" t="s">
        <v>212</v>
      </c>
      <c r="B796" s="91">
        <v>5</v>
      </c>
      <c r="C796" s="91">
        <v>2024</v>
      </c>
      <c r="D796" s="91" t="s">
        <v>211</v>
      </c>
      <c r="E796" s="91" t="s">
        <v>211</v>
      </c>
      <c r="F796" s="92">
        <v>45444</v>
      </c>
      <c r="G796" s="91">
        <f t="shared" si="20"/>
        <v>30</v>
      </c>
      <c r="H796" s="93">
        <f t="shared" si="21"/>
        <v>45446</v>
      </c>
      <c r="I796" s="145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41" t="str">
        <f>IFERROR(Inv_SY!O797/Inv_SY!$Q797-1,"")</f>
        <v/>
      </c>
    </row>
    <row r="797" spans="1:21">
      <c r="A797" s="91" t="s">
        <v>212</v>
      </c>
      <c r="B797" s="91">
        <v>5</v>
      </c>
      <c r="C797" s="91">
        <v>2024</v>
      </c>
      <c r="D797" s="91" t="s">
        <v>211</v>
      </c>
      <c r="E797" s="91" t="s">
        <v>211</v>
      </c>
      <c r="F797" s="92">
        <v>45444</v>
      </c>
      <c r="G797" s="91">
        <f t="shared" si="20"/>
        <v>30</v>
      </c>
      <c r="H797" s="93">
        <f t="shared" si="21"/>
        <v>45447</v>
      </c>
      <c r="I797" s="145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41" t="str">
        <f>IFERROR(Inv_SY!O798/Inv_SY!$Q798-1,"")</f>
        <v/>
      </c>
    </row>
    <row r="798" spans="1:21">
      <c r="A798" s="91" t="s">
        <v>212</v>
      </c>
      <c r="B798" s="91">
        <v>5</v>
      </c>
      <c r="C798" s="91">
        <v>2024</v>
      </c>
      <c r="D798" s="91" t="s">
        <v>211</v>
      </c>
      <c r="E798" s="91" t="s">
        <v>211</v>
      </c>
      <c r="F798" s="92">
        <v>45444</v>
      </c>
      <c r="G798" s="91">
        <f t="shared" si="20"/>
        <v>30</v>
      </c>
      <c r="H798" s="93">
        <f t="shared" si="21"/>
        <v>45448</v>
      </c>
      <c r="I798" s="145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41" t="str">
        <f>IFERROR(Inv_SY!O799/Inv_SY!$Q799-1,"")</f>
        <v/>
      </c>
    </row>
    <row r="799" spans="1:21">
      <c r="A799" s="91" t="s">
        <v>212</v>
      </c>
      <c r="B799" s="91">
        <v>5</v>
      </c>
      <c r="C799" s="91">
        <v>2024</v>
      </c>
      <c r="D799" s="91" t="s">
        <v>211</v>
      </c>
      <c r="E799" s="91" t="s">
        <v>211</v>
      </c>
      <c r="F799" s="92">
        <v>45444</v>
      </c>
      <c r="G799" s="91">
        <f t="shared" si="20"/>
        <v>30</v>
      </c>
      <c r="H799" s="93">
        <f t="shared" si="21"/>
        <v>45449</v>
      </c>
      <c r="I799" s="145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41" t="str">
        <f>IFERROR(Inv_SY!O800/Inv_SY!$Q800-1,"")</f>
        <v/>
      </c>
    </row>
    <row r="800" spans="1:21">
      <c r="A800" s="91" t="s">
        <v>212</v>
      </c>
      <c r="B800" s="91">
        <v>5</v>
      </c>
      <c r="C800" s="91">
        <v>2024</v>
      </c>
      <c r="D800" s="91" t="s">
        <v>211</v>
      </c>
      <c r="E800" s="91" t="s">
        <v>211</v>
      </c>
      <c r="F800" s="92">
        <v>45444</v>
      </c>
      <c r="G800" s="91">
        <f t="shared" si="20"/>
        <v>30</v>
      </c>
      <c r="H800" s="93">
        <f t="shared" si="21"/>
        <v>45450</v>
      </c>
      <c r="I800" s="145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41" t="str">
        <f>IFERROR(Inv_SY!O801/Inv_SY!$Q801-1,"")</f>
        <v/>
      </c>
    </row>
    <row r="801" spans="1:21">
      <c r="A801" s="91" t="s">
        <v>212</v>
      </c>
      <c r="B801" s="91">
        <v>5</v>
      </c>
      <c r="C801" s="91">
        <v>2024</v>
      </c>
      <c r="D801" s="91" t="s">
        <v>211</v>
      </c>
      <c r="E801" s="91" t="s">
        <v>211</v>
      </c>
      <c r="F801" s="92">
        <v>45444</v>
      </c>
      <c r="G801" s="91">
        <f t="shared" si="20"/>
        <v>30</v>
      </c>
      <c r="H801" s="93">
        <f t="shared" si="21"/>
        <v>45451</v>
      </c>
      <c r="I801" s="145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41" t="str">
        <f>IFERROR(Inv_SY!O802/Inv_SY!$Q802-1,"")</f>
        <v/>
      </c>
    </row>
    <row r="802" spans="1:21">
      <c r="A802" s="91" t="s">
        <v>212</v>
      </c>
      <c r="B802" s="91">
        <v>5</v>
      </c>
      <c r="C802" s="91">
        <v>2024</v>
      </c>
      <c r="D802" s="91" t="s">
        <v>211</v>
      </c>
      <c r="E802" s="91" t="s">
        <v>211</v>
      </c>
      <c r="F802" s="92">
        <v>45444</v>
      </c>
      <c r="G802" s="91">
        <f t="shared" si="20"/>
        <v>30</v>
      </c>
      <c r="H802" s="93">
        <f t="shared" si="21"/>
        <v>45452</v>
      </c>
      <c r="I802" s="145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41" t="str">
        <f>IFERROR(Inv_SY!O803/Inv_SY!$Q803-1,"")</f>
        <v/>
      </c>
    </row>
    <row r="803" spans="1:21">
      <c r="A803" s="91" t="s">
        <v>212</v>
      </c>
      <c r="B803" s="91">
        <v>5</v>
      </c>
      <c r="C803" s="91">
        <v>2024</v>
      </c>
      <c r="D803" s="91" t="s">
        <v>211</v>
      </c>
      <c r="E803" s="91" t="s">
        <v>211</v>
      </c>
      <c r="F803" s="92">
        <v>45444</v>
      </c>
      <c r="G803" s="91">
        <f t="shared" si="20"/>
        <v>30</v>
      </c>
      <c r="H803" s="93">
        <f t="shared" si="21"/>
        <v>45453</v>
      </c>
      <c r="I803" s="145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41" t="str">
        <f>IFERROR(Inv_SY!O804/Inv_SY!$Q804-1,"")</f>
        <v/>
      </c>
    </row>
    <row r="804" spans="1:21">
      <c r="A804" s="91" t="s">
        <v>212</v>
      </c>
      <c r="B804" s="91">
        <v>5</v>
      </c>
      <c r="C804" s="91">
        <v>2024</v>
      </c>
      <c r="D804" s="91" t="s">
        <v>211</v>
      </c>
      <c r="E804" s="91" t="s">
        <v>211</v>
      </c>
      <c r="F804" s="92">
        <v>45444</v>
      </c>
      <c r="G804" s="91">
        <f t="shared" si="20"/>
        <v>30</v>
      </c>
      <c r="H804" s="93">
        <f t="shared" si="21"/>
        <v>45454</v>
      </c>
      <c r="I804" s="145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41" t="str">
        <f>IFERROR(Inv_SY!O805/Inv_SY!$Q805-1,"")</f>
        <v/>
      </c>
    </row>
    <row r="805" spans="1:21">
      <c r="A805" s="91" t="s">
        <v>212</v>
      </c>
      <c r="B805" s="91">
        <v>5</v>
      </c>
      <c r="C805" s="91">
        <v>2024</v>
      </c>
      <c r="D805" s="91" t="s">
        <v>211</v>
      </c>
      <c r="E805" s="91" t="s">
        <v>211</v>
      </c>
      <c r="F805" s="92">
        <v>45444</v>
      </c>
      <c r="G805" s="91">
        <f t="shared" si="20"/>
        <v>30</v>
      </c>
      <c r="H805" s="93">
        <f t="shared" si="21"/>
        <v>45455</v>
      </c>
      <c r="I805" s="145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41" t="str">
        <f>IFERROR(Inv_SY!O806/Inv_SY!$Q806-1,"")</f>
        <v/>
      </c>
    </row>
    <row r="806" spans="1:21">
      <c r="A806" s="91" t="s">
        <v>212</v>
      </c>
      <c r="B806" s="91">
        <v>5</v>
      </c>
      <c r="C806" s="91">
        <v>2024</v>
      </c>
      <c r="D806" s="91" t="s">
        <v>211</v>
      </c>
      <c r="E806" s="91" t="s">
        <v>211</v>
      </c>
      <c r="F806" s="92">
        <v>45444</v>
      </c>
      <c r="G806" s="91">
        <f t="shared" si="20"/>
        <v>30</v>
      </c>
      <c r="H806" s="93">
        <f t="shared" si="21"/>
        <v>45456</v>
      </c>
      <c r="I806" s="145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41" t="str">
        <f>IFERROR(Inv_SY!O807/Inv_SY!$Q807-1,"")</f>
        <v/>
      </c>
    </row>
    <row r="807" spans="1:21">
      <c r="A807" s="91" t="s">
        <v>212</v>
      </c>
      <c r="B807" s="91">
        <v>5</v>
      </c>
      <c r="C807" s="91">
        <v>2024</v>
      </c>
      <c r="D807" s="91" t="s">
        <v>211</v>
      </c>
      <c r="E807" s="91" t="s">
        <v>211</v>
      </c>
      <c r="F807" s="92">
        <v>45444</v>
      </c>
      <c r="G807" s="91">
        <f t="shared" si="20"/>
        <v>30</v>
      </c>
      <c r="H807" s="93">
        <f t="shared" si="21"/>
        <v>45457</v>
      </c>
      <c r="I807" s="145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41" t="str">
        <f>IFERROR(Inv_SY!O808/Inv_SY!$Q808-1,"")</f>
        <v/>
      </c>
    </row>
    <row r="808" spans="1:21">
      <c r="A808" s="91" t="s">
        <v>212</v>
      </c>
      <c r="B808" s="91">
        <v>5</v>
      </c>
      <c r="C808" s="91">
        <v>2024</v>
      </c>
      <c r="D808" s="91" t="s">
        <v>211</v>
      </c>
      <c r="E808" s="91" t="s">
        <v>211</v>
      </c>
      <c r="F808" s="92">
        <v>45444</v>
      </c>
      <c r="G808" s="91">
        <f t="shared" si="20"/>
        <v>30</v>
      </c>
      <c r="H808" s="93">
        <f t="shared" si="21"/>
        <v>45458</v>
      </c>
      <c r="I808" s="145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41" t="str">
        <f>IFERROR(Inv_SY!O809/Inv_SY!$Q809-1,"")</f>
        <v/>
      </c>
    </row>
    <row r="809" spans="1:21">
      <c r="A809" s="91" t="s">
        <v>212</v>
      </c>
      <c r="B809" s="91">
        <v>5</v>
      </c>
      <c r="C809" s="91">
        <v>2024</v>
      </c>
      <c r="D809" s="91" t="s">
        <v>211</v>
      </c>
      <c r="E809" s="91" t="s">
        <v>211</v>
      </c>
      <c r="F809" s="92">
        <v>45444</v>
      </c>
      <c r="G809" s="91">
        <f t="shared" si="20"/>
        <v>30</v>
      </c>
      <c r="H809" s="93">
        <f t="shared" si="21"/>
        <v>45459</v>
      </c>
      <c r="I809" s="145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41" t="str">
        <f>IFERROR(Inv_SY!O810/Inv_SY!$Q810-1,"")</f>
        <v/>
      </c>
    </row>
    <row r="810" spans="1:21">
      <c r="A810" s="91" t="s">
        <v>212</v>
      </c>
      <c r="B810" s="91">
        <v>5</v>
      </c>
      <c r="C810" s="91">
        <v>2024</v>
      </c>
      <c r="D810" s="91" t="s">
        <v>211</v>
      </c>
      <c r="E810" s="91" t="s">
        <v>211</v>
      </c>
      <c r="F810" s="92">
        <v>45444</v>
      </c>
      <c r="G810" s="91">
        <f t="shared" si="20"/>
        <v>30</v>
      </c>
      <c r="H810" s="93">
        <f t="shared" si="21"/>
        <v>45460</v>
      </c>
      <c r="I810" s="145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41" t="str">
        <f>IFERROR(Inv_SY!O811/Inv_SY!$Q811-1,"")</f>
        <v/>
      </c>
    </row>
    <row r="811" spans="1:21">
      <c r="A811" s="91" t="s">
        <v>212</v>
      </c>
      <c r="B811" s="91">
        <v>5</v>
      </c>
      <c r="C811" s="91">
        <v>2024</v>
      </c>
      <c r="D811" s="91" t="s">
        <v>211</v>
      </c>
      <c r="E811" s="91" t="s">
        <v>211</v>
      </c>
      <c r="F811" s="92">
        <v>45444</v>
      </c>
      <c r="G811" s="91">
        <f t="shared" si="20"/>
        <v>30</v>
      </c>
      <c r="H811" s="93">
        <f t="shared" si="21"/>
        <v>45461</v>
      </c>
      <c r="I811" s="145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41" t="str">
        <f>IFERROR(Inv_SY!O812/Inv_SY!$Q812-1,"")</f>
        <v/>
      </c>
    </row>
    <row r="812" spans="1:21">
      <c r="A812" s="91" t="s">
        <v>212</v>
      </c>
      <c r="B812" s="91">
        <v>5</v>
      </c>
      <c r="C812" s="91">
        <v>2024</v>
      </c>
      <c r="D812" s="91" t="s">
        <v>211</v>
      </c>
      <c r="E812" s="91" t="s">
        <v>211</v>
      </c>
      <c r="F812" s="92">
        <v>45444</v>
      </c>
      <c r="G812" s="91">
        <f t="shared" si="20"/>
        <v>30</v>
      </c>
      <c r="H812" s="93">
        <f t="shared" si="21"/>
        <v>45462</v>
      </c>
      <c r="I812" s="145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41" t="str">
        <f>IFERROR(Inv_SY!O813/Inv_SY!$Q813-1,"")</f>
        <v/>
      </c>
    </row>
    <row r="813" spans="1:21">
      <c r="A813" s="91" t="s">
        <v>212</v>
      </c>
      <c r="B813" s="91">
        <v>5</v>
      </c>
      <c r="C813" s="91">
        <v>2024</v>
      </c>
      <c r="D813" s="91" t="s">
        <v>211</v>
      </c>
      <c r="E813" s="91" t="s">
        <v>211</v>
      </c>
      <c r="F813" s="92">
        <v>45444</v>
      </c>
      <c r="G813" s="91">
        <f t="shared" si="20"/>
        <v>30</v>
      </c>
      <c r="H813" s="93">
        <f t="shared" si="21"/>
        <v>45463</v>
      </c>
      <c r="I813" s="145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41" t="str">
        <f>IFERROR(Inv_SY!O814/Inv_SY!$Q814-1,"")</f>
        <v/>
      </c>
    </row>
    <row r="814" spans="1:21">
      <c r="A814" s="91" t="s">
        <v>212</v>
      </c>
      <c r="B814" s="91">
        <v>5</v>
      </c>
      <c r="C814" s="91">
        <v>2024</v>
      </c>
      <c r="D814" s="91" t="s">
        <v>211</v>
      </c>
      <c r="E814" s="91" t="s">
        <v>211</v>
      </c>
      <c r="F814" s="92">
        <v>45444</v>
      </c>
      <c r="G814" s="91">
        <f t="shared" si="20"/>
        <v>30</v>
      </c>
      <c r="H814" s="93">
        <f t="shared" si="21"/>
        <v>45464</v>
      </c>
      <c r="I814" s="145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41" t="str">
        <f>IFERROR(Inv_SY!O815/Inv_SY!$Q815-1,"")</f>
        <v/>
      </c>
    </row>
    <row r="815" spans="1:21">
      <c r="A815" s="91" t="s">
        <v>212</v>
      </c>
      <c r="B815" s="91">
        <v>5</v>
      </c>
      <c r="C815" s="91">
        <v>2024</v>
      </c>
      <c r="D815" s="91" t="s">
        <v>211</v>
      </c>
      <c r="E815" s="91" t="s">
        <v>211</v>
      </c>
      <c r="F815" s="92">
        <v>45444</v>
      </c>
      <c r="G815" s="91">
        <f t="shared" si="20"/>
        <v>30</v>
      </c>
      <c r="H815" s="93">
        <f t="shared" si="21"/>
        <v>45465</v>
      </c>
      <c r="I815" s="145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41" t="str">
        <f>IFERROR(Inv_SY!O816/Inv_SY!$Q816-1,"")</f>
        <v/>
      </c>
    </row>
    <row r="816" spans="1:21">
      <c r="A816" s="91" t="s">
        <v>212</v>
      </c>
      <c r="B816" s="91">
        <v>5</v>
      </c>
      <c r="C816" s="91">
        <v>2024</v>
      </c>
      <c r="D816" s="91" t="s">
        <v>211</v>
      </c>
      <c r="E816" s="91" t="s">
        <v>211</v>
      </c>
      <c r="F816" s="92">
        <v>45444</v>
      </c>
      <c r="G816" s="91">
        <f t="shared" si="20"/>
        <v>30</v>
      </c>
      <c r="H816" s="93">
        <f t="shared" si="21"/>
        <v>45466</v>
      </c>
      <c r="I816" s="145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41" t="str">
        <f>IFERROR(Inv_SY!O817/Inv_SY!$Q817-1,"")</f>
        <v/>
      </c>
    </row>
    <row r="817" spans="1:21">
      <c r="A817" s="91" t="s">
        <v>212</v>
      </c>
      <c r="B817" s="91">
        <v>5</v>
      </c>
      <c r="C817" s="91">
        <v>2024</v>
      </c>
      <c r="D817" s="91" t="s">
        <v>211</v>
      </c>
      <c r="E817" s="91" t="s">
        <v>211</v>
      </c>
      <c r="F817" s="92">
        <v>45444</v>
      </c>
      <c r="G817" s="91">
        <f t="shared" si="20"/>
        <v>30</v>
      </c>
      <c r="H817" s="93">
        <f t="shared" si="21"/>
        <v>45467</v>
      </c>
      <c r="I817" s="145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41" t="str">
        <f>IFERROR(Inv_SY!O818/Inv_SY!$Q818-1,"")</f>
        <v/>
      </c>
    </row>
    <row r="818" spans="1:21">
      <c r="A818" s="91" t="s">
        <v>212</v>
      </c>
      <c r="B818" s="91">
        <v>5</v>
      </c>
      <c r="C818" s="91">
        <v>2024</v>
      </c>
      <c r="D818" s="91" t="s">
        <v>211</v>
      </c>
      <c r="E818" s="91" t="s">
        <v>211</v>
      </c>
      <c r="F818" s="92">
        <v>45444</v>
      </c>
      <c r="G818" s="91">
        <f t="shared" si="20"/>
        <v>30</v>
      </c>
      <c r="H818" s="93">
        <f t="shared" si="21"/>
        <v>45468</v>
      </c>
      <c r="I818" s="145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41" t="str">
        <f>IFERROR(Inv_SY!O819/Inv_SY!$Q819-1,"")</f>
        <v/>
      </c>
    </row>
    <row r="819" spans="1:21">
      <c r="A819" s="91" t="s">
        <v>212</v>
      </c>
      <c r="B819" s="91">
        <v>5</v>
      </c>
      <c r="C819" s="91">
        <v>2024</v>
      </c>
      <c r="D819" s="91" t="s">
        <v>211</v>
      </c>
      <c r="E819" s="91" t="s">
        <v>211</v>
      </c>
      <c r="F819" s="92">
        <v>45444</v>
      </c>
      <c r="G819" s="91">
        <f t="shared" si="20"/>
        <v>30</v>
      </c>
      <c r="H819" s="93">
        <f t="shared" si="21"/>
        <v>45469</v>
      </c>
      <c r="I819" s="145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41" t="str">
        <f>IFERROR(Inv_SY!O820/Inv_SY!$Q820-1,"")</f>
        <v/>
      </c>
    </row>
    <row r="820" spans="1:21">
      <c r="A820" s="91" t="s">
        <v>212</v>
      </c>
      <c r="B820" s="91">
        <v>5</v>
      </c>
      <c r="C820" s="91">
        <v>2024</v>
      </c>
      <c r="D820" s="91" t="s">
        <v>211</v>
      </c>
      <c r="E820" s="91" t="s">
        <v>211</v>
      </c>
      <c r="F820" s="92">
        <v>45444</v>
      </c>
      <c r="G820" s="91">
        <f t="shared" si="20"/>
        <v>30</v>
      </c>
      <c r="H820" s="93">
        <f t="shared" si="21"/>
        <v>45470</v>
      </c>
      <c r="I820" s="145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41" t="str">
        <f>IFERROR(Inv_SY!O821/Inv_SY!$Q821-1,"")</f>
        <v/>
      </c>
    </row>
    <row r="821" spans="1:21">
      <c r="A821" s="91" t="s">
        <v>212</v>
      </c>
      <c r="B821" s="91">
        <v>5</v>
      </c>
      <c r="C821" s="91">
        <v>2024</v>
      </c>
      <c r="D821" s="91" t="s">
        <v>211</v>
      </c>
      <c r="E821" s="91" t="s">
        <v>211</v>
      </c>
      <c r="F821" s="92">
        <v>45444</v>
      </c>
      <c r="G821" s="91">
        <f t="shared" si="20"/>
        <v>30</v>
      </c>
      <c r="H821" s="93">
        <f t="shared" si="21"/>
        <v>45471</v>
      </c>
      <c r="I821" s="145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41" t="str">
        <f>IFERROR(Inv_SY!O822/Inv_SY!$Q822-1,"")</f>
        <v/>
      </c>
    </row>
    <row r="822" spans="1:21">
      <c r="A822" s="91" t="s">
        <v>212</v>
      </c>
      <c r="B822" s="91">
        <v>5</v>
      </c>
      <c r="C822" s="91">
        <v>2024</v>
      </c>
      <c r="D822" s="91" t="s">
        <v>211</v>
      </c>
      <c r="E822" s="91" t="s">
        <v>211</v>
      </c>
      <c r="F822" s="92">
        <v>45444</v>
      </c>
      <c r="G822" s="91">
        <f t="shared" si="20"/>
        <v>30</v>
      </c>
      <c r="H822" s="93">
        <f t="shared" si="21"/>
        <v>45472</v>
      </c>
      <c r="I822" s="145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41" t="str">
        <f>IFERROR(Inv_SY!O823/Inv_SY!$Q823-1,"")</f>
        <v/>
      </c>
    </row>
    <row r="823" spans="1:21">
      <c r="A823" s="91" t="s">
        <v>212</v>
      </c>
      <c r="B823" s="91">
        <v>5</v>
      </c>
      <c r="C823" s="91">
        <v>2024</v>
      </c>
      <c r="D823" s="91" t="s">
        <v>211</v>
      </c>
      <c r="E823" s="91" t="s">
        <v>211</v>
      </c>
      <c r="F823" s="92">
        <v>45444</v>
      </c>
      <c r="G823" s="91">
        <f t="shared" si="20"/>
        <v>30</v>
      </c>
      <c r="H823" s="93">
        <f t="shared" si="21"/>
        <v>45473</v>
      </c>
      <c r="I823" s="145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41" t="str">
        <f>IFERROR(Inv_SY!O824/Inv_SY!$Q824-1,"")</f>
        <v/>
      </c>
    </row>
    <row r="824" spans="1:21">
      <c r="A824" s="91" t="s">
        <v>212</v>
      </c>
      <c r="B824" s="91">
        <v>7</v>
      </c>
      <c r="C824" s="91">
        <v>2024</v>
      </c>
      <c r="D824" s="91" t="s">
        <v>211</v>
      </c>
      <c r="E824" s="91" t="s">
        <v>211</v>
      </c>
      <c r="F824" s="92">
        <v>45474</v>
      </c>
      <c r="G824" s="91">
        <f t="shared" si="20"/>
        <v>31</v>
      </c>
      <c r="H824" s="93">
        <f t="shared" si="21"/>
        <v>45474</v>
      </c>
      <c r="I824" s="145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41" t="str">
        <f>IFERROR(Inv_SY!O825/Inv_SY!$Q825-1,"")</f>
        <v/>
      </c>
    </row>
    <row r="825" spans="1:21">
      <c r="A825" s="91" t="s">
        <v>212</v>
      </c>
      <c r="B825" s="91">
        <v>7</v>
      </c>
      <c r="C825" s="91">
        <v>2024</v>
      </c>
      <c r="D825" s="91" t="s">
        <v>211</v>
      </c>
      <c r="E825" s="91" t="s">
        <v>211</v>
      </c>
      <c r="F825" s="92">
        <v>45474</v>
      </c>
      <c r="G825" s="91">
        <f t="shared" si="20"/>
        <v>31</v>
      </c>
      <c r="H825" s="93">
        <f t="shared" si="21"/>
        <v>45475</v>
      </c>
      <c r="I825" s="145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41" t="str">
        <f>IFERROR(Inv_SY!O826/Inv_SY!$Q826-1,"")</f>
        <v/>
      </c>
    </row>
    <row r="826" spans="1:21">
      <c r="A826" s="91" t="s">
        <v>212</v>
      </c>
      <c r="B826" s="91">
        <v>7</v>
      </c>
      <c r="C826" s="91">
        <v>2024</v>
      </c>
      <c r="D826" s="91" t="s">
        <v>211</v>
      </c>
      <c r="E826" s="91" t="s">
        <v>211</v>
      </c>
      <c r="F826" s="92">
        <v>45474</v>
      </c>
      <c r="G826" s="91">
        <f t="shared" si="20"/>
        <v>31</v>
      </c>
      <c r="H826" s="93">
        <f t="shared" si="21"/>
        <v>45476</v>
      </c>
      <c r="I826" s="145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41" t="str">
        <f>IFERROR(Inv_SY!O827/Inv_SY!$Q827-1,"")</f>
        <v/>
      </c>
    </row>
    <row r="827" spans="1:21">
      <c r="A827" s="91" t="s">
        <v>212</v>
      </c>
      <c r="B827" s="91">
        <v>7</v>
      </c>
      <c r="C827" s="91">
        <v>2024</v>
      </c>
      <c r="D827" s="91" t="s">
        <v>211</v>
      </c>
      <c r="E827" s="91" t="s">
        <v>211</v>
      </c>
      <c r="F827" s="92">
        <v>45474</v>
      </c>
      <c r="G827" s="91">
        <f t="shared" si="20"/>
        <v>31</v>
      </c>
      <c r="H827" s="93">
        <f t="shared" si="21"/>
        <v>45477</v>
      </c>
      <c r="I827" s="145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41" t="str">
        <f>IFERROR(Inv_SY!O828/Inv_SY!$Q828-1,"")</f>
        <v/>
      </c>
    </row>
    <row r="828" spans="1:21">
      <c r="A828" s="91" t="s">
        <v>212</v>
      </c>
      <c r="B828" s="91">
        <v>7</v>
      </c>
      <c r="C828" s="91">
        <v>2024</v>
      </c>
      <c r="D828" s="91" t="s">
        <v>211</v>
      </c>
      <c r="E828" s="91" t="s">
        <v>211</v>
      </c>
      <c r="F828" s="92">
        <v>45474</v>
      </c>
      <c r="G828" s="91">
        <f t="shared" si="20"/>
        <v>31</v>
      </c>
      <c r="H828" s="93">
        <f t="shared" si="21"/>
        <v>45478</v>
      </c>
      <c r="I828" s="145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41" t="str">
        <f>IFERROR(Inv_SY!O829/Inv_SY!$Q829-1,"")</f>
        <v/>
      </c>
    </row>
    <row r="829" spans="1:21">
      <c r="A829" s="91" t="s">
        <v>212</v>
      </c>
      <c r="B829" s="91">
        <v>7</v>
      </c>
      <c r="C829" s="91">
        <v>2024</v>
      </c>
      <c r="D829" s="91" t="s">
        <v>211</v>
      </c>
      <c r="E829" s="91" t="s">
        <v>211</v>
      </c>
      <c r="F829" s="92">
        <v>45474</v>
      </c>
      <c r="G829" s="91">
        <f t="shared" si="20"/>
        <v>31</v>
      </c>
      <c r="H829" s="93">
        <f t="shared" si="21"/>
        <v>45479</v>
      </c>
      <c r="I829" s="145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41" t="str">
        <f>IFERROR(Inv_SY!O830/Inv_SY!$Q830-1,"")</f>
        <v/>
      </c>
    </row>
    <row r="830" spans="1:21">
      <c r="A830" s="91" t="s">
        <v>212</v>
      </c>
      <c r="B830" s="91">
        <v>7</v>
      </c>
      <c r="C830" s="91">
        <v>2024</v>
      </c>
      <c r="D830" s="91" t="s">
        <v>211</v>
      </c>
      <c r="E830" s="91" t="s">
        <v>211</v>
      </c>
      <c r="F830" s="92">
        <v>45474</v>
      </c>
      <c r="G830" s="91">
        <f t="shared" si="20"/>
        <v>31</v>
      </c>
      <c r="H830" s="93">
        <f t="shared" si="21"/>
        <v>45480</v>
      </c>
      <c r="I830" s="145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41" t="str">
        <f>IFERROR(Inv_SY!O831/Inv_SY!$Q831-1,"")</f>
        <v/>
      </c>
    </row>
    <row r="831" spans="1:21">
      <c r="A831" s="91" t="s">
        <v>212</v>
      </c>
      <c r="B831" s="91">
        <v>7</v>
      </c>
      <c r="C831" s="91">
        <v>2024</v>
      </c>
      <c r="D831" s="91" t="s">
        <v>211</v>
      </c>
      <c r="E831" s="91" t="s">
        <v>211</v>
      </c>
      <c r="F831" s="92">
        <v>45474</v>
      </c>
      <c r="G831" s="91">
        <f t="shared" si="20"/>
        <v>31</v>
      </c>
      <c r="H831" s="93">
        <f t="shared" si="21"/>
        <v>45481</v>
      </c>
      <c r="I831" s="145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41" t="str">
        <f>IFERROR(Inv_SY!O832/Inv_SY!$Q832-1,"")</f>
        <v/>
      </c>
    </row>
    <row r="832" spans="1:21">
      <c r="A832" s="91" t="s">
        <v>212</v>
      </c>
      <c r="B832" s="91">
        <v>7</v>
      </c>
      <c r="C832" s="91">
        <v>2024</v>
      </c>
      <c r="D832" s="91" t="s">
        <v>211</v>
      </c>
      <c r="E832" s="91" t="s">
        <v>211</v>
      </c>
      <c r="F832" s="92">
        <v>45474</v>
      </c>
      <c r="G832" s="91">
        <f t="shared" si="20"/>
        <v>31</v>
      </c>
      <c r="H832" s="93">
        <f t="shared" si="21"/>
        <v>45482</v>
      </c>
      <c r="I832" s="145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41" t="str">
        <f>IFERROR(Inv_SY!O833/Inv_SY!$Q833-1,"")</f>
        <v/>
      </c>
    </row>
    <row r="833" spans="1:21">
      <c r="A833" s="91" t="s">
        <v>212</v>
      </c>
      <c r="B833" s="91">
        <v>7</v>
      </c>
      <c r="C833" s="91">
        <v>2024</v>
      </c>
      <c r="D833" s="91" t="s">
        <v>211</v>
      </c>
      <c r="E833" s="91" t="s">
        <v>211</v>
      </c>
      <c r="F833" s="92">
        <v>45474</v>
      </c>
      <c r="G833" s="91">
        <f t="shared" si="20"/>
        <v>31</v>
      </c>
      <c r="H833" s="93">
        <f t="shared" si="21"/>
        <v>45483</v>
      </c>
      <c r="I833" s="145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41" t="str">
        <f>IFERROR(Inv_SY!O834/Inv_SY!$Q834-1,"")</f>
        <v/>
      </c>
    </row>
    <row r="834" spans="1:21">
      <c r="A834" s="91" t="s">
        <v>212</v>
      </c>
      <c r="B834" s="91">
        <v>7</v>
      </c>
      <c r="C834" s="91">
        <v>2024</v>
      </c>
      <c r="D834" s="91" t="s">
        <v>211</v>
      </c>
      <c r="E834" s="91" t="s">
        <v>211</v>
      </c>
      <c r="F834" s="92">
        <v>45474</v>
      </c>
      <c r="G834" s="91">
        <f t="shared" si="20"/>
        <v>31</v>
      </c>
      <c r="H834" s="93">
        <f t="shared" si="21"/>
        <v>45484</v>
      </c>
      <c r="I834" s="145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41" t="str">
        <f>IFERROR(Inv_SY!O835/Inv_SY!$Q835-1,"")</f>
        <v/>
      </c>
    </row>
    <row r="835" spans="1:21">
      <c r="A835" s="91" t="s">
        <v>212</v>
      </c>
      <c r="B835" s="91">
        <v>7</v>
      </c>
      <c r="C835" s="91">
        <v>2024</v>
      </c>
      <c r="D835" s="91" t="s">
        <v>211</v>
      </c>
      <c r="E835" s="91" t="s">
        <v>211</v>
      </c>
      <c r="F835" s="92">
        <v>45474</v>
      </c>
      <c r="G835" s="91">
        <f t="shared" si="20"/>
        <v>31</v>
      </c>
      <c r="H835" s="93">
        <f t="shared" si="21"/>
        <v>45485</v>
      </c>
      <c r="I835" s="145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41" t="str">
        <f>IFERROR(Inv_SY!O836/Inv_SY!$Q836-1,"")</f>
        <v/>
      </c>
    </row>
    <row r="836" spans="1:21">
      <c r="A836" s="91" t="s">
        <v>212</v>
      </c>
      <c r="B836" s="91">
        <v>7</v>
      </c>
      <c r="C836" s="91">
        <v>2024</v>
      </c>
      <c r="D836" s="91" t="s">
        <v>211</v>
      </c>
      <c r="E836" s="91" t="s">
        <v>211</v>
      </c>
      <c r="F836" s="92">
        <v>45474</v>
      </c>
      <c r="G836" s="91">
        <f t="shared" si="20"/>
        <v>31</v>
      </c>
      <c r="H836" s="93">
        <f t="shared" si="21"/>
        <v>45486</v>
      </c>
      <c r="I836" s="145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41" t="str">
        <f>IFERROR(Inv_SY!O837/Inv_SY!$Q837-1,"")</f>
        <v/>
      </c>
    </row>
    <row r="837" spans="1:21">
      <c r="A837" s="91" t="s">
        <v>212</v>
      </c>
      <c r="B837" s="91">
        <v>7</v>
      </c>
      <c r="C837" s="91">
        <v>2024</v>
      </c>
      <c r="D837" s="91" t="s">
        <v>211</v>
      </c>
      <c r="E837" s="91" t="s">
        <v>211</v>
      </c>
      <c r="F837" s="92">
        <v>45474</v>
      </c>
      <c r="G837" s="91">
        <f t="shared" si="20"/>
        <v>31</v>
      </c>
      <c r="H837" s="93">
        <f t="shared" si="21"/>
        <v>45487</v>
      </c>
      <c r="I837" s="145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41" t="str">
        <f>IFERROR(Inv_SY!O838/Inv_SY!$Q838-1,"")</f>
        <v/>
      </c>
    </row>
    <row r="838" spans="1:21">
      <c r="A838" s="91" t="s">
        <v>212</v>
      </c>
      <c r="B838" s="91">
        <v>7</v>
      </c>
      <c r="C838" s="91">
        <v>2024</v>
      </c>
      <c r="D838" s="91" t="s">
        <v>211</v>
      </c>
      <c r="E838" s="91" t="s">
        <v>211</v>
      </c>
      <c r="F838" s="92">
        <v>45474</v>
      </c>
      <c r="G838" s="91">
        <f t="shared" si="20"/>
        <v>31</v>
      </c>
      <c r="H838" s="93">
        <f t="shared" si="21"/>
        <v>45488</v>
      </c>
      <c r="I838" s="145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41" t="str">
        <f>IFERROR(Inv_SY!O839/Inv_SY!$Q839-1,"")</f>
        <v/>
      </c>
    </row>
    <row r="839" spans="1:21">
      <c r="A839" s="91" t="s">
        <v>212</v>
      </c>
      <c r="B839" s="91">
        <v>7</v>
      </c>
      <c r="C839" s="91">
        <v>2024</v>
      </c>
      <c r="D839" s="91" t="s">
        <v>211</v>
      </c>
      <c r="E839" s="91" t="s">
        <v>211</v>
      </c>
      <c r="F839" s="92">
        <v>45474</v>
      </c>
      <c r="G839" s="91">
        <f t="shared" si="20"/>
        <v>31</v>
      </c>
      <c r="H839" s="93">
        <f t="shared" si="21"/>
        <v>45489</v>
      </c>
      <c r="I839" s="145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41" t="str">
        <f>IFERROR(Inv_SY!O840/Inv_SY!$Q840-1,"")</f>
        <v/>
      </c>
    </row>
    <row r="840" spans="1:21">
      <c r="A840" s="91" t="s">
        <v>212</v>
      </c>
      <c r="B840" s="91">
        <v>7</v>
      </c>
      <c r="C840" s="91">
        <v>2024</v>
      </c>
      <c r="D840" s="91" t="s">
        <v>211</v>
      </c>
      <c r="E840" s="91" t="s">
        <v>211</v>
      </c>
      <c r="F840" s="92">
        <v>45474</v>
      </c>
      <c r="G840" s="91">
        <f t="shared" si="20"/>
        <v>31</v>
      </c>
      <c r="H840" s="93">
        <f t="shared" si="21"/>
        <v>45490</v>
      </c>
      <c r="I840" s="145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41" t="str">
        <f>IFERROR(Inv_SY!O841/Inv_SY!$Q841-1,"")</f>
        <v/>
      </c>
    </row>
    <row r="841" spans="1:21">
      <c r="A841" s="91" t="s">
        <v>212</v>
      </c>
      <c r="B841" s="91">
        <v>7</v>
      </c>
      <c r="C841" s="91">
        <v>2024</v>
      </c>
      <c r="D841" s="91" t="s">
        <v>211</v>
      </c>
      <c r="E841" s="91" t="s">
        <v>211</v>
      </c>
      <c r="F841" s="92">
        <v>45474</v>
      </c>
      <c r="G841" s="91">
        <f t="shared" si="20"/>
        <v>31</v>
      </c>
      <c r="H841" s="93">
        <f t="shared" si="21"/>
        <v>45491</v>
      </c>
      <c r="I841" s="145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41" t="str">
        <f>IFERROR(Inv_SY!O842/Inv_SY!$Q842-1,"")</f>
        <v/>
      </c>
    </row>
    <row r="842" spans="1:21">
      <c r="A842" s="91" t="s">
        <v>212</v>
      </c>
      <c r="B842" s="91">
        <v>7</v>
      </c>
      <c r="C842" s="91">
        <v>2024</v>
      </c>
      <c r="D842" s="91" t="s">
        <v>211</v>
      </c>
      <c r="E842" s="91" t="s">
        <v>211</v>
      </c>
      <c r="F842" s="92">
        <v>45474</v>
      </c>
      <c r="G842" s="91">
        <f t="shared" ref="G842:G852" si="22">DAY(EOMONTH(F842,0))</f>
        <v>31</v>
      </c>
      <c r="H842" s="93">
        <f t="shared" si="21"/>
        <v>45492</v>
      </c>
      <c r="I842" s="145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41" t="str">
        <f>IFERROR(Inv_SY!O843/Inv_SY!$Q843-1,"")</f>
        <v/>
      </c>
    </row>
    <row r="843" spans="1:21">
      <c r="A843" s="91" t="s">
        <v>212</v>
      </c>
      <c r="B843" s="91">
        <v>7</v>
      </c>
      <c r="C843" s="91">
        <v>2024</v>
      </c>
      <c r="D843" s="91" t="s">
        <v>211</v>
      </c>
      <c r="E843" s="91" t="s">
        <v>211</v>
      </c>
      <c r="F843" s="92">
        <v>45474</v>
      </c>
      <c r="G843" s="91">
        <f t="shared" si="22"/>
        <v>31</v>
      </c>
      <c r="H843" s="93">
        <f t="shared" si="21"/>
        <v>45493</v>
      </c>
      <c r="I843" s="145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41" t="str">
        <f>IFERROR(Inv_SY!O844/Inv_SY!$Q844-1,"")</f>
        <v/>
      </c>
    </row>
    <row r="844" spans="1:21">
      <c r="A844" s="91" t="s">
        <v>212</v>
      </c>
      <c r="B844" s="91">
        <v>7</v>
      </c>
      <c r="C844" s="91">
        <v>2024</v>
      </c>
      <c r="D844" s="91" t="s">
        <v>211</v>
      </c>
      <c r="E844" s="91" t="s">
        <v>211</v>
      </c>
      <c r="F844" s="92">
        <v>45474</v>
      </c>
      <c r="G844" s="91">
        <f t="shared" si="22"/>
        <v>31</v>
      </c>
      <c r="H844" s="93">
        <f t="shared" si="21"/>
        <v>45494</v>
      </c>
      <c r="I844" s="145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41" t="str">
        <f>IFERROR(Inv_SY!O845/Inv_SY!$Q845-1,"")</f>
        <v/>
      </c>
    </row>
    <row r="845" spans="1:21">
      <c r="A845" s="91" t="s">
        <v>212</v>
      </c>
      <c r="B845" s="91">
        <v>7</v>
      </c>
      <c r="C845" s="91">
        <v>2024</v>
      </c>
      <c r="D845" s="91" t="s">
        <v>211</v>
      </c>
      <c r="E845" s="91" t="s">
        <v>211</v>
      </c>
      <c r="F845" s="92">
        <v>45474</v>
      </c>
      <c r="G845" s="91">
        <f t="shared" si="22"/>
        <v>31</v>
      </c>
      <c r="H845" s="93">
        <f t="shared" si="21"/>
        <v>45495</v>
      </c>
      <c r="I845" s="145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41" t="str">
        <f>IFERROR(Inv_SY!O846/Inv_SY!$Q846-1,"")</f>
        <v/>
      </c>
    </row>
    <row r="846" spans="1:21">
      <c r="A846" s="91" t="s">
        <v>212</v>
      </c>
      <c r="B846" s="91">
        <v>7</v>
      </c>
      <c r="C846" s="91">
        <v>2024</v>
      </c>
      <c r="D846" s="91" t="s">
        <v>211</v>
      </c>
      <c r="E846" s="91" t="s">
        <v>211</v>
      </c>
      <c r="F846" s="92">
        <v>45474</v>
      </c>
      <c r="G846" s="91">
        <f t="shared" si="22"/>
        <v>31</v>
      </c>
      <c r="H846" s="93">
        <f t="shared" si="21"/>
        <v>45496</v>
      </c>
      <c r="I846" s="145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41" t="str">
        <f>IFERROR(Inv_SY!O847/Inv_SY!$Q847-1,"")</f>
        <v/>
      </c>
    </row>
    <row r="847" spans="1:21">
      <c r="A847" s="91" t="s">
        <v>212</v>
      </c>
      <c r="B847" s="91">
        <v>7</v>
      </c>
      <c r="C847" s="91">
        <v>2024</v>
      </c>
      <c r="D847" s="91" t="s">
        <v>211</v>
      </c>
      <c r="E847" s="91" t="s">
        <v>211</v>
      </c>
      <c r="F847" s="92">
        <v>45474</v>
      </c>
      <c r="G847" s="91">
        <f t="shared" si="22"/>
        <v>31</v>
      </c>
      <c r="H847" s="93">
        <f t="shared" si="21"/>
        <v>45497</v>
      </c>
      <c r="I847" s="145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41" t="str">
        <f>IFERROR(Inv_SY!O848/Inv_SY!$Q848-1,"")</f>
        <v/>
      </c>
    </row>
    <row r="848" spans="1:21">
      <c r="A848" s="91" t="s">
        <v>212</v>
      </c>
      <c r="B848" s="91">
        <v>7</v>
      </c>
      <c r="C848" s="91">
        <v>2024</v>
      </c>
      <c r="D848" s="91" t="s">
        <v>211</v>
      </c>
      <c r="E848" s="91" t="s">
        <v>211</v>
      </c>
      <c r="F848" s="92">
        <v>45474</v>
      </c>
      <c r="G848" s="91">
        <f t="shared" si="22"/>
        <v>31</v>
      </c>
      <c r="H848" s="93">
        <f t="shared" si="21"/>
        <v>45498</v>
      </c>
      <c r="I848" s="145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41" t="str">
        <f>IFERROR(Inv_SY!O849/Inv_SY!$Q849-1,"")</f>
        <v/>
      </c>
    </row>
    <row r="849" spans="1:21">
      <c r="A849" s="91" t="s">
        <v>212</v>
      </c>
      <c r="B849" s="91">
        <v>7</v>
      </c>
      <c r="C849" s="91">
        <v>2024</v>
      </c>
      <c r="D849" s="91" t="s">
        <v>211</v>
      </c>
      <c r="E849" s="91" t="s">
        <v>211</v>
      </c>
      <c r="F849" s="92">
        <v>45474</v>
      </c>
      <c r="G849" s="91">
        <f t="shared" si="22"/>
        <v>31</v>
      </c>
      <c r="H849" s="93">
        <f t="shared" si="21"/>
        <v>45499</v>
      </c>
      <c r="I849" s="145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41" t="str">
        <f>IFERROR(Inv_SY!O850/Inv_SY!$Q850-1,"")</f>
        <v/>
      </c>
    </row>
    <row r="850" spans="1:21">
      <c r="A850" s="91" t="s">
        <v>212</v>
      </c>
      <c r="B850" s="91">
        <v>7</v>
      </c>
      <c r="C850" s="91">
        <v>2024</v>
      </c>
      <c r="D850" s="91" t="s">
        <v>211</v>
      </c>
      <c r="E850" s="91" t="s">
        <v>211</v>
      </c>
      <c r="F850" s="92">
        <v>45474</v>
      </c>
      <c r="G850" s="91">
        <f t="shared" si="22"/>
        <v>31</v>
      </c>
      <c r="H850" s="93">
        <f t="shared" si="21"/>
        <v>45500</v>
      </c>
      <c r="I850" s="145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41" t="str">
        <f>IFERROR(Inv_SY!O851/Inv_SY!$Q851-1,"")</f>
        <v/>
      </c>
    </row>
    <row r="851" spans="1:21">
      <c r="A851" s="91" t="s">
        <v>212</v>
      </c>
      <c r="B851" s="91">
        <v>7</v>
      </c>
      <c r="C851" s="91">
        <v>2024</v>
      </c>
      <c r="D851" s="91" t="s">
        <v>211</v>
      </c>
      <c r="E851" s="91" t="s">
        <v>211</v>
      </c>
      <c r="F851" s="92">
        <v>45474</v>
      </c>
      <c r="G851" s="91">
        <f t="shared" si="22"/>
        <v>31</v>
      </c>
      <c r="H851" s="93">
        <f t="shared" si="21"/>
        <v>45501</v>
      </c>
      <c r="I851" s="145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41" t="str">
        <f>IFERROR(Inv_SY!O852/Inv_SY!$Q852-1,"")</f>
        <v/>
      </c>
    </row>
    <row r="852" spans="1:21">
      <c r="A852" s="91" t="s">
        <v>212</v>
      </c>
      <c r="B852" s="91">
        <v>7</v>
      </c>
      <c r="C852" s="91">
        <v>2024</v>
      </c>
      <c r="D852" s="91" t="s">
        <v>211</v>
      </c>
      <c r="E852" s="91" t="s">
        <v>211</v>
      </c>
      <c r="F852" s="92">
        <v>45474</v>
      </c>
      <c r="G852" s="91">
        <f t="shared" si="22"/>
        <v>31</v>
      </c>
      <c r="H852" s="93">
        <f t="shared" si="21"/>
        <v>45502</v>
      </c>
      <c r="I852" s="145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41" t="str">
        <f>IFERROR(Inv_SY!O853/Inv_SY!$Q853-1,"")</f>
        <v/>
      </c>
    </row>
    <row r="853" spans="1:21">
      <c r="A853" s="91" t="s">
        <v>212</v>
      </c>
      <c r="B853" s="91">
        <v>7</v>
      </c>
      <c r="C853" s="91">
        <v>2024</v>
      </c>
      <c r="D853" s="91" t="s">
        <v>211</v>
      </c>
      <c r="E853" s="91" t="s">
        <v>211</v>
      </c>
      <c r="F853" s="92">
        <v>45474</v>
      </c>
      <c r="G853" s="91">
        <f t="shared" ref="G853:G854" si="23">DAY(EOMONTH(F853,0))</f>
        <v>31</v>
      </c>
      <c r="H853" s="93">
        <f t="shared" si="21"/>
        <v>45503</v>
      </c>
      <c r="I853" s="145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41" t="str">
        <f>IFERROR(Inv_SY!O854/Inv_SY!$Q854-1,"")</f>
        <v/>
      </c>
    </row>
    <row r="854" spans="1:21">
      <c r="A854" s="91" t="s">
        <v>212</v>
      </c>
      <c r="B854" s="91">
        <v>7</v>
      </c>
      <c r="C854" s="91">
        <v>2024</v>
      </c>
      <c r="D854" s="91" t="s">
        <v>211</v>
      </c>
      <c r="E854" s="91" t="s">
        <v>211</v>
      </c>
      <c r="F854" s="92">
        <v>45474</v>
      </c>
      <c r="G854" s="91">
        <f t="shared" si="23"/>
        <v>31</v>
      </c>
      <c r="H854" s="93">
        <f t="shared" si="21"/>
        <v>45504</v>
      </c>
      <c r="I854" s="145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41" t="str">
        <f>IFERROR(Inv_SY!O855/Inv_SY!$Q855-1,"")</f>
        <v/>
      </c>
    </row>
    <row r="855" spans="1:21">
      <c r="A855" s="91" t="s">
        <v>212</v>
      </c>
      <c r="B855" s="91">
        <v>8</v>
      </c>
      <c r="C855" s="91">
        <v>2024</v>
      </c>
      <c r="D855" s="91" t="s">
        <v>211</v>
      </c>
      <c r="E855" s="91" t="s">
        <v>211</v>
      </c>
      <c r="F855" s="92">
        <v>45505</v>
      </c>
      <c r="G855" s="91">
        <f t="shared" ref="G855:G889" si="24">DAY(EOMONTH(F855,0))</f>
        <v>31</v>
      </c>
      <c r="H855" s="93">
        <f t="shared" si="21"/>
        <v>45505</v>
      </c>
      <c r="I855" s="145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41" t="str">
        <f>IFERROR(Inv_SY!O856/Inv_SY!$Q856-1,"")</f>
        <v/>
      </c>
    </row>
    <row r="856" spans="1:21">
      <c r="A856" s="91" t="s">
        <v>212</v>
      </c>
      <c r="B856" s="91">
        <v>8</v>
      </c>
      <c r="C856" s="91">
        <v>2024</v>
      </c>
      <c r="D856" s="91" t="s">
        <v>211</v>
      </c>
      <c r="E856" s="91" t="s">
        <v>211</v>
      </c>
      <c r="F856" s="92">
        <v>45505</v>
      </c>
      <c r="G856" s="91">
        <f t="shared" si="24"/>
        <v>31</v>
      </c>
      <c r="H856" s="93">
        <f t="shared" si="21"/>
        <v>45506</v>
      </c>
      <c r="I856" s="145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41" t="str">
        <f>IFERROR(Inv_SY!O857/Inv_SY!$Q857-1,"")</f>
        <v/>
      </c>
    </row>
    <row r="857" spans="1:21">
      <c r="A857" s="91" t="s">
        <v>212</v>
      </c>
      <c r="B857" s="91">
        <v>8</v>
      </c>
      <c r="C857" s="91">
        <v>2024</v>
      </c>
      <c r="D857" s="91" t="s">
        <v>211</v>
      </c>
      <c r="E857" s="91" t="s">
        <v>211</v>
      </c>
      <c r="F857" s="92">
        <v>45505</v>
      </c>
      <c r="G857" s="91">
        <f t="shared" si="24"/>
        <v>31</v>
      </c>
      <c r="H857" s="93">
        <f t="shared" si="21"/>
        <v>45507</v>
      </c>
      <c r="I857" s="145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41" t="str">
        <f>IFERROR(Inv_SY!O858/Inv_SY!$Q858-1,"")</f>
        <v/>
      </c>
    </row>
    <row r="858" spans="1:21">
      <c r="A858" s="91" t="s">
        <v>212</v>
      </c>
      <c r="B858" s="91">
        <v>8</v>
      </c>
      <c r="C858" s="91">
        <v>2024</v>
      </c>
      <c r="D858" s="91" t="s">
        <v>211</v>
      </c>
      <c r="E858" s="91" t="s">
        <v>211</v>
      </c>
      <c r="F858" s="92">
        <v>45505</v>
      </c>
      <c r="G858" s="91">
        <f t="shared" si="24"/>
        <v>31</v>
      </c>
      <c r="H858" s="93">
        <f t="shared" si="21"/>
        <v>45508</v>
      </c>
      <c r="I858" s="145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41" t="str">
        <f>IFERROR(Inv_SY!O859/Inv_SY!$Q859-1,"")</f>
        <v/>
      </c>
    </row>
    <row r="859" spans="1:21">
      <c r="A859" s="91" t="s">
        <v>212</v>
      </c>
      <c r="B859" s="91">
        <v>8</v>
      </c>
      <c r="C859" s="91">
        <v>2024</v>
      </c>
      <c r="D859" s="91" t="s">
        <v>211</v>
      </c>
      <c r="E859" s="91" t="s">
        <v>211</v>
      </c>
      <c r="F859" s="92">
        <v>45505</v>
      </c>
      <c r="G859" s="91">
        <f t="shared" si="24"/>
        <v>31</v>
      </c>
      <c r="H859" s="93">
        <f t="shared" ref="H859:H922" si="25">H858+1</f>
        <v>45509</v>
      </c>
      <c r="I859" s="145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41" t="str">
        <f>IFERROR(Inv_SY!O860/Inv_SY!$Q860-1,"")</f>
        <v/>
      </c>
    </row>
    <row r="860" spans="1:21">
      <c r="A860" s="91" t="s">
        <v>212</v>
      </c>
      <c r="B860" s="91">
        <v>8</v>
      </c>
      <c r="C860" s="91">
        <v>2024</v>
      </c>
      <c r="D860" s="91" t="s">
        <v>211</v>
      </c>
      <c r="E860" s="91" t="s">
        <v>211</v>
      </c>
      <c r="F860" s="92">
        <v>45505</v>
      </c>
      <c r="G860" s="91">
        <f t="shared" si="24"/>
        <v>31</v>
      </c>
      <c r="H860" s="93">
        <f t="shared" si="25"/>
        <v>45510</v>
      </c>
      <c r="I860" s="145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41" t="str">
        <f>IFERROR(Inv_SY!O861/Inv_SY!$Q861-1,"")</f>
        <v/>
      </c>
    </row>
    <row r="861" spans="1:21">
      <c r="A861" s="91" t="s">
        <v>212</v>
      </c>
      <c r="B861" s="91">
        <v>8</v>
      </c>
      <c r="C861" s="91">
        <v>2024</v>
      </c>
      <c r="D861" s="91" t="s">
        <v>211</v>
      </c>
      <c r="E861" s="91" t="s">
        <v>211</v>
      </c>
      <c r="F861" s="92">
        <v>45505</v>
      </c>
      <c r="G861" s="91">
        <f t="shared" si="24"/>
        <v>31</v>
      </c>
      <c r="H861" s="93">
        <f t="shared" si="25"/>
        <v>45511</v>
      </c>
      <c r="I861" s="145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41" t="str">
        <f>IFERROR(Inv_SY!O862/Inv_SY!$Q862-1,"")</f>
        <v/>
      </c>
    </row>
    <row r="862" spans="1:21">
      <c r="A862" s="91" t="s">
        <v>212</v>
      </c>
      <c r="B862" s="91">
        <v>8</v>
      </c>
      <c r="C862" s="91">
        <v>2024</v>
      </c>
      <c r="D862" s="91" t="s">
        <v>211</v>
      </c>
      <c r="E862" s="91" t="s">
        <v>211</v>
      </c>
      <c r="F862" s="92">
        <v>45505</v>
      </c>
      <c r="G862" s="91">
        <f t="shared" si="24"/>
        <v>31</v>
      </c>
      <c r="H862" s="93">
        <f t="shared" si="25"/>
        <v>45512</v>
      </c>
      <c r="I862" s="145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41" t="str">
        <f>IFERROR(Inv_SY!O863/Inv_SY!$Q863-1,"")</f>
        <v/>
      </c>
    </row>
    <row r="863" spans="1:21">
      <c r="A863" s="91" t="s">
        <v>212</v>
      </c>
      <c r="B863" s="91">
        <v>8</v>
      </c>
      <c r="C863" s="91">
        <v>2024</v>
      </c>
      <c r="D863" s="91" t="s">
        <v>211</v>
      </c>
      <c r="E863" s="91" t="s">
        <v>211</v>
      </c>
      <c r="F863" s="92">
        <v>45505</v>
      </c>
      <c r="G863" s="91">
        <f t="shared" si="24"/>
        <v>31</v>
      </c>
      <c r="H863" s="93">
        <f t="shared" si="25"/>
        <v>45513</v>
      </c>
      <c r="I863" s="145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41" t="str">
        <f>IFERROR(Inv_SY!O864/Inv_SY!$Q864-1,"")</f>
        <v/>
      </c>
    </row>
    <row r="864" spans="1:21">
      <c r="A864" s="91" t="s">
        <v>212</v>
      </c>
      <c r="B864" s="91">
        <v>8</v>
      </c>
      <c r="C864" s="91">
        <v>2024</v>
      </c>
      <c r="D864" s="91" t="s">
        <v>211</v>
      </c>
      <c r="E864" s="91" t="s">
        <v>211</v>
      </c>
      <c r="F864" s="92">
        <v>45505</v>
      </c>
      <c r="G864" s="91">
        <f t="shared" si="24"/>
        <v>31</v>
      </c>
      <c r="H864" s="93">
        <f t="shared" si="25"/>
        <v>45514</v>
      </c>
      <c r="I864" s="145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41" t="str">
        <f>IFERROR(Inv_SY!O865/Inv_SY!$Q865-1,"")</f>
        <v/>
      </c>
    </row>
    <row r="865" spans="1:21">
      <c r="A865" s="91" t="s">
        <v>212</v>
      </c>
      <c r="B865" s="91">
        <v>8</v>
      </c>
      <c r="C865" s="91">
        <v>2024</v>
      </c>
      <c r="D865" s="91" t="s">
        <v>211</v>
      </c>
      <c r="E865" s="91" t="s">
        <v>211</v>
      </c>
      <c r="F865" s="92">
        <v>45505</v>
      </c>
      <c r="G865" s="91">
        <f t="shared" si="24"/>
        <v>31</v>
      </c>
      <c r="H865" s="93">
        <f t="shared" si="25"/>
        <v>45515</v>
      </c>
      <c r="I865" s="145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41" t="str">
        <f>IFERROR(Inv_SY!O866/Inv_SY!$Q866-1,"")</f>
        <v/>
      </c>
    </row>
    <row r="866" spans="1:21">
      <c r="A866" s="91" t="s">
        <v>212</v>
      </c>
      <c r="B866" s="91">
        <v>8</v>
      </c>
      <c r="C866" s="91">
        <v>2024</v>
      </c>
      <c r="D866" s="91" t="s">
        <v>211</v>
      </c>
      <c r="E866" s="91" t="s">
        <v>211</v>
      </c>
      <c r="F866" s="92">
        <v>45505</v>
      </c>
      <c r="G866" s="91">
        <f t="shared" si="24"/>
        <v>31</v>
      </c>
      <c r="H866" s="93">
        <f t="shared" si="25"/>
        <v>45516</v>
      </c>
      <c r="I866" s="145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41" t="str">
        <f>IFERROR(Inv_SY!O867/Inv_SY!$Q867-1,"")</f>
        <v/>
      </c>
    </row>
    <row r="867" spans="1:21">
      <c r="A867" s="91" t="s">
        <v>212</v>
      </c>
      <c r="B867" s="91">
        <v>8</v>
      </c>
      <c r="C867" s="91">
        <v>2024</v>
      </c>
      <c r="D867" s="91" t="s">
        <v>211</v>
      </c>
      <c r="E867" s="91" t="s">
        <v>211</v>
      </c>
      <c r="F867" s="92">
        <v>45505</v>
      </c>
      <c r="G867" s="91">
        <f t="shared" si="24"/>
        <v>31</v>
      </c>
      <c r="H867" s="93">
        <f t="shared" si="25"/>
        <v>45517</v>
      </c>
      <c r="I867" s="145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41" t="str">
        <f>IFERROR(Inv_SY!O868/Inv_SY!$Q868-1,"")</f>
        <v/>
      </c>
    </row>
    <row r="868" spans="1:21">
      <c r="A868" s="91" t="s">
        <v>212</v>
      </c>
      <c r="B868" s="91">
        <v>8</v>
      </c>
      <c r="C868" s="91">
        <v>2024</v>
      </c>
      <c r="D868" s="91" t="s">
        <v>211</v>
      </c>
      <c r="E868" s="91" t="s">
        <v>211</v>
      </c>
      <c r="F868" s="92">
        <v>45505</v>
      </c>
      <c r="G868" s="91">
        <f t="shared" si="24"/>
        <v>31</v>
      </c>
      <c r="H868" s="93">
        <f t="shared" si="25"/>
        <v>45518</v>
      </c>
      <c r="I868" s="145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41" t="str">
        <f>IFERROR(Inv_SY!O869/Inv_SY!$Q869-1,"")</f>
        <v/>
      </c>
    </row>
    <row r="869" spans="1:21">
      <c r="A869" s="91" t="s">
        <v>212</v>
      </c>
      <c r="B869" s="91">
        <v>8</v>
      </c>
      <c r="C869" s="91">
        <v>2024</v>
      </c>
      <c r="D869" s="91" t="s">
        <v>211</v>
      </c>
      <c r="E869" s="91" t="s">
        <v>211</v>
      </c>
      <c r="F869" s="92">
        <v>45505</v>
      </c>
      <c r="G869" s="91">
        <f t="shared" si="24"/>
        <v>31</v>
      </c>
      <c r="H869" s="93">
        <f t="shared" si="25"/>
        <v>45519</v>
      </c>
      <c r="I869" s="145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41" t="str">
        <f>IFERROR(Inv_SY!O870/Inv_SY!$Q870-1,"")</f>
        <v/>
      </c>
    </row>
    <row r="870" spans="1:21">
      <c r="A870" s="91" t="s">
        <v>212</v>
      </c>
      <c r="B870" s="91">
        <v>8</v>
      </c>
      <c r="C870" s="91">
        <v>2024</v>
      </c>
      <c r="D870" s="91" t="s">
        <v>211</v>
      </c>
      <c r="E870" s="91" t="s">
        <v>211</v>
      </c>
      <c r="F870" s="92">
        <v>45505</v>
      </c>
      <c r="G870" s="91">
        <f t="shared" si="24"/>
        <v>31</v>
      </c>
      <c r="H870" s="93">
        <f t="shared" si="25"/>
        <v>45520</v>
      </c>
      <c r="I870" s="145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41" t="str">
        <f>IFERROR(Inv_SY!O871/Inv_SY!$Q871-1,"")</f>
        <v/>
      </c>
    </row>
    <row r="871" spans="1:21">
      <c r="A871" s="91" t="s">
        <v>212</v>
      </c>
      <c r="B871" s="91">
        <v>8</v>
      </c>
      <c r="C871" s="91">
        <v>2024</v>
      </c>
      <c r="D871" s="91" t="s">
        <v>211</v>
      </c>
      <c r="E871" s="91" t="s">
        <v>211</v>
      </c>
      <c r="F871" s="92">
        <v>45505</v>
      </c>
      <c r="G871" s="91">
        <f t="shared" si="24"/>
        <v>31</v>
      </c>
      <c r="H871" s="93">
        <f t="shared" si="25"/>
        <v>45521</v>
      </c>
      <c r="I871" s="145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41" t="str">
        <f>IFERROR(Inv_SY!O872/Inv_SY!$Q872-1,"")</f>
        <v/>
      </c>
    </row>
    <row r="872" spans="1:21">
      <c r="A872" s="91" t="s">
        <v>212</v>
      </c>
      <c r="B872" s="91">
        <v>8</v>
      </c>
      <c r="C872" s="91">
        <v>2024</v>
      </c>
      <c r="D872" s="91" t="s">
        <v>211</v>
      </c>
      <c r="E872" s="91" t="s">
        <v>211</v>
      </c>
      <c r="F872" s="92">
        <v>45505</v>
      </c>
      <c r="G872" s="91">
        <f t="shared" si="24"/>
        <v>31</v>
      </c>
      <c r="H872" s="93">
        <f t="shared" si="25"/>
        <v>45522</v>
      </c>
      <c r="I872" s="145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41" t="str">
        <f>IFERROR(Inv_SY!O873/Inv_SY!$Q873-1,"")</f>
        <v/>
      </c>
    </row>
    <row r="873" spans="1:21">
      <c r="A873" s="91" t="s">
        <v>212</v>
      </c>
      <c r="B873" s="91">
        <v>8</v>
      </c>
      <c r="C873" s="91">
        <v>2024</v>
      </c>
      <c r="D873" s="91" t="s">
        <v>211</v>
      </c>
      <c r="E873" s="91" t="s">
        <v>211</v>
      </c>
      <c r="F873" s="92">
        <v>45505</v>
      </c>
      <c r="G873" s="91">
        <f t="shared" si="24"/>
        <v>31</v>
      </c>
      <c r="H873" s="93">
        <f t="shared" si="25"/>
        <v>45523</v>
      </c>
      <c r="I873" s="145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41" t="str">
        <f>IFERROR(Inv_SY!O874/Inv_SY!$Q874-1,"")</f>
        <v/>
      </c>
    </row>
    <row r="874" spans="1:21">
      <c r="A874" s="91" t="s">
        <v>212</v>
      </c>
      <c r="B874" s="91">
        <v>8</v>
      </c>
      <c r="C874" s="91">
        <v>2024</v>
      </c>
      <c r="D874" s="91" t="s">
        <v>211</v>
      </c>
      <c r="E874" s="91" t="s">
        <v>211</v>
      </c>
      <c r="F874" s="92">
        <v>45505</v>
      </c>
      <c r="G874" s="91">
        <f t="shared" si="24"/>
        <v>31</v>
      </c>
      <c r="H874" s="93">
        <f t="shared" si="25"/>
        <v>45524</v>
      </c>
      <c r="I874" s="145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41" t="str">
        <f>IFERROR(Inv_SY!O875/Inv_SY!$Q875-1,"")</f>
        <v/>
      </c>
    </row>
    <row r="875" spans="1:21">
      <c r="A875" s="91" t="s">
        <v>212</v>
      </c>
      <c r="B875" s="91">
        <v>8</v>
      </c>
      <c r="C875" s="91">
        <v>2024</v>
      </c>
      <c r="D875" s="91" t="s">
        <v>211</v>
      </c>
      <c r="E875" s="91" t="s">
        <v>211</v>
      </c>
      <c r="F875" s="92">
        <v>45505</v>
      </c>
      <c r="G875" s="91">
        <f t="shared" si="24"/>
        <v>31</v>
      </c>
      <c r="H875" s="93">
        <f t="shared" si="25"/>
        <v>45525</v>
      </c>
      <c r="I875" s="145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41" t="str">
        <f>IFERROR(Inv_SY!O876/Inv_SY!$Q876-1,"")</f>
        <v/>
      </c>
    </row>
    <row r="876" spans="1:21">
      <c r="A876" s="91" t="s">
        <v>212</v>
      </c>
      <c r="B876" s="91">
        <v>8</v>
      </c>
      <c r="C876" s="91">
        <v>2024</v>
      </c>
      <c r="D876" s="91" t="s">
        <v>211</v>
      </c>
      <c r="E876" s="91" t="s">
        <v>211</v>
      </c>
      <c r="F876" s="92">
        <v>45505</v>
      </c>
      <c r="G876" s="91">
        <f t="shared" si="24"/>
        <v>31</v>
      </c>
      <c r="H876" s="93">
        <f t="shared" si="25"/>
        <v>45526</v>
      </c>
      <c r="I876" s="145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41" t="str">
        <f>IFERROR(Inv_SY!O877/Inv_SY!$Q877-1,"")</f>
        <v/>
      </c>
    </row>
    <row r="877" spans="1:21">
      <c r="A877" s="91" t="s">
        <v>212</v>
      </c>
      <c r="B877" s="91">
        <v>8</v>
      </c>
      <c r="C877" s="91">
        <v>2024</v>
      </c>
      <c r="D877" s="91" t="s">
        <v>211</v>
      </c>
      <c r="E877" s="91" t="s">
        <v>211</v>
      </c>
      <c r="F877" s="92">
        <v>45505</v>
      </c>
      <c r="G877" s="91">
        <f t="shared" si="24"/>
        <v>31</v>
      </c>
      <c r="H877" s="93">
        <f t="shared" si="25"/>
        <v>45527</v>
      </c>
      <c r="I877" s="145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41" t="str">
        <f>IFERROR(Inv_SY!O878/Inv_SY!$Q878-1,"")</f>
        <v/>
      </c>
    </row>
    <row r="878" spans="1:21">
      <c r="A878" s="91" t="s">
        <v>212</v>
      </c>
      <c r="B878" s="91">
        <v>8</v>
      </c>
      <c r="C878" s="91">
        <v>2024</v>
      </c>
      <c r="D878" s="91" t="s">
        <v>211</v>
      </c>
      <c r="E878" s="91" t="s">
        <v>211</v>
      </c>
      <c r="F878" s="92">
        <v>45505</v>
      </c>
      <c r="G878" s="91">
        <f t="shared" si="24"/>
        <v>31</v>
      </c>
      <c r="H878" s="93">
        <f t="shared" si="25"/>
        <v>45528</v>
      </c>
      <c r="I878" s="145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41" t="str">
        <f>IFERROR(Inv_SY!O879/Inv_SY!$Q879-1,"")</f>
        <v/>
      </c>
    </row>
    <row r="879" spans="1:21">
      <c r="A879" s="91" t="s">
        <v>212</v>
      </c>
      <c r="B879" s="91">
        <v>8</v>
      </c>
      <c r="C879" s="91">
        <v>2024</v>
      </c>
      <c r="D879" s="91" t="s">
        <v>211</v>
      </c>
      <c r="E879" s="91" t="s">
        <v>211</v>
      </c>
      <c r="F879" s="92">
        <v>45505</v>
      </c>
      <c r="G879" s="91">
        <f t="shared" si="24"/>
        <v>31</v>
      </c>
      <c r="H879" s="93">
        <f t="shared" si="25"/>
        <v>45529</v>
      </c>
      <c r="I879" s="145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41" t="str">
        <f>IFERROR(Inv_SY!O880/Inv_SY!$Q880-1,"")</f>
        <v/>
      </c>
    </row>
    <row r="880" spans="1:21">
      <c r="A880" s="91" t="s">
        <v>212</v>
      </c>
      <c r="B880" s="91">
        <v>8</v>
      </c>
      <c r="C880" s="91">
        <v>2024</v>
      </c>
      <c r="D880" s="91" t="s">
        <v>211</v>
      </c>
      <c r="E880" s="91" t="s">
        <v>211</v>
      </c>
      <c r="F880" s="92">
        <v>45505</v>
      </c>
      <c r="G880" s="91">
        <f t="shared" si="24"/>
        <v>31</v>
      </c>
      <c r="H880" s="93">
        <f t="shared" si="25"/>
        <v>45530</v>
      </c>
      <c r="I880" s="145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41" t="str">
        <f>IFERROR(Inv_SY!O881/Inv_SY!$Q881-1,"")</f>
        <v/>
      </c>
    </row>
    <row r="881" spans="1:21">
      <c r="A881" s="91" t="s">
        <v>212</v>
      </c>
      <c r="B881" s="91">
        <v>8</v>
      </c>
      <c r="C881" s="91">
        <v>2024</v>
      </c>
      <c r="D881" s="91" t="s">
        <v>211</v>
      </c>
      <c r="E881" s="91" t="s">
        <v>211</v>
      </c>
      <c r="F881" s="92">
        <v>45505</v>
      </c>
      <c r="G881" s="91">
        <f t="shared" si="24"/>
        <v>31</v>
      </c>
      <c r="H881" s="93">
        <f t="shared" si="25"/>
        <v>45531</v>
      </c>
      <c r="I881" s="145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41" t="str">
        <f>IFERROR(Inv_SY!O882/Inv_SY!$Q882-1,"")</f>
        <v/>
      </c>
    </row>
    <row r="882" spans="1:21">
      <c r="A882" s="91" t="s">
        <v>212</v>
      </c>
      <c r="B882" s="91">
        <v>8</v>
      </c>
      <c r="C882" s="91">
        <v>2024</v>
      </c>
      <c r="D882" s="91" t="s">
        <v>211</v>
      </c>
      <c r="E882" s="91" t="s">
        <v>211</v>
      </c>
      <c r="F882" s="92">
        <v>45505</v>
      </c>
      <c r="G882" s="91">
        <f t="shared" si="24"/>
        <v>31</v>
      </c>
      <c r="H882" s="93">
        <f t="shared" si="25"/>
        <v>45532</v>
      </c>
      <c r="I882" s="145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41" t="str">
        <f>IFERROR(Inv_SY!O883/Inv_SY!$Q883-1,"")</f>
        <v/>
      </c>
    </row>
    <row r="883" spans="1:21">
      <c r="A883" s="91" t="s">
        <v>212</v>
      </c>
      <c r="B883" s="91">
        <v>8</v>
      </c>
      <c r="C883" s="91">
        <v>2024</v>
      </c>
      <c r="D883" s="91" t="s">
        <v>211</v>
      </c>
      <c r="E883" s="91" t="s">
        <v>211</v>
      </c>
      <c r="F883" s="92">
        <v>45505</v>
      </c>
      <c r="G883" s="91">
        <f t="shared" si="24"/>
        <v>31</v>
      </c>
      <c r="H883" s="93">
        <f t="shared" si="25"/>
        <v>45533</v>
      </c>
      <c r="I883" s="145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41" t="str">
        <f>IFERROR(Inv_SY!O884/Inv_SY!$Q884-1,"")</f>
        <v/>
      </c>
    </row>
    <row r="884" spans="1:21">
      <c r="A884" s="91" t="s">
        <v>212</v>
      </c>
      <c r="B884" s="91">
        <v>8</v>
      </c>
      <c r="C884" s="91">
        <v>2024</v>
      </c>
      <c r="D884" s="91" t="s">
        <v>211</v>
      </c>
      <c r="E884" s="91" t="s">
        <v>211</v>
      </c>
      <c r="F884" s="92">
        <v>45505</v>
      </c>
      <c r="G884" s="91">
        <f t="shared" si="24"/>
        <v>31</v>
      </c>
      <c r="H884" s="93">
        <f t="shared" si="25"/>
        <v>45534</v>
      </c>
      <c r="I884" s="145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41" t="str">
        <f>IFERROR(Inv_SY!O885/Inv_SY!$Q885-1,"")</f>
        <v/>
      </c>
    </row>
    <row r="885" spans="1:21">
      <c r="A885" s="91" t="s">
        <v>212</v>
      </c>
      <c r="B885" s="91">
        <v>8</v>
      </c>
      <c r="C885" s="91">
        <v>2024</v>
      </c>
      <c r="D885" s="91" t="s">
        <v>211</v>
      </c>
      <c r="E885" s="91" t="s">
        <v>211</v>
      </c>
      <c r="F885" s="92">
        <v>45505</v>
      </c>
      <c r="G885" s="91">
        <f t="shared" si="24"/>
        <v>31</v>
      </c>
      <c r="H885" s="93">
        <f t="shared" si="25"/>
        <v>45535</v>
      </c>
      <c r="I885" s="145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41" t="str">
        <f>IFERROR(Inv_SY!O886/Inv_SY!$Q886-1,"")</f>
        <v/>
      </c>
    </row>
    <row r="886" spans="1:21">
      <c r="A886" s="91" t="s">
        <v>212</v>
      </c>
      <c r="B886" s="91">
        <v>9</v>
      </c>
      <c r="C886" s="91">
        <v>2024</v>
      </c>
      <c r="D886" s="91" t="s">
        <v>211</v>
      </c>
      <c r="E886" s="91" t="s">
        <v>211</v>
      </c>
      <c r="F886" s="92">
        <v>45536</v>
      </c>
      <c r="G886" s="91">
        <f t="shared" si="24"/>
        <v>30</v>
      </c>
      <c r="H886" s="93">
        <f t="shared" si="25"/>
        <v>45536</v>
      </c>
      <c r="I886" s="145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41" t="str">
        <f>IFERROR(Inv_SY!O887/Inv_SY!$Q887-1,"")</f>
        <v/>
      </c>
    </row>
    <row r="887" spans="1:21">
      <c r="A887" s="91" t="s">
        <v>212</v>
      </c>
      <c r="B887" s="91">
        <v>9</v>
      </c>
      <c r="C887" s="91">
        <v>2024</v>
      </c>
      <c r="D887" s="91" t="s">
        <v>211</v>
      </c>
      <c r="E887" s="91" t="s">
        <v>211</v>
      </c>
      <c r="F887" s="92">
        <v>45536</v>
      </c>
      <c r="G887" s="91">
        <f t="shared" si="24"/>
        <v>30</v>
      </c>
      <c r="H887" s="93">
        <f t="shared" si="25"/>
        <v>45537</v>
      </c>
      <c r="I887" s="145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41" t="str">
        <f>IFERROR(Inv_SY!O888/Inv_SY!$Q888-1,"")</f>
        <v/>
      </c>
    </row>
    <row r="888" spans="1:21">
      <c r="A888" s="91" t="s">
        <v>212</v>
      </c>
      <c r="B888" s="91">
        <v>9</v>
      </c>
      <c r="C888" s="91">
        <v>2024</v>
      </c>
      <c r="D888" s="91" t="s">
        <v>211</v>
      </c>
      <c r="E888" s="91" t="s">
        <v>211</v>
      </c>
      <c r="F888" s="92">
        <v>45536</v>
      </c>
      <c r="G888" s="91">
        <f t="shared" si="24"/>
        <v>30</v>
      </c>
      <c r="H888" s="93">
        <f t="shared" si="25"/>
        <v>45538</v>
      </c>
      <c r="I888" s="145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41" t="str">
        <f>IFERROR(Inv_SY!O889/Inv_SY!$Q889-1,"")</f>
        <v/>
      </c>
    </row>
    <row r="889" spans="1:21">
      <c r="A889" s="91" t="s">
        <v>212</v>
      </c>
      <c r="B889" s="91">
        <v>9</v>
      </c>
      <c r="C889" s="91">
        <v>2024</v>
      </c>
      <c r="D889" s="91" t="s">
        <v>211</v>
      </c>
      <c r="E889" s="91" t="s">
        <v>211</v>
      </c>
      <c r="F889" s="92">
        <v>45536</v>
      </c>
      <c r="G889" s="91">
        <f t="shared" si="24"/>
        <v>30</v>
      </c>
      <c r="H889" s="93">
        <f t="shared" si="25"/>
        <v>45539</v>
      </c>
      <c r="I889" s="145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41" t="str">
        <f>IFERROR(Inv_SY!O890/Inv_SY!$Q890-1,"")</f>
        <v/>
      </c>
    </row>
    <row r="890" spans="1:21">
      <c r="A890" s="91" t="s">
        <v>212</v>
      </c>
      <c r="B890" s="91">
        <v>9</v>
      </c>
      <c r="C890" s="91">
        <v>2024</v>
      </c>
      <c r="D890" s="91" t="s">
        <v>211</v>
      </c>
      <c r="E890" s="91" t="s">
        <v>211</v>
      </c>
      <c r="F890" s="92">
        <v>45536</v>
      </c>
      <c r="G890" s="91">
        <f t="shared" ref="G890:G921" si="26">DAY(EOMONTH(F890,0))</f>
        <v>30</v>
      </c>
      <c r="H890" s="93">
        <f t="shared" si="25"/>
        <v>45540</v>
      </c>
      <c r="I890" s="145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41" t="str">
        <f>IFERROR(Inv_SY!O891/Inv_SY!$Q891-1,"")</f>
        <v/>
      </c>
    </row>
    <row r="891" spans="1:21">
      <c r="A891" s="91" t="s">
        <v>212</v>
      </c>
      <c r="B891" s="91">
        <v>9</v>
      </c>
      <c r="C891" s="91">
        <v>2024</v>
      </c>
      <c r="D891" s="91" t="s">
        <v>211</v>
      </c>
      <c r="E891" s="91" t="s">
        <v>211</v>
      </c>
      <c r="F891" s="92">
        <v>45536</v>
      </c>
      <c r="G891" s="91">
        <f t="shared" si="26"/>
        <v>30</v>
      </c>
      <c r="H891" s="93">
        <f t="shared" si="25"/>
        <v>45541</v>
      </c>
      <c r="I891" s="145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41" t="str">
        <f>IFERROR(Inv_SY!O892/Inv_SY!$Q892-1,"")</f>
        <v/>
      </c>
    </row>
    <row r="892" spans="1:21">
      <c r="A892" s="91" t="s">
        <v>212</v>
      </c>
      <c r="B892" s="91">
        <v>9</v>
      </c>
      <c r="C892" s="91">
        <v>2024</v>
      </c>
      <c r="D892" s="91" t="s">
        <v>211</v>
      </c>
      <c r="E892" s="91" t="s">
        <v>211</v>
      </c>
      <c r="F892" s="92">
        <v>45536</v>
      </c>
      <c r="G892" s="91">
        <f t="shared" si="26"/>
        <v>30</v>
      </c>
      <c r="H892" s="93">
        <f t="shared" si="25"/>
        <v>45542</v>
      </c>
      <c r="I892" s="145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41" t="str">
        <f>IFERROR(Inv_SY!O893/Inv_SY!$Q893-1,"")</f>
        <v/>
      </c>
    </row>
    <row r="893" spans="1:21">
      <c r="A893" s="91" t="s">
        <v>212</v>
      </c>
      <c r="B893" s="91">
        <v>9</v>
      </c>
      <c r="C893" s="91">
        <v>2024</v>
      </c>
      <c r="D893" s="91" t="s">
        <v>211</v>
      </c>
      <c r="E893" s="91" t="s">
        <v>211</v>
      </c>
      <c r="F893" s="92">
        <v>45536</v>
      </c>
      <c r="G893" s="91">
        <f t="shared" si="26"/>
        <v>30</v>
      </c>
      <c r="H893" s="93">
        <f t="shared" si="25"/>
        <v>45543</v>
      </c>
      <c r="I893" s="145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41" t="str">
        <f>IFERROR(Inv_SY!O894/Inv_SY!$Q894-1,"")</f>
        <v/>
      </c>
    </row>
    <row r="894" spans="1:21">
      <c r="A894" s="91" t="s">
        <v>212</v>
      </c>
      <c r="B894" s="91">
        <v>9</v>
      </c>
      <c r="C894" s="91">
        <v>2024</v>
      </c>
      <c r="D894" s="91" t="s">
        <v>211</v>
      </c>
      <c r="E894" s="91" t="s">
        <v>211</v>
      </c>
      <c r="F894" s="92">
        <v>45536</v>
      </c>
      <c r="G894" s="91">
        <f t="shared" si="26"/>
        <v>30</v>
      </c>
      <c r="H894" s="93">
        <f t="shared" si="25"/>
        <v>45544</v>
      </c>
      <c r="I894" s="145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41" t="str">
        <f>IFERROR(Inv_SY!O895/Inv_SY!$Q895-1,"")</f>
        <v/>
      </c>
    </row>
    <row r="895" spans="1:21">
      <c r="A895" s="91" t="s">
        <v>212</v>
      </c>
      <c r="B895" s="91">
        <v>9</v>
      </c>
      <c r="C895" s="91">
        <v>2024</v>
      </c>
      <c r="D895" s="91" t="s">
        <v>211</v>
      </c>
      <c r="E895" s="91" t="s">
        <v>211</v>
      </c>
      <c r="F895" s="92">
        <v>45536</v>
      </c>
      <c r="G895" s="91">
        <f t="shared" si="26"/>
        <v>30</v>
      </c>
      <c r="H895" s="93">
        <f t="shared" si="25"/>
        <v>45545</v>
      </c>
      <c r="I895" s="145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41" t="str">
        <f>IFERROR(Inv_SY!O896/Inv_SY!$Q896-1,"")</f>
        <v/>
      </c>
    </row>
    <row r="896" spans="1:21">
      <c r="A896" s="91" t="s">
        <v>212</v>
      </c>
      <c r="B896" s="91">
        <v>9</v>
      </c>
      <c r="C896" s="91">
        <v>2024</v>
      </c>
      <c r="D896" s="91" t="s">
        <v>211</v>
      </c>
      <c r="E896" s="91" t="s">
        <v>211</v>
      </c>
      <c r="F896" s="92">
        <v>45536</v>
      </c>
      <c r="G896" s="91">
        <f t="shared" si="26"/>
        <v>30</v>
      </c>
      <c r="H896" s="93">
        <f t="shared" si="25"/>
        <v>45546</v>
      </c>
      <c r="I896" s="145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41" t="str">
        <f>IFERROR(Inv_SY!O897/Inv_SY!$Q897-1,"")</f>
        <v/>
      </c>
    </row>
    <row r="897" spans="1:21">
      <c r="A897" s="91" t="s">
        <v>212</v>
      </c>
      <c r="B897" s="91">
        <v>9</v>
      </c>
      <c r="C897" s="91">
        <v>2024</v>
      </c>
      <c r="D897" s="91" t="s">
        <v>211</v>
      </c>
      <c r="E897" s="91" t="s">
        <v>211</v>
      </c>
      <c r="F897" s="92">
        <v>45536</v>
      </c>
      <c r="G897" s="91">
        <f t="shared" si="26"/>
        <v>30</v>
      </c>
      <c r="H897" s="93">
        <f t="shared" si="25"/>
        <v>45547</v>
      </c>
      <c r="I897" s="145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41" t="str">
        <f>IFERROR(Inv_SY!O898/Inv_SY!$Q898-1,"")</f>
        <v/>
      </c>
    </row>
    <row r="898" spans="1:21">
      <c r="A898" s="91" t="s">
        <v>212</v>
      </c>
      <c r="B898" s="91">
        <v>9</v>
      </c>
      <c r="C898" s="91">
        <v>2024</v>
      </c>
      <c r="D898" s="91" t="s">
        <v>211</v>
      </c>
      <c r="E898" s="91" t="s">
        <v>211</v>
      </c>
      <c r="F898" s="92">
        <v>45536</v>
      </c>
      <c r="G898" s="91">
        <f t="shared" si="26"/>
        <v>30</v>
      </c>
      <c r="H898" s="93">
        <f t="shared" si="25"/>
        <v>45548</v>
      </c>
      <c r="I898" s="145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41" t="str">
        <f>IFERROR(Inv_SY!O899/Inv_SY!$Q899-1,"")</f>
        <v/>
      </c>
    </row>
    <row r="899" spans="1:21">
      <c r="A899" s="91" t="s">
        <v>212</v>
      </c>
      <c r="B899" s="91">
        <v>9</v>
      </c>
      <c r="C899" s="91">
        <v>2024</v>
      </c>
      <c r="D899" s="91" t="s">
        <v>211</v>
      </c>
      <c r="E899" s="91" t="s">
        <v>211</v>
      </c>
      <c r="F899" s="92">
        <v>45536</v>
      </c>
      <c r="G899" s="91">
        <f t="shared" si="26"/>
        <v>30</v>
      </c>
      <c r="H899" s="93">
        <f t="shared" si="25"/>
        <v>45549</v>
      </c>
      <c r="I899" s="145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41" t="str">
        <f>IFERROR(Inv_SY!O900/Inv_SY!$Q900-1,"")</f>
        <v/>
      </c>
    </row>
    <row r="900" spans="1:21">
      <c r="A900" s="91" t="s">
        <v>212</v>
      </c>
      <c r="B900" s="91">
        <v>9</v>
      </c>
      <c r="C900" s="91">
        <v>2024</v>
      </c>
      <c r="D900" s="91" t="s">
        <v>211</v>
      </c>
      <c r="E900" s="91" t="s">
        <v>211</v>
      </c>
      <c r="F900" s="92">
        <v>45536</v>
      </c>
      <c r="G900" s="91">
        <f t="shared" si="26"/>
        <v>30</v>
      </c>
      <c r="H900" s="93">
        <f t="shared" si="25"/>
        <v>45550</v>
      </c>
      <c r="I900" s="145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41" t="str">
        <f>IFERROR(Inv_SY!O901/Inv_SY!$Q901-1,"")</f>
        <v/>
      </c>
    </row>
    <row r="901" spans="1:21">
      <c r="A901" s="91" t="s">
        <v>212</v>
      </c>
      <c r="B901" s="91">
        <v>9</v>
      </c>
      <c r="C901" s="91">
        <v>2024</v>
      </c>
      <c r="D901" s="91" t="s">
        <v>211</v>
      </c>
      <c r="E901" s="91" t="s">
        <v>211</v>
      </c>
      <c r="F901" s="92">
        <v>45536</v>
      </c>
      <c r="G901" s="91">
        <f t="shared" si="26"/>
        <v>30</v>
      </c>
      <c r="H901" s="93">
        <f t="shared" si="25"/>
        <v>45551</v>
      </c>
      <c r="I901" s="145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41" t="str">
        <f>IFERROR(Inv_SY!O902/Inv_SY!$Q902-1,"")</f>
        <v/>
      </c>
    </row>
    <row r="902" spans="1:21">
      <c r="A902" s="91" t="s">
        <v>212</v>
      </c>
      <c r="B902" s="91">
        <v>9</v>
      </c>
      <c r="C902" s="91">
        <v>2024</v>
      </c>
      <c r="D902" s="91" t="s">
        <v>211</v>
      </c>
      <c r="E902" s="91" t="s">
        <v>211</v>
      </c>
      <c r="F902" s="92">
        <v>45536</v>
      </c>
      <c r="G902" s="91">
        <f t="shared" si="26"/>
        <v>30</v>
      </c>
      <c r="H902" s="93">
        <f t="shared" si="25"/>
        <v>45552</v>
      </c>
      <c r="I902" s="145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41" t="str">
        <f>IFERROR(Inv_SY!O903/Inv_SY!$Q903-1,"")</f>
        <v/>
      </c>
    </row>
    <row r="903" spans="1:21">
      <c r="A903" s="91" t="s">
        <v>212</v>
      </c>
      <c r="B903" s="91">
        <v>9</v>
      </c>
      <c r="C903" s="91">
        <v>2024</v>
      </c>
      <c r="D903" s="91" t="s">
        <v>211</v>
      </c>
      <c r="E903" s="91" t="s">
        <v>211</v>
      </c>
      <c r="F903" s="92">
        <v>45536</v>
      </c>
      <c r="G903" s="91">
        <f t="shared" si="26"/>
        <v>30</v>
      </c>
      <c r="H903" s="93">
        <f t="shared" si="25"/>
        <v>45553</v>
      </c>
      <c r="I903" s="145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41" t="str">
        <f>IFERROR(Inv_SY!O904/Inv_SY!$Q904-1,"")</f>
        <v/>
      </c>
    </row>
    <row r="904" spans="1:21">
      <c r="A904" s="91" t="s">
        <v>212</v>
      </c>
      <c r="B904" s="91">
        <v>9</v>
      </c>
      <c r="C904" s="91">
        <v>2024</v>
      </c>
      <c r="D904" s="91" t="s">
        <v>211</v>
      </c>
      <c r="E904" s="91" t="s">
        <v>211</v>
      </c>
      <c r="F904" s="92">
        <v>45536</v>
      </c>
      <c r="G904" s="91">
        <f t="shared" si="26"/>
        <v>30</v>
      </c>
      <c r="H904" s="93">
        <f t="shared" si="25"/>
        <v>45554</v>
      </c>
      <c r="I904" s="145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41" t="str">
        <f>IFERROR(Inv_SY!O905/Inv_SY!$Q905-1,"")</f>
        <v/>
      </c>
    </row>
    <row r="905" spans="1:21">
      <c r="A905" s="91" t="s">
        <v>212</v>
      </c>
      <c r="B905" s="91">
        <v>9</v>
      </c>
      <c r="C905" s="91">
        <v>2024</v>
      </c>
      <c r="D905" s="91" t="s">
        <v>211</v>
      </c>
      <c r="E905" s="91" t="s">
        <v>211</v>
      </c>
      <c r="F905" s="92">
        <v>45536</v>
      </c>
      <c r="G905" s="91">
        <f t="shared" si="26"/>
        <v>30</v>
      </c>
      <c r="H905" s="93">
        <f t="shared" si="25"/>
        <v>45555</v>
      </c>
      <c r="I905" s="145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41" t="str">
        <f>IFERROR(Inv_SY!O906/Inv_SY!$Q906-1,"")</f>
        <v/>
      </c>
    </row>
    <row r="906" spans="1:21">
      <c r="A906" s="91" t="s">
        <v>212</v>
      </c>
      <c r="B906" s="91">
        <v>9</v>
      </c>
      <c r="C906" s="91">
        <v>2024</v>
      </c>
      <c r="D906" s="91" t="s">
        <v>211</v>
      </c>
      <c r="E906" s="91" t="s">
        <v>211</v>
      </c>
      <c r="F906" s="92">
        <v>45536</v>
      </c>
      <c r="G906" s="91">
        <f t="shared" si="26"/>
        <v>30</v>
      </c>
      <c r="H906" s="93">
        <f t="shared" si="25"/>
        <v>45556</v>
      </c>
      <c r="I906" s="145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41" t="str">
        <f>IFERROR(Inv_SY!O907/Inv_SY!$Q907-1,"")</f>
        <v/>
      </c>
    </row>
    <row r="907" spans="1:21">
      <c r="A907" s="91" t="s">
        <v>212</v>
      </c>
      <c r="B907" s="91">
        <v>9</v>
      </c>
      <c r="C907" s="91">
        <v>2024</v>
      </c>
      <c r="D907" s="91" t="s">
        <v>211</v>
      </c>
      <c r="E907" s="91" t="s">
        <v>211</v>
      </c>
      <c r="F907" s="92">
        <v>45536</v>
      </c>
      <c r="G907" s="91">
        <f t="shared" si="26"/>
        <v>30</v>
      </c>
      <c r="H907" s="93">
        <f t="shared" si="25"/>
        <v>45557</v>
      </c>
      <c r="I907" s="145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41" t="str">
        <f>IFERROR(Inv_SY!O908/Inv_SY!$Q908-1,"")</f>
        <v/>
      </c>
    </row>
    <row r="908" spans="1:21">
      <c r="A908" s="91" t="s">
        <v>212</v>
      </c>
      <c r="B908" s="91">
        <v>9</v>
      </c>
      <c r="C908" s="91">
        <v>2024</v>
      </c>
      <c r="D908" s="91" t="s">
        <v>211</v>
      </c>
      <c r="E908" s="91" t="s">
        <v>211</v>
      </c>
      <c r="F908" s="92">
        <v>45536</v>
      </c>
      <c r="G908" s="91">
        <f t="shared" si="26"/>
        <v>30</v>
      </c>
      <c r="H908" s="93">
        <f t="shared" si="25"/>
        <v>45558</v>
      </c>
      <c r="I908" s="145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41" t="str">
        <f>IFERROR(Inv_SY!O909/Inv_SY!$Q909-1,"")</f>
        <v/>
      </c>
    </row>
    <row r="909" spans="1:21">
      <c r="A909" s="91" t="s">
        <v>212</v>
      </c>
      <c r="B909" s="91">
        <v>9</v>
      </c>
      <c r="C909" s="91">
        <v>2024</v>
      </c>
      <c r="D909" s="91" t="s">
        <v>211</v>
      </c>
      <c r="E909" s="91" t="s">
        <v>211</v>
      </c>
      <c r="F909" s="92">
        <v>45536</v>
      </c>
      <c r="G909" s="91">
        <f t="shared" si="26"/>
        <v>30</v>
      </c>
      <c r="H909" s="93">
        <f t="shared" si="25"/>
        <v>45559</v>
      </c>
      <c r="I909" s="145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41" t="str">
        <f>IFERROR(Inv_SY!O910/Inv_SY!$Q910-1,"")</f>
        <v/>
      </c>
    </row>
    <row r="910" spans="1:21">
      <c r="A910" s="91" t="s">
        <v>212</v>
      </c>
      <c r="B910" s="91">
        <v>9</v>
      </c>
      <c r="C910" s="91">
        <v>2024</v>
      </c>
      <c r="D910" s="91" t="s">
        <v>211</v>
      </c>
      <c r="E910" s="91" t="s">
        <v>211</v>
      </c>
      <c r="F910" s="92">
        <v>45536</v>
      </c>
      <c r="G910" s="91">
        <f t="shared" si="26"/>
        <v>30</v>
      </c>
      <c r="H910" s="93">
        <f t="shared" si="25"/>
        <v>45560</v>
      </c>
      <c r="I910" s="145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41" t="str">
        <f>IFERROR(Inv_SY!O911/Inv_SY!$Q911-1,"")</f>
        <v/>
      </c>
    </row>
    <row r="911" spans="1:21">
      <c r="A911" s="91" t="s">
        <v>212</v>
      </c>
      <c r="B911" s="91">
        <v>9</v>
      </c>
      <c r="C911" s="91">
        <v>2024</v>
      </c>
      <c r="D911" s="91" t="s">
        <v>211</v>
      </c>
      <c r="E911" s="91" t="s">
        <v>211</v>
      </c>
      <c r="F911" s="92">
        <v>45536</v>
      </c>
      <c r="G911" s="91">
        <f t="shared" si="26"/>
        <v>30</v>
      </c>
      <c r="H911" s="93">
        <f t="shared" si="25"/>
        <v>45561</v>
      </c>
      <c r="I911" s="145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41" t="str">
        <f>IFERROR(Inv_SY!O912/Inv_SY!$Q912-1,"")</f>
        <v/>
      </c>
    </row>
    <row r="912" spans="1:21">
      <c r="A912" s="91" t="s">
        <v>212</v>
      </c>
      <c r="B912" s="91">
        <v>9</v>
      </c>
      <c r="C912" s="91">
        <v>2024</v>
      </c>
      <c r="D912" s="91" t="s">
        <v>211</v>
      </c>
      <c r="E912" s="91" t="s">
        <v>211</v>
      </c>
      <c r="F912" s="92">
        <v>45536</v>
      </c>
      <c r="G912" s="91">
        <f t="shared" si="26"/>
        <v>30</v>
      </c>
      <c r="H912" s="93">
        <f t="shared" si="25"/>
        <v>45562</v>
      </c>
      <c r="I912" s="145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41" t="str">
        <f>IFERROR(Inv_SY!O913/Inv_SY!$Q913-1,"")</f>
        <v/>
      </c>
    </row>
    <row r="913" spans="1:21">
      <c r="A913" s="91" t="s">
        <v>212</v>
      </c>
      <c r="B913" s="91">
        <v>9</v>
      </c>
      <c r="C913" s="91">
        <v>2024</v>
      </c>
      <c r="D913" s="91" t="s">
        <v>211</v>
      </c>
      <c r="E913" s="91" t="s">
        <v>211</v>
      </c>
      <c r="F913" s="92">
        <v>45536</v>
      </c>
      <c r="G913" s="91">
        <f t="shared" si="26"/>
        <v>30</v>
      </c>
      <c r="H913" s="93">
        <f t="shared" si="25"/>
        <v>45563</v>
      </c>
      <c r="I913" s="145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41" t="str">
        <f>IFERROR(Inv_SY!O914/Inv_SY!$Q914-1,"")</f>
        <v/>
      </c>
    </row>
    <row r="914" spans="1:21">
      <c r="A914" s="91" t="s">
        <v>212</v>
      </c>
      <c r="B914" s="91">
        <v>9</v>
      </c>
      <c r="C914" s="91">
        <v>2024</v>
      </c>
      <c r="D914" s="91" t="s">
        <v>211</v>
      </c>
      <c r="E914" s="91" t="s">
        <v>211</v>
      </c>
      <c r="F914" s="92">
        <v>45536</v>
      </c>
      <c r="G914" s="91">
        <f t="shared" si="26"/>
        <v>30</v>
      </c>
      <c r="H914" s="93">
        <f t="shared" si="25"/>
        <v>45564</v>
      </c>
      <c r="I914" s="145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41" t="str">
        <f>IFERROR(Inv_SY!O915/Inv_SY!$Q915-1,"")</f>
        <v/>
      </c>
    </row>
    <row r="915" spans="1:21">
      <c r="A915" s="91" t="s">
        <v>212</v>
      </c>
      <c r="B915" s="91">
        <v>9</v>
      </c>
      <c r="C915" s="91">
        <v>2024</v>
      </c>
      <c r="D915" s="91" t="s">
        <v>211</v>
      </c>
      <c r="E915" s="91" t="s">
        <v>211</v>
      </c>
      <c r="F915" s="92">
        <v>45536</v>
      </c>
      <c r="G915" s="91">
        <f t="shared" si="26"/>
        <v>30</v>
      </c>
      <c r="H915" s="93">
        <f t="shared" si="25"/>
        <v>45565</v>
      </c>
      <c r="I915" s="145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41" t="str">
        <f>IFERROR(Inv_SY!O916/Inv_SY!$Q916-1,"")</f>
        <v/>
      </c>
    </row>
    <row r="916" spans="1:21">
      <c r="A916" s="91" t="s">
        <v>212</v>
      </c>
      <c r="B916" s="91">
        <v>9</v>
      </c>
      <c r="C916" s="91">
        <v>2024</v>
      </c>
      <c r="D916" s="91" t="s">
        <v>211</v>
      </c>
      <c r="E916" s="91" t="s">
        <v>211</v>
      </c>
      <c r="F916" s="92">
        <v>45566</v>
      </c>
      <c r="G916" s="91">
        <f t="shared" si="26"/>
        <v>31</v>
      </c>
      <c r="H916" s="93">
        <f t="shared" si="25"/>
        <v>45566</v>
      </c>
      <c r="I916" s="145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41" t="str">
        <f>IFERROR(Inv_SY!O917/Inv_SY!$Q917-1,"")</f>
        <v/>
      </c>
    </row>
    <row r="917" spans="1:21">
      <c r="A917" s="91" t="s">
        <v>212</v>
      </c>
      <c r="B917" s="91">
        <v>9</v>
      </c>
      <c r="C917" s="91">
        <v>2024</v>
      </c>
      <c r="D917" s="91" t="s">
        <v>211</v>
      </c>
      <c r="E917" s="91" t="s">
        <v>211</v>
      </c>
      <c r="F917" s="92">
        <v>45566</v>
      </c>
      <c r="G917" s="91">
        <f t="shared" si="26"/>
        <v>31</v>
      </c>
      <c r="H917" s="93">
        <f t="shared" si="25"/>
        <v>45567</v>
      </c>
      <c r="I917" s="145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41" t="str">
        <f>IFERROR(Inv_SY!O918/Inv_SY!$Q918-1,"")</f>
        <v/>
      </c>
    </row>
    <row r="918" spans="1:21">
      <c r="A918" s="91" t="s">
        <v>212</v>
      </c>
      <c r="B918" s="91">
        <v>9</v>
      </c>
      <c r="C918" s="91">
        <v>2024</v>
      </c>
      <c r="D918" s="91" t="s">
        <v>211</v>
      </c>
      <c r="E918" s="91" t="s">
        <v>211</v>
      </c>
      <c r="F918" s="92">
        <v>45566</v>
      </c>
      <c r="G918" s="91">
        <f t="shared" si="26"/>
        <v>31</v>
      </c>
      <c r="H918" s="93">
        <f t="shared" si="25"/>
        <v>45568</v>
      </c>
      <c r="I918" s="145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41" t="str">
        <f>IFERROR(Inv_SY!O919/Inv_SY!$Q919-1,"")</f>
        <v/>
      </c>
    </row>
    <row r="919" spans="1:21">
      <c r="A919" s="91" t="s">
        <v>212</v>
      </c>
      <c r="B919" s="91">
        <v>9</v>
      </c>
      <c r="C919" s="91">
        <v>2024</v>
      </c>
      <c r="D919" s="91" t="s">
        <v>211</v>
      </c>
      <c r="E919" s="91" t="s">
        <v>211</v>
      </c>
      <c r="F919" s="92">
        <v>45566</v>
      </c>
      <c r="G919" s="91">
        <f t="shared" si="26"/>
        <v>31</v>
      </c>
      <c r="H919" s="93">
        <f t="shared" si="25"/>
        <v>45569</v>
      </c>
      <c r="I919" s="145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41" t="str">
        <f>IFERROR(Inv_SY!O920/Inv_SY!$Q920-1,"")</f>
        <v/>
      </c>
    </row>
    <row r="920" spans="1:21">
      <c r="A920" s="91" t="s">
        <v>212</v>
      </c>
      <c r="B920" s="91">
        <v>9</v>
      </c>
      <c r="C920" s="91">
        <v>2024</v>
      </c>
      <c r="D920" s="91" t="s">
        <v>211</v>
      </c>
      <c r="E920" s="91" t="s">
        <v>211</v>
      </c>
      <c r="F920" s="92">
        <v>45566</v>
      </c>
      <c r="G920" s="91">
        <f t="shared" si="26"/>
        <v>31</v>
      </c>
      <c r="H920" s="93">
        <f t="shared" si="25"/>
        <v>45570</v>
      </c>
      <c r="I920" s="145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41" t="str">
        <f>IFERROR(Inv_SY!O921/Inv_SY!$Q921-1,"")</f>
        <v/>
      </c>
    </row>
    <row r="921" spans="1:21">
      <c r="A921" s="91" t="s">
        <v>212</v>
      </c>
      <c r="B921" s="91">
        <v>9</v>
      </c>
      <c r="C921" s="91">
        <v>2024</v>
      </c>
      <c r="D921" s="91" t="s">
        <v>211</v>
      </c>
      <c r="E921" s="91" t="s">
        <v>211</v>
      </c>
      <c r="F921" s="92">
        <v>45566</v>
      </c>
      <c r="G921" s="91">
        <f t="shared" si="26"/>
        <v>31</v>
      </c>
      <c r="H921" s="93">
        <f t="shared" si="25"/>
        <v>45571</v>
      </c>
      <c r="I921" s="145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41" t="str">
        <f>IFERROR(Inv_SY!O922/Inv_SY!$Q922-1,"")</f>
        <v/>
      </c>
    </row>
    <row r="922" spans="1:21">
      <c r="A922" s="91" t="s">
        <v>212</v>
      </c>
      <c r="B922" s="91">
        <v>9</v>
      </c>
      <c r="C922" s="91">
        <v>2024</v>
      </c>
      <c r="D922" s="91" t="s">
        <v>211</v>
      </c>
      <c r="E922" s="91" t="s">
        <v>211</v>
      </c>
      <c r="F922" s="92">
        <v>45566</v>
      </c>
      <c r="G922" s="91">
        <f t="shared" ref="G922:G953" si="27">DAY(EOMONTH(F922,0))</f>
        <v>31</v>
      </c>
      <c r="H922" s="93">
        <f t="shared" si="25"/>
        <v>45572</v>
      </c>
      <c r="I922" s="145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41" t="str">
        <f>IFERROR(Inv_SY!O923/Inv_SY!$Q923-1,"")</f>
        <v/>
      </c>
    </row>
    <row r="923" spans="1:21">
      <c r="A923" s="91" t="s">
        <v>212</v>
      </c>
      <c r="B923" s="91">
        <v>9</v>
      </c>
      <c r="C923" s="91">
        <v>2024</v>
      </c>
      <c r="D923" s="91" t="s">
        <v>211</v>
      </c>
      <c r="E923" s="91" t="s">
        <v>211</v>
      </c>
      <c r="F923" s="92">
        <v>45566</v>
      </c>
      <c r="G923" s="91">
        <f t="shared" si="27"/>
        <v>31</v>
      </c>
      <c r="H923" s="93">
        <f t="shared" ref="H923:H986" si="28">H922+1</f>
        <v>45573</v>
      </c>
      <c r="I923" s="145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41" t="str">
        <f>IFERROR(Inv_SY!O924/Inv_SY!$Q924-1,"")</f>
        <v/>
      </c>
    </row>
    <row r="924" spans="1:21">
      <c r="A924" s="91" t="s">
        <v>212</v>
      </c>
      <c r="B924" s="91">
        <v>9</v>
      </c>
      <c r="C924" s="91">
        <v>2024</v>
      </c>
      <c r="D924" s="91" t="s">
        <v>211</v>
      </c>
      <c r="E924" s="91" t="s">
        <v>211</v>
      </c>
      <c r="F924" s="92">
        <v>45566</v>
      </c>
      <c r="G924" s="91">
        <f t="shared" si="27"/>
        <v>31</v>
      </c>
      <c r="H924" s="93">
        <f t="shared" si="28"/>
        <v>45574</v>
      </c>
      <c r="I924" s="145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41" t="str">
        <f>IFERROR(Inv_SY!O925/Inv_SY!$Q925-1,"")</f>
        <v/>
      </c>
    </row>
    <row r="925" spans="1:21">
      <c r="A925" s="91" t="s">
        <v>212</v>
      </c>
      <c r="B925" s="91">
        <v>9</v>
      </c>
      <c r="C925" s="91">
        <v>2024</v>
      </c>
      <c r="D925" s="91" t="s">
        <v>211</v>
      </c>
      <c r="E925" s="91" t="s">
        <v>211</v>
      </c>
      <c r="F925" s="92">
        <v>45566</v>
      </c>
      <c r="G925" s="91">
        <f t="shared" si="27"/>
        <v>31</v>
      </c>
      <c r="H925" s="93">
        <f t="shared" si="28"/>
        <v>45575</v>
      </c>
      <c r="I925" s="145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41" t="str">
        <f>IFERROR(Inv_SY!O926/Inv_SY!$Q926-1,"")</f>
        <v/>
      </c>
    </row>
    <row r="926" spans="1:21">
      <c r="A926" s="91" t="s">
        <v>212</v>
      </c>
      <c r="B926" s="91">
        <v>9</v>
      </c>
      <c r="C926" s="91">
        <v>2024</v>
      </c>
      <c r="D926" s="91" t="s">
        <v>211</v>
      </c>
      <c r="E926" s="91" t="s">
        <v>211</v>
      </c>
      <c r="F926" s="92">
        <v>45566</v>
      </c>
      <c r="G926" s="91">
        <f t="shared" si="27"/>
        <v>31</v>
      </c>
      <c r="H926" s="93">
        <f t="shared" si="28"/>
        <v>45576</v>
      </c>
      <c r="I926" s="145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41" t="str">
        <f>IFERROR(Inv_SY!O927/Inv_SY!$Q927-1,"")</f>
        <v/>
      </c>
    </row>
    <row r="927" spans="1:21">
      <c r="A927" s="91" t="s">
        <v>212</v>
      </c>
      <c r="B927" s="91">
        <v>9</v>
      </c>
      <c r="C927" s="91">
        <v>2024</v>
      </c>
      <c r="D927" s="91" t="s">
        <v>211</v>
      </c>
      <c r="E927" s="91" t="s">
        <v>211</v>
      </c>
      <c r="F927" s="92">
        <v>45566</v>
      </c>
      <c r="G927" s="91">
        <f t="shared" si="27"/>
        <v>31</v>
      </c>
      <c r="H927" s="93">
        <f t="shared" si="28"/>
        <v>45577</v>
      </c>
      <c r="I927" s="145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41" t="str">
        <f>IFERROR(Inv_SY!O928/Inv_SY!$Q928-1,"")</f>
        <v/>
      </c>
    </row>
    <row r="928" spans="1:21">
      <c r="A928" s="91" t="s">
        <v>212</v>
      </c>
      <c r="B928" s="91">
        <v>9</v>
      </c>
      <c r="C928" s="91">
        <v>2024</v>
      </c>
      <c r="D928" s="91" t="s">
        <v>211</v>
      </c>
      <c r="E928" s="91" t="s">
        <v>211</v>
      </c>
      <c r="F928" s="92">
        <v>45566</v>
      </c>
      <c r="G928" s="91">
        <f t="shared" si="27"/>
        <v>31</v>
      </c>
      <c r="H928" s="93">
        <f t="shared" si="28"/>
        <v>45578</v>
      </c>
      <c r="I928" s="145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41" t="str">
        <f>IFERROR(Inv_SY!O929/Inv_SY!$Q929-1,"")</f>
        <v/>
      </c>
    </row>
    <row r="929" spans="1:21">
      <c r="A929" s="91" t="s">
        <v>212</v>
      </c>
      <c r="B929" s="91">
        <v>9</v>
      </c>
      <c r="C929" s="91">
        <v>2024</v>
      </c>
      <c r="D929" s="91" t="s">
        <v>211</v>
      </c>
      <c r="E929" s="91" t="s">
        <v>211</v>
      </c>
      <c r="F929" s="92">
        <v>45566</v>
      </c>
      <c r="G929" s="91">
        <f t="shared" si="27"/>
        <v>31</v>
      </c>
      <c r="H929" s="93">
        <f t="shared" si="28"/>
        <v>45579</v>
      </c>
      <c r="I929" s="145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41" t="str">
        <f>IFERROR(Inv_SY!O930/Inv_SY!$Q930-1,"")</f>
        <v/>
      </c>
    </row>
    <row r="930" spans="1:21">
      <c r="A930" s="91" t="s">
        <v>212</v>
      </c>
      <c r="B930" s="91">
        <v>9</v>
      </c>
      <c r="C930" s="91">
        <v>2024</v>
      </c>
      <c r="D930" s="91" t="s">
        <v>211</v>
      </c>
      <c r="E930" s="91" t="s">
        <v>211</v>
      </c>
      <c r="F930" s="92">
        <v>45566</v>
      </c>
      <c r="G930" s="91">
        <f t="shared" si="27"/>
        <v>31</v>
      </c>
      <c r="H930" s="93">
        <f t="shared" si="28"/>
        <v>45580</v>
      </c>
      <c r="I930" s="145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41" t="str">
        <f>IFERROR(Inv_SY!O931/Inv_SY!$Q931-1,"")</f>
        <v/>
      </c>
    </row>
    <row r="931" spans="1:21">
      <c r="A931" s="91" t="s">
        <v>212</v>
      </c>
      <c r="B931" s="91">
        <v>9</v>
      </c>
      <c r="C931" s="91">
        <v>2024</v>
      </c>
      <c r="D931" s="91" t="s">
        <v>211</v>
      </c>
      <c r="E931" s="91" t="s">
        <v>211</v>
      </c>
      <c r="F931" s="92">
        <v>45566</v>
      </c>
      <c r="G931" s="91">
        <f t="shared" si="27"/>
        <v>31</v>
      </c>
      <c r="H931" s="93">
        <f t="shared" si="28"/>
        <v>45581</v>
      </c>
      <c r="I931" s="145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41" t="str">
        <f>IFERROR(Inv_SY!O932/Inv_SY!$Q932-1,"")</f>
        <v/>
      </c>
    </row>
    <row r="932" spans="1:21">
      <c r="A932" s="91" t="s">
        <v>212</v>
      </c>
      <c r="B932" s="91">
        <v>9</v>
      </c>
      <c r="C932" s="91">
        <v>2024</v>
      </c>
      <c r="D932" s="91" t="s">
        <v>211</v>
      </c>
      <c r="E932" s="91" t="s">
        <v>211</v>
      </c>
      <c r="F932" s="92">
        <v>45566</v>
      </c>
      <c r="G932" s="91">
        <f t="shared" si="27"/>
        <v>31</v>
      </c>
      <c r="H932" s="93">
        <f t="shared" si="28"/>
        <v>45582</v>
      </c>
      <c r="I932" s="145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41" t="str">
        <f>IFERROR(Inv_SY!O933/Inv_SY!$Q933-1,"")</f>
        <v/>
      </c>
    </row>
    <row r="933" spans="1:21">
      <c r="A933" s="91" t="s">
        <v>212</v>
      </c>
      <c r="B933" s="91">
        <v>9</v>
      </c>
      <c r="C933" s="91">
        <v>2024</v>
      </c>
      <c r="D933" s="91" t="s">
        <v>211</v>
      </c>
      <c r="E933" s="91" t="s">
        <v>211</v>
      </c>
      <c r="F933" s="92">
        <v>45566</v>
      </c>
      <c r="G933" s="91">
        <f t="shared" si="27"/>
        <v>31</v>
      </c>
      <c r="H933" s="93">
        <f t="shared" si="28"/>
        <v>45583</v>
      </c>
      <c r="I933" s="145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41" t="str">
        <f>IFERROR(Inv_SY!O934/Inv_SY!$Q934-1,"")</f>
        <v/>
      </c>
    </row>
    <row r="934" spans="1:21">
      <c r="A934" s="91" t="s">
        <v>212</v>
      </c>
      <c r="B934" s="91">
        <v>9</v>
      </c>
      <c r="C934" s="91">
        <v>2024</v>
      </c>
      <c r="D934" s="91" t="s">
        <v>211</v>
      </c>
      <c r="E934" s="91" t="s">
        <v>211</v>
      </c>
      <c r="F934" s="92">
        <v>45566</v>
      </c>
      <c r="G934" s="91">
        <f t="shared" si="27"/>
        <v>31</v>
      </c>
      <c r="H934" s="93">
        <f t="shared" si="28"/>
        <v>45584</v>
      </c>
      <c r="I934" s="145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41" t="str">
        <f>IFERROR(Inv_SY!O935/Inv_SY!$Q935-1,"")</f>
        <v/>
      </c>
    </row>
    <row r="935" spans="1:21">
      <c r="A935" s="91" t="s">
        <v>212</v>
      </c>
      <c r="B935" s="91">
        <v>9</v>
      </c>
      <c r="C935" s="91">
        <v>2024</v>
      </c>
      <c r="D935" s="91" t="s">
        <v>211</v>
      </c>
      <c r="E935" s="91" t="s">
        <v>211</v>
      </c>
      <c r="F935" s="92">
        <v>45566</v>
      </c>
      <c r="G935" s="91">
        <f t="shared" si="27"/>
        <v>31</v>
      </c>
      <c r="H935" s="93">
        <f t="shared" si="28"/>
        <v>45585</v>
      </c>
      <c r="I935" s="145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41" t="str">
        <f>IFERROR(Inv_SY!O936/Inv_SY!$Q936-1,"")</f>
        <v/>
      </c>
    </row>
    <row r="936" spans="1:21">
      <c r="A936" s="91" t="s">
        <v>212</v>
      </c>
      <c r="B936" s="91">
        <v>9</v>
      </c>
      <c r="C936" s="91">
        <v>2024</v>
      </c>
      <c r="D936" s="91" t="s">
        <v>211</v>
      </c>
      <c r="E936" s="91" t="s">
        <v>211</v>
      </c>
      <c r="F936" s="92">
        <v>45566</v>
      </c>
      <c r="G936" s="91">
        <f t="shared" si="27"/>
        <v>31</v>
      </c>
      <c r="H936" s="93">
        <f t="shared" si="28"/>
        <v>45586</v>
      </c>
      <c r="I936" s="145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41" t="str">
        <f>IFERROR(Inv_SY!O937/Inv_SY!$Q937-1,"")</f>
        <v/>
      </c>
    </row>
    <row r="937" spans="1:21">
      <c r="A937" s="91" t="s">
        <v>212</v>
      </c>
      <c r="B937" s="91">
        <v>9</v>
      </c>
      <c r="C937" s="91">
        <v>2024</v>
      </c>
      <c r="D937" s="91" t="s">
        <v>211</v>
      </c>
      <c r="E937" s="91" t="s">
        <v>211</v>
      </c>
      <c r="F937" s="92">
        <v>45566</v>
      </c>
      <c r="G937" s="91">
        <f t="shared" si="27"/>
        <v>31</v>
      </c>
      <c r="H937" s="93">
        <f t="shared" si="28"/>
        <v>45587</v>
      </c>
      <c r="I937" s="145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41" t="str">
        <f>IFERROR(Inv_SY!O938/Inv_SY!$Q938-1,"")</f>
        <v/>
      </c>
    </row>
    <row r="938" spans="1:21">
      <c r="A938" s="91" t="s">
        <v>212</v>
      </c>
      <c r="B938" s="91">
        <v>9</v>
      </c>
      <c r="C938" s="91">
        <v>2024</v>
      </c>
      <c r="D938" s="91" t="s">
        <v>211</v>
      </c>
      <c r="E938" s="91" t="s">
        <v>211</v>
      </c>
      <c r="F938" s="92">
        <v>45566</v>
      </c>
      <c r="G938" s="91">
        <f t="shared" si="27"/>
        <v>31</v>
      </c>
      <c r="H938" s="93">
        <f t="shared" si="28"/>
        <v>45588</v>
      </c>
      <c r="I938" s="145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41" t="str">
        <f>IFERROR(Inv_SY!O939/Inv_SY!$Q939-1,"")</f>
        <v/>
      </c>
    </row>
    <row r="939" spans="1:21">
      <c r="A939" s="91" t="s">
        <v>212</v>
      </c>
      <c r="B939" s="91">
        <v>9</v>
      </c>
      <c r="C939" s="91">
        <v>2024</v>
      </c>
      <c r="D939" s="91" t="s">
        <v>211</v>
      </c>
      <c r="E939" s="91" t="s">
        <v>211</v>
      </c>
      <c r="F939" s="92">
        <v>45566</v>
      </c>
      <c r="G939" s="91">
        <f t="shared" si="27"/>
        <v>31</v>
      </c>
      <c r="H939" s="93">
        <f t="shared" si="28"/>
        <v>45589</v>
      </c>
      <c r="I939" s="145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41" t="str">
        <f>IFERROR(Inv_SY!O940/Inv_SY!$Q940-1,"")</f>
        <v/>
      </c>
    </row>
    <row r="940" spans="1:21">
      <c r="A940" s="91" t="s">
        <v>212</v>
      </c>
      <c r="B940" s="91">
        <v>9</v>
      </c>
      <c r="C940" s="91">
        <v>2024</v>
      </c>
      <c r="D940" s="91" t="s">
        <v>211</v>
      </c>
      <c r="E940" s="91" t="s">
        <v>211</v>
      </c>
      <c r="F940" s="92">
        <v>45566</v>
      </c>
      <c r="G940" s="91">
        <f t="shared" si="27"/>
        <v>31</v>
      </c>
      <c r="H940" s="93">
        <f t="shared" si="28"/>
        <v>45590</v>
      </c>
      <c r="I940" s="145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41" t="str">
        <f>IFERROR(Inv_SY!O941/Inv_SY!$Q941-1,"")</f>
        <v/>
      </c>
    </row>
    <row r="941" spans="1:21">
      <c r="A941" s="91" t="s">
        <v>212</v>
      </c>
      <c r="B941" s="91">
        <v>9</v>
      </c>
      <c r="C941" s="91">
        <v>2024</v>
      </c>
      <c r="D941" s="91" t="s">
        <v>211</v>
      </c>
      <c r="E941" s="91" t="s">
        <v>211</v>
      </c>
      <c r="F941" s="92">
        <v>45566</v>
      </c>
      <c r="G941" s="91">
        <f t="shared" si="27"/>
        <v>31</v>
      </c>
      <c r="H941" s="93">
        <f t="shared" si="28"/>
        <v>45591</v>
      </c>
      <c r="I941" s="145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41" t="str">
        <f>IFERROR(Inv_SY!O942/Inv_SY!$Q942-1,"")</f>
        <v/>
      </c>
    </row>
    <row r="942" spans="1:21">
      <c r="A942" s="91" t="s">
        <v>212</v>
      </c>
      <c r="B942" s="91">
        <v>9</v>
      </c>
      <c r="C942" s="91">
        <v>2024</v>
      </c>
      <c r="D942" s="91" t="s">
        <v>211</v>
      </c>
      <c r="E942" s="91" t="s">
        <v>211</v>
      </c>
      <c r="F942" s="92">
        <v>45566</v>
      </c>
      <c r="G942" s="91">
        <f t="shared" si="27"/>
        <v>31</v>
      </c>
      <c r="H942" s="93">
        <f t="shared" si="28"/>
        <v>45592</v>
      </c>
      <c r="I942" s="145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41" t="str">
        <f>IFERROR(Inv_SY!O943/Inv_SY!$Q943-1,"")</f>
        <v/>
      </c>
    </row>
    <row r="943" spans="1:21">
      <c r="A943" s="91" t="s">
        <v>212</v>
      </c>
      <c r="B943" s="91">
        <v>9</v>
      </c>
      <c r="C943" s="91">
        <v>2024</v>
      </c>
      <c r="D943" s="91" t="s">
        <v>211</v>
      </c>
      <c r="E943" s="91" t="s">
        <v>211</v>
      </c>
      <c r="F943" s="92">
        <v>45566</v>
      </c>
      <c r="G943" s="91">
        <f t="shared" si="27"/>
        <v>31</v>
      </c>
      <c r="H943" s="93">
        <f t="shared" si="28"/>
        <v>45593</v>
      </c>
      <c r="I943" s="145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41" t="str">
        <f>IFERROR(Inv_SY!O944/Inv_SY!$Q944-1,"")</f>
        <v/>
      </c>
    </row>
    <row r="944" spans="1:21">
      <c r="A944" s="91" t="s">
        <v>212</v>
      </c>
      <c r="B944" s="91">
        <v>9</v>
      </c>
      <c r="C944" s="91">
        <v>2024</v>
      </c>
      <c r="D944" s="91" t="s">
        <v>211</v>
      </c>
      <c r="E944" s="91" t="s">
        <v>211</v>
      </c>
      <c r="F944" s="92">
        <v>45566</v>
      </c>
      <c r="G944" s="91">
        <f t="shared" si="27"/>
        <v>31</v>
      </c>
      <c r="H944" s="93">
        <f t="shared" si="28"/>
        <v>45594</v>
      </c>
      <c r="I944" s="145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41" t="str">
        <f>IFERROR(Inv_SY!O945/Inv_SY!$Q945-1,"")</f>
        <v/>
      </c>
    </row>
    <row r="945" spans="1:21">
      <c r="A945" s="91" t="s">
        <v>212</v>
      </c>
      <c r="B945" s="91">
        <v>9</v>
      </c>
      <c r="C945" s="91">
        <v>2024</v>
      </c>
      <c r="D945" s="91" t="s">
        <v>211</v>
      </c>
      <c r="E945" s="91" t="s">
        <v>211</v>
      </c>
      <c r="F945" s="92">
        <v>45566</v>
      </c>
      <c r="G945" s="91">
        <f t="shared" si="27"/>
        <v>31</v>
      </c>
      <c r="H945" s="93">
        <f t="shared" si="28"/>
        <v>45595</v>
      </c>
      <c r="I945" s="145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41" t="str">
        <f>IFERROR(Inv_SY!O946/Inv_SY!$Q946-1,"")</f>
        <v/>
      </c>
    </row>
    <row r="946" spans="1:21">
      <c r="A946" s="91" t="s">
        <v>212</v>
      </c>
      <c r="B946" s="91">
        <v>9</v>
      </c>
      <c r="C946" s="91">
        <v>2024</v>
      </c>
      <c r="D946" s="91" t="s">
        <v>211</v>
      </c>
      <c r="E946" s="91" t="s">
        <v>211</v>
      </c>
      <c r="F946" s="92">
        <v>45566</v>
      </c>
      <c r="G946" s="91">
        <f t="shared" si="27"/>
        <v>31</v>
      </c>
      <c r="H946" s="93">
        <f t="shared" si="28"/>
        <v>45596</v>
      </c>
      <c r="I946" s="145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41" t="str">
        <f>IFERROR(Inv_SY!O947/Inv_SY!$Q947-1,"")</f>
        <v/>
      </c>
    </row>
    <row r="947" spans="1:21">
      <c r="A947" s="91" t="s">
        <v>212</v>
      </c>
      <c r="B947" s="91">
        <v>9</v>
      </c>
      <c r="C947" s="91">
        <v>2024</v>
      </c>
      <c r="D947" s="91" t="s">
        <v>211</v>
      </c>
      <c r="E947" s="91" t="s">
        <v>211</v>
      </c>
      <c r="F947" s="92">
        <v>45597</v>
      </c>
      <c r="G947" s="91">
        <f t="shared" si="27"/>
        <v>30</v>
      </c>
      <c r="H947" s="93">
        <f t="shared" si="28"/>
        <v>45597</v>
      </c>
      <c r="I947" s="145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41" t="str">
        <f>IFERROR(Inv_SY!O948/Inv_SY!$Q948-1,"")</f>
        <v/>
      </c>
    </row>
    <row r="948" spans="1:21">
      <c r="A948" s="91" t="s">
        <v>212</v>
      </c>
      <c r="B948" s="91">
        <v>9</v>
      </c>
      <c r="C948" s="91">
        <v>2024</v>
      </c>
      <c r="D948" s="91" t="s">
        <v>211</v>
      </c>
      <c r="E948" s="91" t="s">
        <v>211</v>
      </c>
      <c r="F948" s="92">
        <v>45597</v>
      </c>
      <c r="G948" s="91">
        <f t="shared" si="27"/>
        <v>30</v>
      </c>
      <c r="H948" s="93">
        <f t="shared" si="28"/>
        <v>45598</v>
      </c>
      <c r="I948" s="145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41" t="str">
        <f>IFERROR(Inv_SY!O949/Inv_SY!$Q949-1,"")</f>
        <v/>
      </c>
    </row>
    <row r="949" spans="1:21">
      <c r="A949" s="91" t="s">
        <v>212</v>
      </c>
      <c r="B949" s="91">
        <v>9</v>
      </c>
      <c r="C949" s="91">
        <v>2024</v>
      </c>
      <c r="D949" s="91" t="s">
        <v>211</v>
      </c>
      <c r="E949" s="91" t="s">
        <v>211</v>
      </c>
      <c r="F949" s="92">
        <v>45597</v>
      </c>
      <c r="G949" s="91">
        <f t="shared" si="27"/>
        <v>30</v>
      </c>
      <c r="H949" s="93">
        <f t="shared" si="28"/>
        <v>45599</v>
      </c>
      <c r="I949" s="145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41" t="str">
        <f>IFERROR(Inv_SY!O950/Inv_SY!$Q950-1,"")</f>
        <v/>
      </c>
    </row>
    <row r="950" spans="1:21">
      <c r="A950" s="91" t="s">
        <v>212</v>
      </c>
      <c r="B950" s="91">
        <v>9</v>
      </c>
      <c r="C950" s="91">
        <v>2024</v>
      </c>
      <c r="D950" s="91" t="s">
        <v>211</v>
      </c>
      <c r="E950" s="91" t="s">
        <v>211</v>
      </c>
      <c r="F950" s="92">
        <v>45597</v>
      </c>
      <c r="G950" s="91">
        <f t="shared" si="27"/>
        <v>30</v>
      </c>
      <c r="H950" s="93">
        <f t="shared" si="28"/>
        <v>45600</v>
      </c>
      <c r="I950" s="145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41" t="str">
        <f>IFERROR(Inv_SY!O951/Inv_SY!$Q951-1,"")</f>
        <v/>
      </c>
    </row>
    <row r="951" spans="1:21">
      <c r="A951" s="91" t="s">
        <v>212</v>
      </c>
      <c r="B951" s="91">
        <v>9</v>
      </c>
      <c r="C951" s="91">
        <v>2024</v>
      </c>
      <c r="D951" s="91" t="s">
        <v>211</v>
      </c>
      <c r="E951" s="91" t="s">
        <v>211</v>
      </c>
      <c r="F951" s="92">
        <v>45597</v>
      </c>
      <c r="G951" s="91">
        <f t="shared" si="27"/>
        <v>30</v>
      </c>
      <c r="H951" s="93">
        <f t="shared" si="28"/>
        <v>45601</v>
      </c>
      <c r="I951" s="145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41" t="str">
        <f>IFERROR(Inv_SY!O952/Inv_SY!$Q952-1,"")</f>
        <v/>
      </c>
    </row>
    <row r="952" spans="1:21">
      <c r="A952" s="91" t="s">
        <v>212</v>
      </c>
      <c r="B952" s="91">
        <v>9</v>
      </c>
      <c r="C952" s="91">
        <v>2024</v>
      </c>
      <c r="D952" s="91" t="s">
        <v>211</v>
      </c>
      <c r="E952" s="91" t="s">
        <v>211</v>
      </c>
      <c r="F952" s="92">
        <v>45597</v>
      </c>
      <c r="G952" s="91">
        <f t="shared" si="27"/>
        <v>30</v>
      </c>
      <c r="H952" s="93">
        <f t="shared" si="28"/>
        <v>45602</v>
      </c>
      <c r="I952" s="145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41" t="str">
        <f>IFERROR(Inv_SY!O953/Inv_SY!$Q953-1,"")</f>
        <v/>
      </c>
    </row>
    <row r="953" spans="1:21">
      <c r="A953" s="91" t="s">
        <v>212</v>
      </c>
      <c r="B953" s="91">
        <v>9</v>
      </c>
      <c r="C953" s="91">
        <v>2024</v>
      </c>
      <c r="D953" s="91" t="s">
        <v>211</v>
      </c>
      <c r="E953" s="91" t="s">
        <v>211</v>
      </c>
      <c r="F953" s="92">
        <v>45597</v>
      </c>
      <c r="G953" s="91">
        <f t="shared" si="27"/>
        <v>30</v>
      </c>
      <c r="H953" s="93">
        <f t="shared" si="28"/>
        <v>45603</v>
      </c>
      <c r="I953" s="145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41" t="str">
        <f>IFERROR(Inv_SY!O954/Inv_SY!$Q954-1,"")</f>
        <v/>
      </c>
    </row>
    <row r="954" spans="1:21">
      <c r="A954" s="91" t="s">
        <v>212</v>
      </c>
      <c r="B954" s="91">
        <v>9</v>
      </c>
      <c r="C954" s="91">
        <v>2024</v>
      </c>
      <c r="D954" s="91" t="s">
        <v>211</v>
      </c>
      <c r="E954" s="91" t="s">
        <v>211</v>
      </c>
      <c r="F954" s="92">
        <v>45597</v>
      </c>
      <c r="G954" s="91">
        <f t="shared" ref="G954:G985" si="29">DAY(EOMONTH(F954,0))</f>
        <v>30</v>
      </c>
      <c r="H954" s="93">
        <f t="shared" si="28"/>
        <v>45604</v>
      </c>
      <c r="I954" s="145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41" t="str">
        <f>IFERROR(Inv_SY!O955/Inv_SY!$Q955-1,"")</f>
        <v/>
      </c>
    </row>
    <row r="955" spans="1:21">
      <c r="A955" s="91" t="s">
        <v>212</v>
      </c>
      <c r="B955" s="91">
        <v>9</v>
      </c>
      <c r="C955" s="91">
        <v>2024</v>
      </c>
      <c r="D955" s="91" t="s">
        <v>211</v>
      </c>
      <c r="E955" s="91" t="s">
        <v>211</v>
      </c>
      <c r="F955" s="92">
        <v>45597</v>
      </c>
      <c r="G955" s="91">
        <f t="shared" si="29"/>
        <v>30</v>
      </c>
      <c r="H955" s="93">
        <f t="shared" si="28"/>
        <v>45605</v>
      </c>
      <c r="I955" s="145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41" t="str">
        <f>IFERROR(Inv_SY!O956/Inv_SY!$Q956-1,"")</f>
        <v/>
      </c>
    </row>
    <row r="956" spans="1:21">
      <c r="A956" s="91" t="s">
        <v>212</v>
      </c>
      <c r="B956" s="91">
        <v>9</v>
      </c>
      <c r="C956" s="91">
        <v>2024</v>
      </c>
      <c r="D956" s="91" t="s">
        <v>211</v>
      </c>
      <c r="E956" s="91" t="s">
        <v>211</v>
      </c>
      <c r="F956" s="92">
        <v>45597</v>
      </c>
      <c r="G956" s="91">
        <f t="shared" si="29"/>
        <v>30</v>
      </c>
      <c r="H956" s="93">
        <f t="shared" si="28"/>
        <v>45606</v>
      </c>
      <c r="I956" s="145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41" t="str">
        <f>IFERROR(Inv_SY!O957/Inv_SY!$Q957-1,"")</f>
        <v/>
      </c>
    </row>
    <row r="957" spans="1:21">
      <c r="A957" s="91" t="s">
        <v>212</v>
      </c>
      <c r="B957" s="91">
        <v>9</v>
      </c>
      <c r="C957" s="91">
        <v>2024</v>
      </c>
      <c r="D957" s="91" t="s">
        <v>211</v>
      </c>
      <c r="E957" s="91" t="s">
        <v>211</v>
      </c>
      <c r="F957" s="92">
        <v>45597</v>
      </c>
      <c r="G957" s="91">
        <f t="shared" si="29"/>
        <v>30</v>
      </c>
      <c r="H957" s="93">
        <f t="shared" si="28"/>
        <v>45607</v>
      </c>
      <c r="I957" s="145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41" t="str">
        <f>IFERROR(Inv_SY!O958/Inv_SY!$Q958-1,"")</f>
        <v/>
      </c>
    </row>
    <row r="958" spans="1:21">
      <c r="A958" s="91" t="s">
        <v>212</v>
      </c>
      <c r="B958" s="91">
        <v>9</v>
      </c>
      <c r="C958" s="91">
        <v>2024</v>
      </c>
      <c r="D958" s="91" t="s">
        <v>211</v>
      </c>
      <c r="E958" s="91" t="s">
        <v>211</v>
      </c>
      <c r="F958" s="92">
        <v>45597</v>
      </c>
      <c r="G958" s="91">
        <f t="shared" si="29"/>
        <v>30</v>
      </c>
      <c r="H958" s="93">
        <f t="shared" si="28"/>
        <v>45608</v>
      </c>
      <c r="I958" s="145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41" t="str">
        <f>IFERROR(Inv_SY!O959/Inv_SY!$Q959-1,"")</f>
        <v/>
      </c>
    </row>
    <row r="959" spans="1:21">
      <c r="A959" s="91" t="s">
        <v>212</v>
      </c>
      <c r="B959" s="91">
        <v>9</v>
      </c>
      <c r="C959" s="91">
        <v>2024</v>
      </c>
      <c r="D959" s="91" t="s">
        <v>211</v>
      </c>
      <c r="E959" s="91" t="s">
        <v>211</v>
      </c>
      <c r="F959" s="92">
        <v>45597</v>
      </c>
      <c r="G959" s="91">
        <f t="shared" si="29"/>
        <v>30</v>
      </c>
      <c r="H959" s="93">
        <f t="shared" si="28"/>
        <v>45609</v>
      </c>
      <c r="I959" s="145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41" t="str">
        <f>IFERROR(Inv_SY!O960/Inv_SY!$Q960-1,"")</f>
        <v/>
      </c>
    </row>
    <row r="960" spans="1:21">
      <c r="A960" s="91" t="s">
        <v>212</v>
      </c>
      <c r="B960" s="91">
        <v>9</v>
      </c>
      <c r="C960" s="91">
        <v>2024</v>
      </c>
      <c r="D960" s="91" t="s">
        <v>211</v>
      </c>
      <c r="E960" s="91" t="s">
        <v>211</v>
      </c>
      <c r="F960" s="92">
        <v>45597</v>
      </c>
      <c r="G960" s="91">
        <f t="shared" si="29"/>
        <v>30</v>
      </c>
      <c r="H960" s="93">
        <f t="shared" si="28"/>
        <v>45610</v>
      </c>
      <c r="I960" s="145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41" t="str">
        <f>IFERROR(Inv_SY!O961/Inv_SY!$Q961-1,"")</f>
        <v/>
      </c>
    </row>
    <row r="961" spans="1:21">
      <c r="A961" s="91" t="s">
        <v>212</v>
      </c>
      <c r="B961" s="91">
        <v>9</v>
      </c>
      <c r="C961" s="91">
        <v>2024</v>
      </c>
      <c r="D961" s="91" t="s">
        <v>211</v>
      </c>
      <c r="E961" s="91" t="s">
        <v>211</v>
      </c>
      <c r="F961" s="92">
        <v>45597</v>
      </c>
      <c r="G961" s="91">
        <f t="shared" si="29"/>
        <v>30</v>
      </c>
      <c r="H961" s="93">
        <f t="shared" si="28"/>
        <v>45611</v>
      </c>
      <c r="I961" s="145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41" t="str">
        <f>IFERROR(Inv_SY!O962/Inv_SY!$Q962-1,"")</f>
        <v/>
      </c>
    </row>
    <row r="962" spans="1:21">
      <c r="A962" s="91" t="s">
        <v>212</v>
      </c>
      <c r="B962" s="91">
        <v>9</v>
      </c>
      <c r="C962" s="91">
        <v>2024</v>
      </c>
      <c r="D962" s="91" t="s">
        <v>211</v>
      </c>
      <c r="E962" s="91" t="s">
        <v>211</v>
      </c>
      <c r="F962" s="92">
        <v>45597</v>
      </c>
      <c r="G962" s="91">
        <f t="shared" si="29"/>
        <v>30</v>
      </c>
      <c r="H962" s="93">
        <f t="shared" si="28"/>
        <v>45612</v>
      </c>
      <c r="I962" s="145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41" t="str">
        <f>IFERROR(Inv_SY!O963/Inv_SY!$Q963-1,"")</f>
        <v/>
      </c>
    </row>
    <row r="963" spans="1:21">
      <c r="A963" s="91" t="s">
        <v>212</v>
      </c>
      <c r="B963" s="91">
        <v>9</v>
      </c>
      <c r="C963" s="91">
        <v>2024</v>
      </c>
      <c r="D963" s="91" t="s">
        <v>211</v>
      </c>
      <c r="E963" s="91" t="s">
        <v>211</v>
      </c>
      <c r="F963" s="92">
        <v>45597</v>
      </c>
      <c r="G963" s="91">
        <f t="shared" si="29"/>
        <v>30</v>
      </c>
      <c r="H963" s="93">
        <f t="shared" si="28"/>
        <v>45613</v>
      </c>
      <c r="I963" s="145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41" t="str">
        <f>IFERROR(Inv_SY!O964/Inv_SY!$Q964-1,"")</f>
        <v/>
      </c>
    </row>
    <row r="964" spans="1:21">
      <c r="A964" s="91" t="s">
        <v>212</v>
      </c>
      <c r="B964" s="91">
        <v>9</v>
      </c>
      <c r="C964" s="91">
        <v>2024</v>
      </c>
      <c r="D964" s="91" t="s">
        <v>211</v>
      </c>
      <c r="E964" s="91" t="s">
        <v>211</v>
      </c>
      <c r="F964" s="92">
        <v>45597</v>
      </c>
      <c r="G964" s="91">
        <f t="shared" si="29"/>
        <v>30</v>
      </c>
      <c r="H964" s="93">
        <f t="shared" si="28"/>
        <v>45614</v>
      </c>
      <c r="I964" s="145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41" t="str">
        <f>IFERROR(Inv_SY!O965/Inv_SY!$Q965-1,"")</f>
        <v/>
      </c>
    </row>
    <row r="965" spans="1:21">
      <c r="A965" s="91" t="s">
        <v>212</v>
      </c>
      <c r="B965" s="91">
        <v>9</v>
      </c>
      <c r="C965" s="91">
        <v>2024</v>
      </c>
      <c r="D965" s="91" t="s">
        <v>211</v>
      </c>
      <c r="E965" s="91" t="s">
        <v>211</v>
      </c>
      <c r="F965" s="92">
        <v>45597</v>
      </c>
      <c r="G965" s="91">
        <f t="shared" si="29"/>
        <v>30</v>
      </c>
      <c r="H965" s="93">
        <f t="shared" si="28"/>
        <v>45615</v>
      </c>
      <c r="I965" s="145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41" t="str">
        <f>IFERROR(Inv_SY!O966/Inv_SY!$Q966-1,"")</f>
        <v/>
      </c>
    </row>
    <row r="966" spans="1:21">
      <c r="A966" s="91" t="s">
        <v>212</v>
      </c>
      <c r="B966" s="91">
        <v>9</v>
      </c>
      <c r="C966" s="91">
        <v>2024</v>
      </c>
      <c r="D966" s="91" t="s">
        <v>211</v>
      </c>
      <c r="E966" s="91" t="s">
        <v>211</v>
      </c>
      <c r="F966" s="92">
        <v>45597</v>
      </c>
      <c r="G966" s="91">
        <f t="shared" si="29"/>
        <v>30</v>
      </c>
      <c r="H966" s="93">
        <f t="shared" si="28"/>
        <v>45616</v>
      </c>
      <c r="I966" s="145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41" t="str">
        <f>IFERROR(Inv_SY!O967/Inv_SY!$Q967-1,"")</f>
        <v/>
      </c>
    </row>
    <row r="967" spans="1:21">
      <c r="A967" s="91" t="s">
        <v>212</v>
      </c>
      <c r="B967" s="91">
        <v>9</v>
      </c>
      <c r="C967" s="91">
        <v>2024</v>
      </c>
      <c r="D967" s="91" t="s">
        <v>211</v>
      </c>
      <c r="E967" s="91" t="s">
        <v>211</v>
      </c>
      <c r="F967" s="92">
        <v>45597</v>
      </c>
      <c r="G967" s="91">
        <f t="shared" si="29"/>
        <v>30</v>
      </c>
      <c r="H967" s="93">
        <f t="shared" si="28"/>
        <v>45617</v>
      </c>
      <c r="I967" s="145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41" t="str">
        <f>IFERROR(Inv_SY!O968/Inv_SY!$Q968-1,"")</f>
        <v/>
      </c>
    </row>
    <row r="968" spans="1:21">
      <c r="A968" s="91" t="s">
        <v>212</v>
      </c>
      <c r="B968" s="91">
        <v>9</v>
      </c>
      <c r="C968" s="91">
        <v>2024</v>
      </c>
      <c r="D968" s="91" t="s">
        <v>211</v>
      </c>
      <c r="E968" s="91" t="s">
        <v>211</v>
      </c>
      <c r="F968" s="92">
        <v>45597</v>
      </c>
      <c r="G968" s="91">
        <f t="shared" si="29"/>
        <v>30</v>
      </c>
      <c r="H968" s="93">
        <f t="shared" si="28"/>
        <v>45618</v>
      </c>
      <c r="I968" s="145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41" t="str">
        <f>IFERROR(Inv_SY!O969/Inv_SY!$Q969-1,"")</f>
        <v/>
      </c>
    </row>
    <row r="969" spans="1:21">
      <c r="A969" s="91" t="s">
        <v>212</v>
      </c>
      <c r="B969" s="91">
        <v>9</v>
      </c>
      <c r="C969" s="91">
        <v>2024</v>
      </c>
      <c r="D969" s="91" t="s">
        <v>211</v>
      </c>
      <c r="E969" s="91" t="s">
        <v>211</v>
      </c>
      <c r="F969" s="92">
        <v>45597</v>
      </c>
      <c r="G969" s="91">
        <f t="shared" si="29"/>
        <v>30</v>
      </c>
      <c r="H969" s="93">
        <f t="shared" si="28"/>
        <v>45619</v>
      </c>
      <c r="I969" s="145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41" t="str">
        <f>IFERROR(Inv_SY!O970/Inv_SY!$Q970-1,"")</f>
        <v/>
      </c>
    </row>
    <row r="970" spans="1:21">
      <c r="A970" s="91" t="s">
        <v>212</v>
      </c>
      <c r="B970" s="91">
        <v>9</v>
      </c>
      <c r="C970" s="91">
        <v>2024</v>
      </c>
      <c r="D970" s="91" t="s">
        <v>211</v>
      </c>
      <c r="E970" s="91" t="s">
        <v>211</v>
      </c>
      <c r="F970" s="92">
        <v>45597</v>
      </c>
      <c r="G970" s="91">
        <f t="shared" si="29"/>
        <v>30</v>
      </c>
      <c r="H970" s="93">
        <f t="shared" si="28"/>
        <v>45620</v>
      </c>
      <c r="I970" s="145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41" t="str">
        <f>IFERROR(Inv_SY!O971/Inv_SY!$Q971-1,"")</f>
        <v/>
      </c>
    </row>
    <row r="971" spans="1:21">
      <c r="A971" s="91" t="s">
        <v>212</v>
      </c>
      <c r="B971" s="91">
        <v>9</v>
      </c>
      <c r="C971" s="91">
        <v>2024</v>
      </c>
      <c r="D971" s="91" t="s">
        <v>211</v>
      </c>
      <c r="E971" s="91" t="s">
        <v>211</v>
      </c>
      <c r="F971" s="92">
        <v>45597</v>
      </c>
      <c r="G971" s="91">
        <f t="shared" si="29"/>
        <v>30</v>
      </c>
      <c r="H971" s="93">
        <f t="shared" si="28"/>
        <v>45621</v>
      </c>
      <c r="I971" s="145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41" t="str">
        <f>IFERROR(Inv_SY!O972/Inv_SY!$Q972-1,"")</f>
        <v/>
      </c>
    </row>
    <row r="972" spans="1:21">
      <c r="A972" s="91" t="s">
        <v>212</v>
      </c>
      <c r="B972" s="91">
        <v>9</v>
      </c>
      <c r="C972" s="91">
        <v>2024</v>
      </c>
      <c r="D972" s="91" t="s">
        <v>211</v>
      </c>
      <c r="E972" s="91" t="s">
        <v>211</v>
      </c>
      <c r="F972" s="92">
        <v>45597</v>
      </c>
      <c r="G972" s="91">
        <f t="shared" si="29"/>
        <v>30</v>
      </c>
      <c r="H972" s="93">
        <f t="shared" si="28"/>
        <v>45622</v>
      </c>
      <c r="I972" s="145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41" t="str">
        <f>IFERROR(Inv_SY!O973/Inv_SY!$Q973-1,"")</f>
        <v/>
      </c>
    </row>
    <row r="973" spans="1:21">
      <c r="A973" s="91" t="s">
        <v>212</v>
      </c>
      <c r="B973" s="91">
        <v>9</v>
      </c>
      <c r="C973" s="91">
        <v>2024</v>
      </c>
      <c r="D973" s="91" t="s">
        <v>211</v>
      </c>
      <c r="E973" s="91" t="s">
        <v>211</v>
      </c>
      <c r="F973" s="92">
        <v>45597</v>
      </c>
      <c r="G973" s="91">
        <f t="shared" si="29"/>
        <v>30</v>
      </c>
      <c r="H973" s="93">
        <f t="shared" si="28"/>
        <v>45623</v>
      </c>
      <c r="I973" s="145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41" t="str">
        <f>IFERROR(Inv_SY!O974/Inv_SY!$Q974-1,"")</f>
        <v/>
      </c>
    </row>
    <row r="974" spans="1:21">
      <c r="A974" s="91" t="s">
        <v>212</v>
      </c>
      <c r="B974" s="91">
        <v>9</v>
      </c>
      <c r="C974" s="91">
        <v>2024</v>
      </c>
      <c r="D974" s="91" t="s">
        <v>211</v>
      </c>
      <c r="E974" s="91" t="s">
        <v>211</v>
      </c>
      <c r="F974" s="92">
        <v>45597</v>
      </c>
      <c r="G974" s="91">
        <f t="shared" si="29"/>
        <v>30</v>
      </c>
      <c r="H974" s="93">
        <f t="shared" si="28"/>
        <v>45624</v>
      </c>
      <c r="I974" s="145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41" t="str">
        <f>IFERROR(Inv_SY!O975/Inv_SY!$Q975-1,"")</f>
        <v/>
      </c>
    </row>
    <row r="975" spans="1:21">
      <c r="A975" s="91" t="s">
        <v>212</v>
      </c>
      <c r="B975" s="91">
        <v>9</v>
      </c>
      <c r="C975" s="91">
        <v>2024</v>
      </c>
      <c r="D975" s="91" t="s">
        <v>211</v>
      </c>
      <c r="E975" s="91" t="s">
        <v>211</v>
      </c>
      <c r="F975" s="92">
        <v>45597</v>
      </c>
      <c r="G975" s="91">
        <f t="shared" si="29"/>
        <v>30</v>
      </c>
      <c r="H975" s="93">
        <f t="shared" si="28"/>
        <v>45625</v>
      </c>
      <c r="I975" s="145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41" t="str">
        <f>IFERROR(Inv_SY!O976/Inv_SY!$Q976-1,"")</f>
        <v/>
      </c>
    </row>
    <row r="976" spans="1:21">
      <c r="A976" s="91" t="s">
        <v>212</v>
      </c>
      <c r="B976" s="91">
        <v>9</v>
      </c>
      <c r="C976" s="91">
        <v>2024</v>
      </c>
      <c r="D976" s="91" t="s">
        <v>211</v>
      </c>
      <c r="E976" s="91" t="s">
        <v>211</v>
      </c>
      <c r="F976" s="92">
        <v>45597</v>
      </c>
      <c r="G976" s="91">
        <f t="shared" si="29"/>
        <v>30</v>
      </c>
      <c r="H976" s="93">
        <f t="shared" si="28"/>
        <v>45626</v>
      </c>
      <c r="I976" s="145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41" t="str">
        <f>IFERROR(Inv_SY!O977/Inv_SY!$Q977-1,"")</f>
        <v/>
      </c>
    </row>
    <row r="977" spans="1:21">
      <c r="A977" s="91" t="s">
        <v>212</v>
      </c>
      <c r="B977" s="91">
        <v>9</v>
      </c>
      <c r="C977" s="91">
        <v>2024</v>
      </c>
      <c r="D977" s="91" t="s">
        <v>211</v>
      </c>
      <c r="E977" s="91" t="s">
        <v>211</v>
      </c>
      <c r="F977" s="92">
        <v>45627</v>
      </c>
      <c r="G977" s="91">
        <f t="shared" si="29"/>
        <v>31</v>
      </c>
      <c r="H977" s="93">
        <f t="shared" si="28"/>
        <v>45627</v>
      </c>
      <c r="I977" s="145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41" t="str">
        <f>IFERROR(Inv_SY!O978/Inv_SY!$Q978-1,"")</f>
        <v/>
      </c>
    </row>
    <row r="978" spans="1:21">
      <c r="A978" s="91" t="s">
        <v>212</v>
      </c>
      <c r="B978" s="91">
        <v>9</v>
      </c>
      <c r="C978" s="91">
        <v>2024</v>
      </c>
      <c r="D978" s="91" t="s">
        <v>211</v>
      </c>
      <c r="E978" s="91" t="s">
        <v>211</v>
      </c>
      <c r="F978" s="92">
        <v>45627</v>
      </c>
      <c r="G978" s="91">
        <f t="shared" si="29"/>
        <v>31</v>
      </c>
      <c r="H978" s="93">
        <f t="shared" si="28"/>
        <v>45628</v>
      </c>
      <c r="I978" s="145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41" t="str">
        <f>IFERROR(Inv_SY!O979/Inv_SY!$Q979-1,"")</f>
        <v/>
      </c>
    </row>
    <row r="979" spans="1:21">
      <c r="A979" s="91" t="s">
        <v>212</v>
      </c>
      <c r="B979" s="91">
        <v>9</v>
      </c>
      <c r="C979" s="91">
        <v>2024</v>
      </c>
      <c r="D979" s="91" t="s">
        <v>211</v>
      </c>
      <c r="E979" s="91" t="s">
        <v>211</v>
      </c>
      <c r="F979" s="92">
        <v>45627</v>
      </c>
      <c r="G979" s="91">
        <f t="shared" si="29"/>
        <v>31</v>
      </c>
      <c r="H979" s="93">
        <f t="shared" si="28"/>
        <v>45629</v>
      </c>
      <c r="I979" s="145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41" t="str">
        <f>IFERROR(Inv_SY!O980/Inv_SY!$Q980-1,"")</f>
        <v/>
      </c>
    </row>
    <row r="980" spans="1:21">
      <c r="A980" s="91" t="s">
        <v>212</v>
      </c>
      <c r="B980" s="91">
        <v>9</v>
      </c>
      <c r="C980" s="91">
        <v>2024</v>
      </c>
      <c r="D980" s="91" t="s">
        <v>211</v>
      </c>
      <c r="E980" s="91" t="s">
        <v>211</v>
      </c>
      <c r="F980" s="92">
        <v>45627</v>
      </c>
      <c r="G980" s="91">
        <f t="shared" si="29"/>
        <v>31</v>
      </c>
      <c r="H980" s="93">
        <f t="shared" si="28"/>
        <v>45630</v>
      </c>
      <c r="I980" s="145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41" t="str">
        <f>IFERROR(Inv_SY!O981/Inv_SY!$Q981-1,"")</f>
        <v/>
      </c>
    </row>
    <row r="981" spans="1:21">
      <c r="A981" s="91" t="s">
        <v>212</v>
      </c>
      <c r="B981" s="91">
        <v>9</v>
      </c>
      <c r="C981" s="91">
        <v>2024</v>
      </c>
      <c r="D981" s="91" t="s">
        <v>211</v>
      </c>
      <c r="E981" s="91" t="s">
        <v>211</v>
      </c>
      <c r="F981" s="92">
        <v>45627</v>
      </c>
      <c r="G981" s="91">
        <f t="shared" si="29"/>
        <v>31</v>
      </c>
      <c r="H981" s="93">
        <f t="shared" si="28"/>
        <v>45631</v>
      </c>
      <c r="I981" s="145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41" t="str">
        <f>IFERROR(Inv_SY!O982/Inv_SY!$Q982-1,"")</f>
        <v/>
      </c>
    </row>
    <row r="982" spans="1:21">
      <c r="A982" s="91" t="s">
        <v>212</v>
      </c>
      <c r="B982" s="91">
        <v>9</v>
      </c>
      <c r="C982" s="91">
        <v>2024</v>
      </c>
      <c r="D982" s="91" t="s">
        <v>211</v>
      </c>
      <c r="E982" s="91" t="s">
        <v>211</v>
      </c>
      <c r="F982" s="92">
        <v>45627</v>
      </c>
      <c r="G982" s="91">
        <f t="shared" si="29"/>
        <v>31</v>
      </c>
      <c r="H982" s="93">
        <f t="shared" si="28"/>
        <v>45632</v>
      </c>
      <c r="I982" s="145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41" t="str">
        <f>IFERROR(Inv_SY!O983/Inv_SY!$Q983-1,"")</f>
        <v/>
      </c>
    </row>
    <row r="983" spans="1:21">
      <c r="A983" s="91" t="s">
        <v>212</v>
      </c>
      <c r="B983" s="91">
        <v>9</v>
      </c>
      <c r="C983" s="91">
        <v>2024</v>
      </c>
      <c r="D983" s="91" t="s">
        <v>211</v>
      </c>
      <c r="E983" s="91" t="s">
        <v>211</v>
      </c>
      <c r="F983" s="92">
        <v>45627</v>
      </c>
      <c r="G983" s="91">
        <f t="shared" si="29"/>
        <v>31</v>
      </c>
      <c r="H983" s="93">
        <f t="shared" si="28"/>
        <v>45633</v>
      </c>
      <c r="I983" s="145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41" t="str">
        <f>IFERROR(Inv_SY!O984/Inv_SY!$Q984-1,"")</f>
        <v/>
      </c>
    </row>
    <row r="984" spans="1:21">
      <c r="A984" s="91" t="s">
        <v>212</v>
      </c>
      <c r="B984" s="91">
        <v>9</v>
      </c>
      <c r="C984" s="91">
        <v>2024</v>
      </c>
      <c r="D984" s="91" t="s">
        <v>211</v>
      </c>
      <c r="E984" s="91" t="s">
        <v>211</v>
      </c>
      <c r="F984" s="92">
        <v>45627</v>
      </c>
      <c r="G984" s="91">
        <f t="shared" si="29"/>
        <v>31</v>
      </c>
      <c r="H984" s="93">
        <f t="shared" si="28"/>
        <v>45634</v>
      </c>
      <c r="I984" s="145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41" t="str">
        <f>IFERROR(Inv_SY!O985/Inv_SY!$Q985-1,"")</f>
        <v/>
      </c>
    </row>
    <row r="985" spans="1:21">
      <c r="A985" s="91" t="s">
        <v>212</v>
      </c>
      <c r="B985" s="91">
        <v>9</v>
      </c>
      <c r="C985" s="91">
        <v>2024</v>
      </c>
      <c r="D985" s="91" t="s">
        <v>211</v>
      </c>
      <c r="E985" s="91" t="s">
        <v>211</v>
      </c>
      <c r="F985" s="92">
        <v>45627</v>
      </c>
      <c r="G985" s="91">
        <f t="shared" si="29"/>
        <v>31</v>
      </c>
      <c r="H985" s="93">
        <f t="shared" si="28"/>
        <v>45635</v>
      </c>
      <c r="I985" s="145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41" t="str">
        <f>IFERROR(Inv_SY!O986/Inv_SY!$Q986-1,"")</f>
        <v/>
      </c>
    </row>
    <row r="986" spans="1:21">
      <c r="A986" s="91" t="s">
        <v>212</v>
      </c>
      <c r="B986" s="91">
        <v>9</v>
      </c>
      <c r="C986" s="91">
        <v>2024</v>
      </c>
      <c r="D986" s="91" t="s">
        <v>211</v>
      </c>
      <c r="E986" s="91" t="s">
        <v>211</v>
      </c>
      <c r="F986" s="92">
        <v>45627</v>
      </c>
      <c r="G986" s="91">
        <f t="shared" ref="G986:G992" si="30">DAY(EOMONTH(F986,0))</f>
        <v>31</v>
      </c>
      <c r="H986" s="93">
        <f t="shared" si="28"/>
        <v>45636</v>
      </c>
      <c r="I986" s="145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41" t="str">
        <f>IFERROR(Inv_SY!O987/Inv_SY!$Q987-1,"")</f>
        <v/>
      </c>
    </row>
    <row r="987" spans="1:21">
      <c r="A987" s="91" t="s">
        <v>212</v>
      </c>
      <c r="B987" s="91">
        <v>9</v>
      </c>
      <c r="C987" s="91">
        <v>2024</v>
      </c>
      <c r="D987" s="91" t="s">
        <v>211</v>
      </c>
      <c r="E987" s="91" t="s">
        <v>211</v>
      </c>
      <c r="F987" s="92">
        <v>45627</v>
      </c>
      <c r="G987" s="91">
        <f t="shared" si="30"/>
        <v>31</v>
      </c>
      <c r="H987" s="93">
        <f t="shared" ref="H987:H1007" si="31">H986+1</f>
        <v>45637</v>
      </c>
      <c r="I987" s="145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41" t="str">
        <f>IFERROR(Inv_SY!O988/Inv_SY!$Q988-1,"")</f>
        <v/>
      </c>
    </row>
    <row r="988" spans="1:21">
      <c r="A988" s="91" t="s">
        <v>212</v>
      </c>
      <c r="B988" s="91">
        <v>9</v>
      </c>
      <c r="C988" s="91">
        <v>2024</v>
      </c>
      <c r="D988" s="91" t="s">
        <v>211</v>
      </c>
      <c r="E988" s="91" t="s">
        <v>211</v>
      </c>
      <c r="F988" s="92">
        <v>45627</v>
      </c>
      <c r="G988" s="91">
        <f t="shared" si="30"/>
        <v>31</v>
      </c>
      <c r="H988" s="93">
        <f t="shared" si="31"/>
        <v>45638</v>
      </c>
      <c r="I988" s="145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41" t="str">
        <f>IFERROR(Inv_SY!O989/Inv_SY!$Q989-1,"")</f>
        <v/>
      </c>
    </row>
    <row r="989" spans="1:21">
      <c r="A989" s="91" t="s">
        <v>212</v>
      </c>
      <c r="B989" s="91">
        <v>9</v>
      </c>
      <c r="C989" s="91">
        <v>2024</v>
      </c>
      <c r="D989" s="91" t="s">
        <v>211</v>
      </c>
      <c r="E989" s="91" t="s">
        <v>211</v>
      </c>
      <c r="F989" s="92">
        <v>45627</v>
      </c>
      <c r="G989" s="91">
        <f t="shared" si="30"/>
        <v>31</v>
      </c>
      <c r="H989" s="93">
        <f t="shared" si="31"/>
        <v>45639</v>
      </c>
      <c r="I989" s="145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41" t="str">
        <f>IFERROR(Inv_SY!O990/Inv_SY!$Q990-1,"")</f>
        <v/>
      </c>
    </row>
    <row r="990" spans="1:21">
      <c r="A990" s="91" t="s">
        <v>212</v>
      </c>
      <c r="B990" s="91">
        <v>9</v>
      </c>
      <c r="C990" s="91">
        <v>2024</v>
      </c>
      <c r="D990" s="91" t="s">
        <v>211</v>
      </c>
      <c r="E990" s="91" t="s">
        <v>211</v>
      </c>
      <c r="F990" s="92">
        <v>45627</v>
      </c>
      <c r="G990" s="91">
        <f t="shared" si="30"/>
        <v>31</v>
      </c>
      <c r="H990" s="93">
        <f t="shared" si="31"/>
        <v>45640</v>
      </c>
      <c r="I990" s="145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41" t="str">
        <f>IFERROR(Inv_SY!O991/Inv_SY!$Q991-1,"")</f>
        <v/>
      </c>
    </row>
    <row r="991" spans="1:21">
      <c r="A991" s="91" t="s">
        <v>212</v>
      </c>
      <c r="B991" s="91">
        <v>9</v>
      </c>
      <c r="C991" s="91">
        <v>2024</v>
      </c>
      <c r="D991" s="91" t="s">
        <v>211</v>
      </c>
      <c r="E991" s="91" t="s">
        <v>211</v>
      </c>
      <c r="F991" s="92">
        <v>45627</v>
      </c>
      <c r="G991" s="91">
        <f t="shared" si="30"/>
        <v>31</v>
      </c>
      <c r="H991" s="93">
        <f t="shared" si="31"/>
        <v>45641</v>
      </c>
      <c r="I991" s="145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41" t="str">
        <f>IFERROR(Inv_SY!O992/Inv_SY!$Q992-1,"")</f>
        <v/>
      </c>
    </row>
    <row r="992" spans="1:21">
      <c r="A992" s="91" t="s">
        <v>212</v>
      </c>
      <c r="B992" s="91">
        <v>9</v>
      </c>
      <c r="C992" s="91">
        <v>2024</v>
      </c>
      <c r="D992" s="91" t="s">
        <v>211</v>
      </c>
      <c r="E992" s="91" t="s">
        <v>211</v>
      </c>
      <c r="F992" s="92">
        <v>45627</v>
      </c>
      <c r="G992" s="91">
        <f t="shared" si="30"/>
        <v>31</v>
      </c>
      <c r="H992" s="93">
        <f t="shared" si="31"/>
        <v>45642</v>
      </c>
      <c r="I992" s="145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41" t="str">
        <f>IFERROR(Inv_SY!O993/Inv_SY!$Q993-1,"")</f>
        <v/>
      </c>
    </row>
    <row r="993" spans="1:21">
      <c r="A993" s="91" t="s">
        <v>212</v>
      </c>
      <c r="B993" s="91">
        <v>9</v>
      </c>
      <c r="C993" s="91">
        <v>2024</v>
      </c>
      <c r="D993" s="91" t="s">
        <v>211</v>
      </c>
      <c r="E993" s="91" t="s">
        <v>211</v>
      </c>
      <c r="F993" s="92">
        <v>45627</v>
      </c>
      <c r="G993" s="91">
        <f t="shared" ref="G993:G1007" si="32">DAY(EOMONTH(F993,0))</f>
        <v>31</v>
      </c>
      <c r="H993" s="93">
        <f t="shared" si="31"/>
        <v>45643</v>
      </c>
      <c r="I993" s="145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41" t="str">
        <f>IFERROR(Inv_SY!O994/Inv_SY!$Q994-1,"")</f>
        <v/>
      </c>
    </row>
    <row r="994" spans="1:21">
      <c r="A994" s="91" t="s">
        <v>212</v>
      </c>
      <c r="B994" s="91">
        <v>9</v>
      </c>
      <c r="C994" s="91">
        <v>2024</v>
      </c>
      <c r="D994" s="91" t="s">
        <v>211</v>
      </c>
      <c r="E994" s="91" t="s">
        <v>211</v>
      </c>
      <c r="F994" s="92">
        <v>45627</v>
      </c>
      <c r="G994" s="91">
        <f t="shared" si="32"/>
        <v>31</v>
      </c>
      <c r="H994" s="93">
        <f t="shared" si="31"/>
        <v>45644</v>
      </c>
      <c r="I994" s="145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41" t="str">
        <f>IFERROR(Inv_SY!O995/Inv_SY!$Q995-1,"")</f>
        <v/>
      </c>
    </row>
    <row r="995" spans="1:21">
      <c r="A995" s="91" t="s">
        <v>212</v>
      </c>
      <c r="B995" s="91">
        <v>9</v>
      </c>
      <c r="C995" s="91">
        <v>2024</v>
      </c>
      <c r="D995" s="91" t="s">
        <v>211</v>
      </c>
      <c r="E995" s="91" t="s">
        <v>211</v>
      </c>
      <c r="F995" s="92">
        <v>45627</v>
      </c>
      <c r="G995" s="91">
        <f t="shared" si="32"/>
        <v>31</v>
      </c>
      <c r="H995" s="93">
        <f t="shared" si="31"/>
        <v>45645</v>
      </c>
      <c r="I995" s="145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41" t="str">
        <f>IFERROR(Inv_SY!O996/Inv_SY!$Q996-1,"")</f>
        <v/>
      </c>
    </row>
    <row r="996" spans="1:21">
      <c r="A996" s="91" t="s">
        <v>212</v>
      </c>
      <c r="B996" s="91">
        <v>9</v>
      </c>
      <c r="C996" s="91">
        <v>2024</v>
      </c>
      <c r="D996" s="91" t="s">
        <v>211</v>
      </c>
      <c r="E996" s="91" t="s">
        <v>211</v>
      </c>
      <c r="F996" s="92">
        <v>45627</v>
      </c>
      <c r="G996" s="91">
        <f t="shared" si="32"/>
        <v>31</v>
      </c>
      <c r="H996" s="93">
        <f t="shared" si="31"/>
        <v>45646</v>
      </c>
      <c r="I996" s="145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41" t="str">
        <f>IFERROR(Inv_SY!O997/Inv_SY!$Q997-1,"")</f>
        <v/>
      </c>
    </row>
    <row r="997" spans="1:21">
      <c r="A997" s="91" t="s">
        <v>212</v>
      </c>
      <c r="B997" s="91">
        <v>9</v>
      </c>
      <c r="C997" s="91">
        <v>2024</v>
      </c>
      <c r="D997" s="91" t="s">
        <v>211</v>
      </c>
      <c r="E997" s="91" t="s">
        <v>211</v>
      </c>
      <c r="F997" s="92">
        <v>45627</v>
      </c>
      <c r="G997" s="91">
        <f t="shared" si="32"/>
        <v>31</v>
      </c>
      <c r="H997" s="93">
        <f t="shared" si="31"/>
        <v>45647</v>
      </c>
      <c r="I997" s="145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41" t="str">
        <f>IFERROR(Inv_SY!O998/Inv_SY!$Q998-1,"")</f>
        <v/>
      </c>
    </row>
    <row r="998" spans="1:21">
      <c r="A998" s="91" t="s">
        <v>212</v>
      </c>
      <c r="B998" s="91">
        <v>9</v>
      </c>
      <c r="C998" s="91">
        <v>2024</v>
      </c>
      <c r="D998" s="91" t="s">
        <v>211</v>
      </c>
      <c r="E998" s="91" t="s">
        <v>211</v>
      </c>
      <c r="F998" s="92">
        <v>45627</v>
      </c>
      <c r="G998" s="91">
        <f t="shared" si="32"/>
        <v>31</v>
      </c>
      <c r="H998" s="93">
        <f t="shared" si="31"/>
        <v>45648</v>
      </c>
      <c r="I998" s="145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41" t="str">
        <f>IFERROR(Inv_SY!O999/Inv_SY!$Q999-1,"")</f>
        <v/>
      </c>
    </row>
    <row r="999" spans="1:21">
      <c r="A999" s="91" t="s">
        <v>212</v>
      </c>
      <c r="B999" s="91">
        <v>9</v>
      </c>
      <c r="C999" s="91">
        <v>2024</v>
      </c>
      <c r="D999" s="91" t="s">
        <v>211</v>
      </c>
      <c r="E999" s="91" t="s">
        <v>211</v>
      </c>
      <c r="F999" s="92">
        <v>45627</v>
      </c>
      <c r="G999" s="91">
        <f t="shared" si="32"/>
        <v>31</v>
      </c>
      <c r="H999" s="93">
        <f t="shared" si="31"/>
        <v>45649</v>
      </c>
      <c r="I999" s="145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41" t="str">
        <f>IFERROR(Inv_SY!O1000/Inv_SY!$Q1000-1,"")</f>
        <v/>
      </c>
    </row>
    <row r="1000" spans="1:21">
      <c r="A1000" s="91" t="s">
        <v>212</v>
      </c>
      <c r="B1000" s="91">
        <v>9</v>
      </c>
      <c r="C1000" s="91">
        <v>2024</v>
      </c>
      <c r="D1000" s="91" t="s">
        <v>211</v>
      </c>
      <c r="E1000" s="91" t="s">
        <v>211</v>
      </c>
      <c r="F1000" s="92">
        <v>45627</v>
      </c>
      <c r="G1000" s="91">
        <f t="shared" si="32"/>
        <v>31</v>
      </c>
      <c r="H1000" s="93">
        <f t="shared" si="31"/>
        <v>45650</v>
      </c>
      <c r="I1000" s="145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41" t="str">
        <f>IFERROR(Inv_SY!O1001/Inv_SY!$Q1001-1,"")</f>
        <v/>
      </c>
    </row>
    <row r="1001" spans="1:21">
      <c r="A1001" s="91" t="s">
        <v>212</v>
      </c>
      <c r="B1001" s="91">
        <v>9</v>
      </c>
      <c r="C1001" s="91">
        <v>2024</v>
      </c>
      <c r="D1001" s="91" t="s">
        <v>211</v>
      </c>
      <c r="E1001" s="91" t="s">
        <v>211</v>
      </c>
      <c r="F1001" s="92">
        <v>45627</v>
      </c>
      <c r="G1001" s="91">
        <f t="shared" si="32"/>
        <v>31</v>
      </c>
      <c r="H1001" s="93">
        <f t="shared" si="31"/>
        <v>45651</v>
      </c>
      <c r="I1001" s="145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41" t="str">
        <f>IFERROR(Inv_SY!O1002/Inv_SY!$Q1002-1,"")</f>
        <v/>
      </c>
    </row>
    <row r="1002" spans="1:21">
      <c r="A1002" s="91" t="s">
        <v>212</v>
      </c>
      <c r="B1002" s="91">
        <v>9</v>
      </c>
      <c r="C1002" s="91">
        <v>2024</v>
      </c>
      <c r="D1002" s="91" t="s">
        <v>211</v>
      </c>
      <c r="E1002" s="91" t="s">
        <v>211</v>
      </c>
      <c r="F1002" s="92">
        <v>45627</v>
      </c>
      <c r="G1002" s="91">
        <f t="shared" si="32"/>
        <v>31</v>
      </c>
      <c r="H1002" s="93">
        <f t="shared" si="31"/>
        <v>45652</v>
      </c>
      <c r="I1002" s="145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41" t="str">
        <f>IFERROR(Inv_SY!O1003/Inv_SY!$Q1003-1,"")</f>
        <v/>
      </c>
    </row>
    <row r="1003" spans="1:21">
      <c r="A1003" s="91" t="s">
        <v>212</v>
      </c>
      <c r="B1003" s="91">
        <v>9</v>
      </c>
      <c r="C1003" s="91">
        <v>2024</v>
      </c>
      <c r="D1003" s="91" t="s">
        <v>211</v>
      </c>
      <c r="E1003" s="91" t="s">
        <v>211</v>
      </c>
      <c r="F1003" s="92">
        <v>45627</v>
      </c>
      <c r="G1003" s="91">
        <f t="shared" si="32"/>
        <v>31</v>
      </c>
      <c r="H1003" s="93">
        <f t="shared" si="31"/>
        <v>45653</v>
      </c>
      <c r="I1003" s="145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41" t="str">
        <f>IFERROR(Inv_SY!O1004/Inv_SY!$Q1004-1,"")</f>
        <v/>
      </c>
    </row>
    <row r="1004" spans="1:21">
      <c r="A1004" s="91" t="s">
        <v>212</v>
      </c>
      <c r="B1004" s="91">
        <v>9</v>
      </c>
      <c r="C1004" s="91">
        <v>2024</v>
      </c>
      <c r="D1004" s="91" t="s">
        <v>211</v>
      </c>
      <c r="E1004" s="91" t="s">
        <v>211</v>
      </c>
      <c r="F1004" s="92">
        <v>45627</v>
      </c>
      <c r="G1004" s="91">
        <f t="shared" si="32"/>
        <v>31</v>
      </c>
      <c r="H1004" s="93">
        <f t="shared" si="31"/>
        <v>45654</v>
      </c>
      <c r="I1004" s="145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41" t="str">
        <f>IFERROR(Inv_SY!O1005/Inv_SY!$Q1005-1,"")</f>
        <v/>
      </c>
    </row>
    <row r="1005" spans="1:21">
      <c r="A1005" s="91" t="s">
        <v>212</v>
      </c>
      <c r="B1005" s="91">
        <v>9</v>
      </c>
      <c r="C1005" s="91">
        <v>2024</v>
      </c>
      <c r="D1005" s="91" t="s">
        <v>211</v>
      </c>
      <c r="E1005" s="91" t="s">
        <v>211</v>
      </c>
      <c r="F1005" s="92">
        <v>45627</v>
      </c>
      <c r="G1005" s="91">
        <f t="shared" si="32"/>
        <v>31</v>
      </c>
      <c r="H1005" s="93">
        <f t="shared" si="31"/>
        <v>45655</v>
      </c>
      <c r="I1005" s="145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41" t="str">
        <f>IFERROR(Inv_SY!O1006/Inv_SY!$Q1006-1,"")</f>
        <v/>
      </c>
    </row>
    <row r="1006" spans="1:21">
      <c r="A1006" s="91" t="s">
        <v>212</v>
      </c>
      <c r="B1006" s="91">
        <v>9</v>
      </c>
      <c r="C1006" s="91">
        <v>2024</v>
      </c>
      <c r="D1006" s="91" t="s">
        <v>211</v>
      </c>
      <c r="E1006" s="91" t="s">
        <v>211</v>
      </c>
      <c r="F1006" s="92">
        <v>45627</v>
      </c>
      <c r="G1006" s="91">
        <f t="shared" si="32"/>
        <v>31</v>
      </c>
      <c r="H1006" s="93">
        <f t="shared" si="31"/>
        <v>45656</v>
      </c>
      <c r="I1006" s="145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41" t="str">
        <f>IFERROR(Inv_SY!O1007/Inv_SY!$Q1007-1,"")</f>
        <v/>
      </c>
    </row>
    <row r="1007" spans="1:21">
      <c r="A1007" s="91" t="s">
        <v>212</v>
      </c>
      <c r="B1007" s="91">
        <v>9</v>
      </c>
      <c r="C1007" s="91">
        <v>2024</v>
      </c>
      <c r="D1007" s="91" t="s">
        <v>211</v>
      </c>
      <c r="E1007" s="91" t="s">
        <v>211</v>
      </c>
      <c r="F1007" s="92">
        <v>45627</v>
      </c>
      <c r="G1007" s="91">
        <f t="shared" si="32"/>
        <v>31</v>
      </c>
      <c r="H1007" s="93">
        <f t="shared" si="31"/>
        <v>45657</v>
      </c>
      <c r="I1007" s="145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41" t="str">
        <f>IFERROR(Inv_SY!O1008/Inv_SY!$Q1008-1,"")</f>
        <v/>
      </c>
    </row>
    <row r="1008" spans="1:21">
      <c r="A1008" s="91" t="s">
        <v>212</v>
      </c>
      <c r="B1008" s="91">
        <v>9</v>
      </c>
      <c r="C1008" s="91">
        <v>2024</v>
      </c>
      <c r="D1008" s="91" t="s">
        <v>211</v>
      </c>
      <c r="E1008" s="91" t="s">
        <v>211</v>
      </c>
      <c r="F1008" s="92">
        <v>45658</v>
      </c>
      <c r="G1008" s="91">
        <f>DAY(EOMONTH(F1008,0))</f>
        <v>31</v>
      </c>
      <c r="H1008" s="93">
        <f>H1007+1</f>
        <v>45658</v>
      </c>
      <c r="I1008" s="145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41" t="str">
        <f>IFERROR(Inv_SY!O1009/Inv_SY!$Q1009-1,"")</f>
        <v/>
      </c>
    </row>
    <row r="1009" spans="1:21">
      <c r="A1009" s="91" t="s">
        <v>212</v>
      </c>
      <c r="B1009" s="91">
        <v>9</v>
      </c>
      <c r="C1009" s="91">
        <v>2024</v>
      </c>
      <c r="D1009" s="91" t="s">
        <v>211</v>
      </c>
      <c r="E1009" s="91" t="s">
        <v>211</v>
      </c>
      <c r="F1009" s="92">
        <v>45658</v>
      </c>
      <c r="G1009" s="91">
        <f t="shared" ref="G1009:G1030" si="33">DAY(EOMONTH(F1009,0))</f>
        <v>31</v>
      </c>
      <c r="H1009" s="93">
        <f t="shared" ref="H1009:H1072" si="34">H1008+1</f>
        <v>45659</v>
      </c>
      <c r="I1009" s="145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41" t="str">
        <f>IFERROR(Inv_SY!O1010/Inv_SY!$Q1010-1,"")</f>
        <v/>
      </c>
    </row>
    <row r="1010" spans="1:21">
      <c r="A1010" s="91" t="s">
        <v>212</v>
      </c>
      <c r="B1010" s="91">
        <v>9</v>
      </c>
      <c r="C1010" s="91">
        <v>2024</v>
      </c>
      <c r="D1010" s="91" t="s">
        <v>211</v>
      </c>
      <c r="E1010" s="91" t="s">
        <v>211</v>
      </c>
      <c r="F1010" s="92">
        <v>45658</v>
      </c>
      <c r="G1010" s="91">
        <f t="shared" si="33"/>
        <v>31</v>
      </c>
      <c r="H1010" s="93">
        <f t="shared" si="34"/>
        <v>45660</v>
      </c>
      <c r="I1010" s="145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41" t="str">
        <f>IFERROR(Inv_SY!O1011/Inv_SY!$Q1011-1,"")</f>
        <v/>
      </c>
    </row>
    <row r="1011" spans="1:21">
      <c r="A1011" s="91" t="s">
        <v>212</v>
      </c>
      <c r="B1011" s="91">
        <v>9</v>
      </c>
      <c r="C1011" s="91">
        <v>2024</v>
      </c>
      <c r="D1011" s="91" t="s">
        <v>211</v>
      </c>
      <c r="E1011" s="91" t="s">
        <v>211</v>
      </c>
      <c r="F1011" s="92">
        <v>45658</v>
      </c>
      <c r="G1011" s="91">
        <f t="shared" si="33"/>
        <v>31</v>
      </c>
      <c r="H1011" s="93">
        <f t="shared" si="34"/>
        <v>45661</v>
      </c>
      <c r="I1011" s="145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41" t="str">
        <f>IFERROR(Inv_SY!O1012/Inv_SY!$Q1012-1,"")</f>
        <v/>
      </c>
    </row>
    <row r="1012" spans="1:21">
      <c r="A1012" s="91" t="s">
        <v>212</v>
      </c>
      <c r="B1012" s="91">
        <v>9</v>
      </c>
      <c r="C1012" s="91">
        <v>2024</v>
      </c>
      <c r="D1012" s="91" t="s">
        <v>211</v>
      </c>
      <c r="E1012" s="91" t="s">
        <v>211</v>
      </c>
      <c r="F1012" s="92">
        <v>45658</v>
      </c>
      <c r="G1012" s="91">
        <f t="shared" si="33"/>
        <v>31</v>
      </c>
      <c r="H1012" s="93">
        <f t="shared" si="34"/>
        <v>45662</v>
      </c>
      <c r="I1012" s="145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41" t="str">
        <f>IFERROR(Inv_SY!O1013/Inv_SY!$Q1013-1,"")</f>
        <v/>
      </c>
    </row>
    <row r="1013" spans="1:21">
      <c r="A1013" s="91" t="s">
        <v>212</v>
      </c>
      <c r="B1013" s="91">
        <v>9</v>
      </c>
      <c r="C1013" s="91">
        <v>2024</v>
      </c>
      <c r="D1013" s="91" t="s">
        <v>211</v>
      </c>
      <c r="E1013" s="91" t="s">
        <v>211</v>
      </c>
      <c r="F1013" s="92">
        <v>45658</v>
      </c>
      <c r="G1013" s="91">
        <f t="shared" si="33"/>
        <v>31</v>
      </c>
      <c r="H1013" s="93">
        <f t="shared" si="34"/>
        <v>45663</v>
      </c>
      <c r="I1013" s="145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41" t="str">
        <f>IFERROR(Inv_SY!O1014/Inv_SY!$Q1014-1,"")</f>
        <v/>
      </c>
    </row>
    <row r="1014" spans="1:21">
      <c r="A1014" s="91" t="s">
        <v>212</v>
      </c>
      <c r="B1014" s="91">
        <v>9</v>
      </c>
      <c r="C1014" s="91">
        <v>2024</v>
      </c>
      <c r="D1014" s="91" t="s">
        <v>211</v>
      </c>
      <c r="E1014" s="91" t="s">
        <v>211</v>
      </c>
      <c r="F1014" s="92">
        <v>45658</v>
      </c>
      <c r="G1014" s="91">
        <f t="shared" si="33"/>
        <v>31</v>
      </c>
      <c r="H1014" s="93">
        <f t="shared" si="34"/>
        <v>45664</v>
      </c>
      <c r="I1014" s="145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41" t="str">
        <f>IFERROR(Inv_SY!O1015/Inv_SY!$Q1015-1,"")</f>
        <v/>
      </c>
    </row>
    <row r="1015" spans="1:21">
      <c r="A1015" s="91" t="s">
        <v>212</v>
      </c>
      <c r="B1015" s="91">
        <v>9</v>
      </c>
      <c r="C1015" s="91">
        <v>2024</v>
      </c>
      <c r="D1015" s="91" t="s">
        <v>211</v>
      </c>
      <c r="E1015" s="91" t="s">
        <v>211</v>
      </c>
      <c r="F1015" s="92">
        <v>45658</v>
      </c>
      <c r="G1015" s="91">
        <f t="shared" si="33"/>
        <v>31</v>
      </c>
      <c r="H1015" s="93">
        <f t="shared" si="34"/>
        <v>45665</v>
      </c>
      <c r="I1015" s="145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41" t="str">
        <f>IFERROR(Inv_SY!O1016/Inv_SY!$Q1016-1,"")</f>
        <v/>
      </c>
    </row>
    <row r="1016" spans="1:21">
      <c r="A1016" s="91" t="s">
        <v>212</v>
      </c>
      <c r="B1016" s="91">
        <v>9</v>
      </c>
      <c r="C1016" s="91">
        <v>2024</v>
      </c>
      <c r="D1016" s="91" t="s">
        <v>211</v>
      </c>
      <c r="E1016" s="91" t="s">
        <v>211</v>
      </c>
      <c r="F1016" s="92">
        <v>45658</v>
      </c>
      <c r="G1016" s="91">
        <f t="shared" si="33"/>
        <v>31</v>
      </c>
      <c r="H1016" s="93">
        <f t="shared" si="34"/>
        <v>45666</v>
      </c>
      <c r="I1016" s="145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41" t="str">
        <f>IFERROR(Inv_SY!O1017/Inv_SY!$Q1017-1,"")</f>
        <v/>
      </c>
    </row>
    <row r="1017" spans="1:21">
      <c r="A1017" s="91" t="s">
        <v>212</v>
      </c>
      <c r="B1017" s="91">
        <v>9</v>
      </c>
      <c r="C1017" s="91">
        <v>2024</v>
      </c>
      <c r="D1017" s="91" t="s">
        <v>211</v>
      </c>
      <c r="E1017" s="91" t="s">
        <v>211</v>
      </c>
      <c r="F1017" s="92">
        <v>45658</v>
      </c>
      <c r="G1017" s="91">
        <f t="shared" si="33"/>
        <v>31</v>
      </c>
      <c r="H1017" s="93">
        <f t="shared" si="34"/>
        <v>45667</v>
      </c>
      <c r="I1017" s="145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41" t="str">
        <f>IFERROR(Inv_SY!O1018/Inv_SY!$Q1018-1,"")</f>
        <v/>
      </c>
    </row>
    <row r="1018" spans="1:21">
      <c r="A1018" s="91" t="s">
        <v>212</v>
      </c>
      <c r="B1018" s="91">
        <v>9</v>
      </c>
      <c r="C1018" s="91">
        <v>2024</v>
      </c>
      <c r="D1018" s="91" t="s">
        <v>211</v>
      </c>
      <c r="E1018" s="91" t="s">
        <v>211</v>
      </c>
      <c r="F1018" s="92">
        <v>45658</v>
      </c>
      <c r="G1018" s="91">
        <f t="shared" si="33"/>
        <v>31</v>
      </c>
      <c r="H1018" s="93">
        <f t="shared" si="34"/>
        <v>45668</v>
      </c>
      <c r="I1018" s="145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41" t="str">
        <f>IFERROR(Inv_SY!O1019/Inv_SY!$Q1019-1,"")</f>
        <v/>
      </c>
    </row>
    <row r="1019" spans="1:21">
      <c r="A1019" s="91" t="s">
        <v>212</v>
      </c>
      <c r="B1019" s="91">
        <v>9</v>
      </c>
      <c r="C1019" s="91">
        <v>2024</v>
      </c>
      <c r="D1019" s="91" t="s">
        <v>211</v>
      </c>
      <c r="E1019" s="91" t="s">
        <v>211</v>
      </c>
      <c r="F1019" s="92">
        <v>45658</v>
      </c>
      <c r="G1019" s="91">
        <f t="shared" si="33"/>
        <v>31</v>
      </c>
      <c r="H1019" s="93">
        <f t="shared" si="34"/>
        <v>45669</v>
      </c>
      <c r="I1019" s="145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41" t="str">
        <f>IFERROR(Inv_SY!O1020/Inv_SY!$Q1020-1,"")</f>
        <v/>
      </c>
    </row>
    <row r="1020" spans="1:21">
      <c r="A1020" s="91" t="s">
        <v>212</v>
      </c>
      <c r="B1020" s="91">
        <v>9</v>
      </c>
      <c r="C1020" s="91">
        <v>2024</v>
      </c>
      <c r="D1020" s="91" t="s">
        <v>211</v>
      </c>
      <c r="E1020" s="91" t="s">
        <v>211</v>
      </c>
      <c r="F1020" s="92">
        <v>45658</v>
      </c>
      <c r="G1020" s="91">
        <f t="shared" si="33"/>
        <v>31</v>
      </c>
      <c r="H1020" s="93">
        <f t="shared" si="34"/>
        <v>45670</v>
      </c>
      <c r="I1020" s="145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41" t="str">
        <f>IFERROR(Inv_SY!O1021/Inv_SY!$Q1021-1,"")</f>
        <v/>
      </c>
    </row>
    <row r="1021" spans="1:21">
      <c r="A1021" s="91" t="s">
        <v>212</v>
      </c>
      <c r="B1021" s="91">
        <v>9</v>
      </c>
      <c r="C1021" s="91">
        <v>2024</v>
      </c>
      <c r="D1021" s="91" t="s">
        <v>211</v>
      </c>
      <c r="E1021" s="91" t="s">
        <v>211</v>
      </c>
      <c r="F1021" s="92">
        <v>45658</v>
      </c>
      <c r="G1021" s="91">
        <f t="shared" si="33"/>
        <v>31</v>
      </c>
      <c r="H1021" s="93">
        <f t="shared" si="34"/>
        <v>45671</v>
      </c>
      <c r="I1021" s="145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41" t="str">
        <f>IFERROR(Inv_SY!O1022/Inv_SY!$Q1022-1,"")</f>
        <v/>
      </c>
    </row>
    <row r="1022" spans="1:21">
      <c r="A1022" s="91" t="s">
        <v>212</v>
      </c>
      <c r="B1022" s="91">
        <v>9</v>
      </c>
      <c r="C1022" s="91">
        <v>2024</v>
      </c>
      <c r="D1022" s="91" t="s">
        <v>211</v>
      </c>
      <c r="E1022" s="91" t="s">
        <v>211</v>
      </c>
      <c r="F1022" s="92">
        <v>45658</v>
      </c>
      <c r="G1022" s="91">
        <f t="shared" si="33"/>
        <v>31</v>
      </c>
      <c r="H1022" s="93">
        <f t="shared" si="34"/>
        <v>45672</v>
      </c>
      <c r="I1022" s="145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41" t="str">
        <f>IFERROR(Inv_SY!O1023/Inv_SY!$Q1023-1,"")</f>
        <v/>
      </c>
    </row>
    <row r="1023" spans="1:21">
      <c r="A1023" s="91" t="s">
        <v>212</v>
      </c>
      <c r="B1023" s="91">
        <v>9</v>
      </c>
      <c r="C1023" s="91">
        <v>2024</v>
      </c>
      <c r="D1023" s="91" t="s">
        <v>211</v>
      </c>
      <c r="E1023" s="91" t="s">
        <v>211</v>
      </c>
      <c r="F1023" s="92">
        <v>45658</v>
      </c>
      <c r="G1023" s="91">
        <f t="shared" si="33"/>
        <v>31</v>
      </c>
      <c r="H1023" s="93">
        <f t="shared" si="34"/>
        <v>45673</v>
      </c>
      <c r="I1023" s="145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41" t="str">
        <f>IFERROR(Inv_SY!O1024/Inv_SY!$Q1024-1,"")</f>
        <v/>
      </c>
    </row>
    <row r="1024" spans="1:21">
      <c r="A1024" s="91" t="s">
        <v>212</v>
      </c>
      <c r="B1024" s="91">
        <v>9</v>
      </c>
      <c r="C1024" s="91">
        <v>2024</v>
      </c>
      <c r="D1024" s="91" t="s">
        <v>211</v>
      </c>
      <c r="E1024" s="91" t="s">
        <v>211</v>
      </c>
      <c r="F1024" s="92">
        <v>45658</v>
      </c>
      <c r="G1024" s="91">
        <f t="shared" si="33"/>
        <v>31</v>
      </c>
      <c r="H1024" s="93">
        <f t="shared" si="34"/>
        <v>45674</v>
      </c>
      <c r="I1024" s="145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41" t="str">
        <f>IFERROR(Inv_SY!O1025/Inv_SY!$Q1025-1,"")</f>
        <v/>
      </c>
    </row>
    <row r="1025" spans="1:21">
      <c r="A1025" s="91" t="s">
        <v>212</v>
      </c>
      <c r="B1025" s="91">
        <v>9</v>
      </c>
      <c r="C1025" s="91">
        <v>2024</v>
      </c>
      <c r="D1025" s="91" t="s">
        <v>211</v>
      </c>
      <c r="E1025" s="91" t="s">
        <v>211</v>
      </c>
      <c r="F1025" s="92">
        <v>45658</v>
      </c>
      <c r="G1025" s="91">
        <f t="shared" si="33"/>
        <v>31</v>
      </c>
      <c r="H1025" s="93">
        <f t="shared" si="34"/>
        <v>45675</v>
      </c>
      <c r="I1025" s="145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41" t="str">
        <f>IFERROR(Inv_SY!O1026/Inv_SY!$Q1026-1,"")</f>
        <v/>
      </c>
    </row>
    <row r="1026" spans="1:21">
      <c r="A1026" s="91" t="s">
        <v>212</v>
      </c>
      <c r="B1026" s="91">
        <v>9</v>
      </c>
      <c r="C1026" s="91">
        <v>2024</v>
      </c>
      <c r="D1026" s="91" t="s">
        <v>211</v>
      </c>
      <c r="E1026" s="91" t="s">
        <v>211</v>
      </c>
      <c r="F1026" s="92">
        <v>45658</v>
      </c>
      <c r="G1026" s="91">
        <f t="shared" si="33"/>
        <v>31</v>
      </c>
      <c r="H1026" s="93">
        <f t="shared" si="34"/>
        <v>45676</v>
      </c>
      <c r="I1026" s="145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41" t="str">
        <f>IFERROR(Inv_SY!O1027/Inv_SY!$Q1027-1,"")</f>
        <v/>
      </c>
    </row>
    <row r="1027" spans="1:21">
      <c r="A1027" s="91" t="s">
        <v>212</v>
      </c>
      <c r="B1027" s="91">
        <v>9</v>
      </c>
      <c r="C1027" s="91">
        <v>2024</v>
      </c>
      <c r="D1027" s="91" t="s">
        <v>211</v>
      </c>
      <c r="E1027" s="91" t="s">
        <v>211</v>
      </c>
      <c r="F1027" s="92">
        <v>45658</v>
      </c>
      <c r="G1027" s="91">
        <f t="shared" si="33"/>
        <v>31</v>
      </c>
      <c r="H1027" s="93">
        <f t="shared" si="34"/>
        <v>45677</v>
      </c>
      <c r="I1027" s="145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41" t="str">
        <f>IFERROR(Inv_SY!O1028/Inv_SY!$Q1028-1,"")</f>
        <v/>
      </c>
    </row>
    <row r="1028" spans="1:21">
      <c r="A1028" s="91" t="s">
        <v>212</v>
      </c>
      <c r="B1028" s="91">
        <v>9</v>
      </c>
      <c r="C1028" s="91">
        <v>2024</v>
      </c>
      <c r="D1028" s="91" t="s">
        <v>211</v>
      </c>
      <c r="E1028" s="91" t="s">
        <v>211</v>
      </c>
      <c r="F1028" s="92">
        <v>45658</v>
      </c>
      <c r="G1028" s="91">
        <f t="shared" si="33"/>
        <v>31</v>
      </c>
      <c r="H1028" s="93">
        <f t="shared" si="34"/>
        <v>45678</v>
      </c>
      <c r="I1028" s="145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41" t="str">
        <f>IFERROR(Inv_SY!O1029/Inv_SY!$Q1029-1,"")</f>
        <v/>
      </c>
    </row>
    <row r="1029" spans="1:21">
      <c r="A1029" s="91" t="s">
        <v>212</v>
      </c>
      <c r="B1029" s="91">
        <v>9</v>
      </c>
      <c r="C1029" s="91">
        <v>2024</v>
      </c>
      <c r="D1029" s="91" t="s">
        <v>211</v>
      </c>
      <c r="E1029" s="91" t="s">
        <v>211</v>
      </c>
      <c r="F1029" s="92">
        <v>45658</v>
      </c>
      <c r="G1029" s="91">
        <f t="shared" si="33"/>
        <v>31</v>
      </c>
      <c r="H1029" s="93">
        <f t="shared" si="34"/>
        <v>45679</v>
      </c>
      <c r="I1029" s="145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41" t="str">
        <f>IFERROR(Inv_SY!O1030/Inv_SY!$Q1030-1,"")</f>
        <v/>
      </c>
    </row>
    <row r="1030" spans="1:21">
      <c r="A1030" s="91" t="s">
        <v>212</v>
      </c>
      <c r="B1030" s="91">
        <v>9</v>
      </c>
      <c r="C1030" s="91">
        <v>2024</v>
      </c>
      <c r="D1030" s="91" t="s">
        <v>211</v>
      </c>
      <c r="E1030" s="91" t="s">
        <v>211</v>
      </c>
      <c r="F1030" s="92">
        <v>45658</v>
      </c>
      <c r="G1030" s="91">
        <f t="shared" si="33"/>
        <v>31</v>
      </c>
      <c r="H1030" s="93">
        <f t="shared" si="34"/>
        <v>45680</v>
      </c>
      <c r="I1030" s="145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41" t="str">
        <f>IFERROR(Inv_SY!O1031/Inv_SY!$Q1031-1,"")</f>
        <v/>
      </c>
    </row>
    <row r="1031" spans="1:21">
      <c r="A1031" s="91" t="s">
        <v>212</v>
      </c>
      <c r="B1031" s="91">
        <v>9</v>
      </c>
      <c r="C1031" s="91">
        <v>2024</v>
      </c>
      <c r="D1031" s="91" t="s">
        <v>211</v>
      </c>
      <c r="E1031" s="91" t="s">
        <v>211</v>
      </c>
      <c r="F1031" s="92">
        <v>45658</v>
      </c>
      <c r="G1031" s="91">
        <f t="shared" ref="G1031:G1045" si="35">DAY(EOMONTH(F1031,0))</f>
        <v>31</v>
      </c>
      <c r="H1031" s="93">
        <f t="shared" si="34"/>
        <v>45681</v>
      </c>
      <c r="I1031" s="145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41" t="str">
        <f>IFERROR(Inv_SY!O1032/Inv_SY!$Q1032-1,"")</f>
        <v/>
      </c>
    </row>
    <row r="1032" spans="1:21">
      <c r="A1032" s="91" t="s">
        <v>212</v>
      </c>
      <c r="B1032" s="91">
        <v>9</v>
      </c>
      <c r="C1032" s="91">
        <v>2024</v>
      </c>
      <c r="D1032" s="91" t="s">
        <v>211</v>
      </c>
      <c r="E1032" s="91" t="s">
        <v>211</v>
      </c>
      <c r="F1032" s="92">
        <v>45658</v>
      </c>
      <c r="G1032" s="91">
        <f t="shared" si="35"/>
        <v>31</v>
      </c>
      <c r="H1032" s="93">
        <f t="shared" si="34"/>
        <v>45682</v>
      </c>
      <c r="I1032" s="145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41" t="str">
        <f>IFERROR(Inv_SY!O1033/Inv_SY!$Q1033-1,"")</f>
        <v/>
      </c>
    </row>
    <row r="1033" spans="1:21">
      <c r="A1033" s="91" t="s">
        <v>212</v>
      </c>
      <c r="B1033" s="91">
        <v>9</v>
      </c>
      <c r="C1033" s="91">
        <v>2024</v>
      </c>
      <c r="D1033" s="91" t="s">
        <v>211</v>
      </c>
      <c r="E1033" s="91" t="s">
        <v>211</v>
      </c>
      <c r="F1033" s="92">
        <v>45658</v>
      </c>
      <c r="G1033" s="91">
        <f t="shared" si="35"/>
        <v>31</v>
      </c>
      <c r="H1033" s="93">
        <f t="shared" si="34"/>
        <v>45683</v>
      </c>
      <c r="I1033" s="145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41" t="str">
        <f>IFERROR(Inv_SY!O1034/Inv_SY!$Q1034-1,"")</f>
        <v/>
      </c>
    </row>
    <row r="1034" spans="1:21">
      <c r="A1034" s="91" t="s">
        <v>212</v>
      </c>
      <c r="B1034" s="91">
        <v>9</v>
      </c>
      <c r="C1034" s="91">
        <v>2024</v>
      </c>
      <c r="D1034" s="91" t="s">
        <v>211</v>
      </c>
      <c r="E1034" s="91" t="s">
        <v>211</v>
      </c>
      <c r="F1034" s="92">
        <v>45658</v>
      </c>
      <c r="G1034" s="91">
        <f t="shared" si="35"/>
        <v>31</v>
      </c>
      <c r="H1034" s="93">
        <f t="shared" si="34"/>
        <v>45684</v>
      </c>
      <c r="I1034" s="145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41" t="str">
        <f>IFERROR(Inv_SY!O1035/Inv_SY!$Q1035-1,"")</f>
        <v/>
      </c>
    </row>
    <row r="1035" spans="1:21">
      <c r="A1035" s="91" t="s">
        <v>212</v>
      </c>
      <c r="B1035" s="91">
        <v>9</v>
      </c>
      <c r="C1035" s="91">
        <v>2024</v>
      </c>
      <c r="D1035" s="91" t="s">
        <v>211</v>
      </c>
      <c r="E1035" s="91" t="s">
        <v>211</v>
      </c>
      <c r="F1035" s="92">
        <v>45658</v>
      </c>
      <c r="G1035" s="91">
        <f t="shared" si="35"/>
        <v>31</v>
      </c>
      <c r="H1035" s="93">
        <f t="shared" si="34"/>
        <v>45685</v>
      </c>
      <c r="I1035" s="145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41" t="str">
        <f>IFERROR(Inv_SY!O1036/Inv_SY!$Q1036-1,"")</f>
        <v/>
      </c>
    </row>
    <row r="1036" spans="1:21">
      <c r="A1036" s="91" t="s">
        <v>212</v>
      </c>
      <c r="B1036" s="91">
        <v>9</v>
      </c>
      <c r="C1036" s="91">
        <v>2024</v>
      </c>
      <c r="D1036" s="91" t="s">
        <v>211</v>
      </c>
      <c r="E1036" s="91" t="s">
        <v>211</v>
      </c>
      <c r="F1036" s="92">
        <v>45658</v>
      </c>
      <c r="G1036" s="91">
        <f t="shared" si="35"/>
        <v>31</v>
      </c>
      <c r="H1036" s="93">
        <f t="shared" si="34"/>
        <v>45686</v>
      </c>
      <c r="I1036" s="145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41" t="str">
        <f>IFERROR(Inv_SY!O1037/Inv_SY!$Q1037-1,"")</f>
        <v/>
      </c>
    </row>
    <row r="1037" spans="1:21">
      <c r="A1037" s="91" t="s">
        <v>212</v>
      </c>
      <c r="B1037" s="91">
        <v>9</v>
      </c>
      <c r="C1037" s="91">
        <v>2024</v>
      </c>
      <c r="D1037" s="91" t="s">
        <v>211</v>
      </c>
      <c r="E1037" s="91" t="s">
        <v>211</v>
      </c>
      <c r="F1037" s="92">
        <v>45658</v>
      </c>
      <c r="G1037" s="91">
        <f t="shared" si="35"/>
        <v>31</v>
      </c>
      <c r="H1037" s="93">
        <f t="shared" si="34"/>
        <v>45687</v>
      </c>
      <c r="I1037" s="145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41" t="str">
        <f>IFERROR(Inv_SY!O1038/Inv_SY!$Q1038-1,"")</f>
        <v/>
      </c>
    </row>
    <row r="1038" spans="1:21">
      <c r="A1038" s="91" t="s">
        <v>212</v>
      </c>
      <c r="B1038" s="91">
        <v>9</v>
      </c>
      <c r="C1038" s="91">
        <v>2024</v>
      </c>
      <c r="D1038" s="91" t="s">
        <v>211</v>
      </c>
      <c r="E1038" s="91" t="s">
        <v>211</v>
      </c>
      <c r="F1038" s="92">
        <v>45658</v>
      </c>
      <c r="G1038" s="91">
        <f t="shared" si="35"/>
        <v>31</v>
      </c>
      <c r="H1038" s="93">
        <f t="shared" si="34"/>
        <v>45688</v>
      </c>
      <c r="I1038" s="145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41" t="str">
        <f>IFERROR(Inv_SY!O1039/Inv_SY!$Q1039-1,"")</f>
        <v/>
      </c>
    </row>
    <row r="1039" spans="1:21">
      <c r="A1039" s="91" t="s">
        <v>212</v>
      </c>
      <c r="B1039" s="91">
        <v>9</v>
      </c>
      <c r="C1039" s="91">
        <v>2024</v>
      </c>
      <c r="D1039" s="91" t="s">
        <v>211</v>
      </c>
      <c r="E1039" s="91" t="s">
        <v>211</v>
      </c>
      <c r="F1039" s="92">
        <v>45689</v>
      </c>
      <c r="G1039" s="91">
        <f t="shared" si="35"/>
        <v>28</v>
      </c>
      <c r="H1039" s="93">
        <f t="shared" si="34"/>
        <v>45689</v>
      </c>
      <c r="I1039" s="145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41" t="str">
        <f>IFERROR(Inv_SY!O1040/Inv_SY!$Q1040-1,"")</f>
        <v/>
      </c>
    </row>
    <row r="1040" spans="1:21">
      <c r="A1040" s="91" t="s">
        <v>212</v>
      </c>
      <c r="B1040" s="91">
        <v>9</v>
      </c>
      <c r="C1040" s="91">
        <v>2024</v>
      </c>
      <c r="D1040" s="91" t="s">
        <v>211</v>
      </c>
      <c r="E1040" s="91" t="s">
        <v>211</v>
      </c>
      <c r="F1040" s="92">
        <v>45689</v>
      </c>
      <c r="G1040" s="91">
        <f t="shared" si="35"/>
        <v>28</v>
      </c>
      <c r="H1040" s="93">
        <f t="shared" si="34"/>
        <v>45690</v>
      </c>
      <c r="I1040" s="145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41" t="str">
        <f>IFERROR(Inv_SY!O1041/Inv_SY!$Q1041-1,"")</f>
        <v/>
      </c>
    </row>
    <row r="1041" spans="1:21">
      <c r="A1041" s="91" t="s">
        <v>212</v>
      </c>
      <c r="B1041" s="91">
        <v>9</v>
      </c>
      <c r="C1041" s="91">
        <v>2024</v>
      </c>
      <c r="D1041" s="91" t="s">
        <v>211</v>
      </c>
      <c r="E1041" s="91" t="s">
        <v>211</v>
      </c>
      <c r="F1041" s="92">
        <v>45689</v>
      </c>
      <c r="G1041" s="91">
        <f t="shared" si="35"/>
        <v>28</v>
      </c>
      <c r="H1041" s="93">
        <f t="shared" si="34"/>
        <v>45691</v>
      </c>
      <c r="I1041" s="145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41" t="str">
        <f>IFERROR(Inv_SY!O1042/Inv_SY!$Q1042-1,"")</f>
        <v/>
      </c>
    </row>
    <row r="1042" spans="1:21">
      <c r="A1042" s="91" t="s">
        <v>212</v>
      </c>
      <c r="B1042" s="91">
        <v>9</v>
      </c>
      <c r="C1042" s="91">
        <v>2024</v>
      </c>
      <c r="D1042" s="91" t="s">
        <v>211</v>
      </c>
      <c r="E1042" s="91" t="s">
        <v>211</v>
      </c>
      <c r="F1042" s="92">
        <v>45689</v>
      </c>
      <c r="G1042" s="91">
        <f t="shared" si="35"/>
        <v>28</v>
      </c>
      <c r="H1042" s="93">
        <f t="shared" si="34"/>
        <v>45692</v>
      </c>
      <c r="I1042" s="145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41" t="str">
        <f>IFERROR(Inv_SY!O1043/Inv_SY!$Q1043-1,"")</f>
        <v/>
      </c>
    </row>
    <row r="1043" spans="1:21">
      <c r="A1043" s="91" t="s">
        <v>212</v>
      </c>
      <c r="B1043" s="91">
        <v>9</v>
      </c>
      <c r="C1043" s="91">
        <v>2024</v>
      </c>
      <c r="D1043" s="91" t="s">
        <v>211</v>
      </c>
      <c r="E1043" s="91" t="s">
        <v>211</v>
      </c>
      <c r="F1043" s="92">
        <v>45689</v>
      </c>
      <c r="G1043" s="91">
        <f t="shared" si="35"/>
        <v>28</v>
      </c>
      <c r="H1043" s="93">
        <f t="shared" si="34"/>
        <v>45693</v>
      </c>
      <c r="I1043" s="145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41" t="str">
        <f>IFERROR(Inv_SY!O1044/Inv_SY!$Q1044-1,"")</f>
        <v/>
      </c>
    </row>
    <row r="1044" spans="1:21">
      <c r="A1044" s="91" t="s">
        <v>212</v>
      </c>
      <c r="B1044" s="91">
        <v>9</v>
      </c>
      <c r="C1044" s="91">
        <v>2024</v>
      </c>
      <c r="D1044" s="91" t="s">
        <v>211</v>
      </c>
      <c r="E1044" s="91" t="s">
        <v>211</v>
      </c>
      <c r="F1044" s="92">
        <v>45689</v>
      </c>
      <c r="G1044" s="91">
        <f t="shared" si="35"/>
        <v>28</v>
      </c>
      <c r="H1044" s="93">
        <f t="shared" si="34"/>
        <v>45694</v>
      </c>
      <c r="I1044" s="145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41" t="str">
        <f>IFERROR(Inv_SY!O1045/Inv_SY!$Q1045-1,"")</f>
        <v/>
      </c>
    </row>
    <row r="1045" spans="1:21">
      <c r="A1045" s="91" t="s">
        <v>212</v>
      </c>
      <c r="B1045" s="91">
        <v>9</v>
      </c>
      <c r="C1045" s="91">
        <v>2024</v>
      </c>
      <c r="D1045" s="91" t="s">
        <v>211</v>
      </c>
      <c r="E1045" s="91" t="s">
        <v>211</v>
      </c>
      <c r="F1045" s="92">
        <v>45689</v>
      </c>
      <c r="G1045" s="91">
        <f t="shared" si="35"/>
        <v>28</v>
      </c>
      <c r="H1045" s="93">
        <f t="shared" si="34"/>
        <v>45695</v>
      </c>
      <c r="I1045" s="145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41" t="str">
        <f>IFERROR(Inv_SY!O1046/Inv_SY!$Q1046-1,"")</f>
        <v/>
      </c>
    </row>
    <row r="1046" spans="1:21">
      <c r="A1046" s="91" t="s">
        <v>212</v>
      </c>
      <c r="B1046" s="91">
        <v>9</v>
      </c>
      <c r="C1046" s="91">
        <v>2024</v>
      </c>
      <c r="D1046" s="91" t="s">
        <v>211</v>
      </c>
      <c r="E1046" s="91" t="s">
        <v>211</v>
      </c>
      <c r="F1046" s="92">
        <v>45689</v>
      </c>
      <c r="G1046" s="91">
        <f t="shared" ref="G1046:G1059" si="36">DAY(EOMONTH(F1046,0))</f>
        <v>28</v>
      </c>
      <c r="H1046" s="93">
        <f t="shared" si="34"/>
        <v>45696</v>
      </c>
      <c r="I1046" s="145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41" t="str">
        <f>IFERROR(Inv_SY!O1047/Inv_SY!$Q1047-1,"")</f>
        <v/>
      </c>
    </row>
    <row r="1047" spans="1:21">
      <c r="A1047" s="91" t="s">
        <v>212</v>
      </c>
      <c r="B1047" s="91">
        <v>9</v>
      </c>
      <c r="C1047" s="91">
        <v>2024</v>
      </c>
      <c r="D1047" s="91" t="s">
        <v>211</v>
      </c>
      <c r="E1047" s="91" t="s">
        <v>211</v>
      </c>
      <c r="F1047" s="92">
        <v>45689</v>
      </c>
      <c r="G1047" s="91">
        <f t="shared" si="36"/>
        <v>28</v>
      </c>
      <c r="H1047" s="93">
        <f t="shared" si="34"/>
        <v>45697</v>
      </c>
      <c r="I1047" s="145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41" t="str">
        <f>IFERROR(Inv_SY!O1048/Inv_SY!$Q1048-1,"")</f>
        <v/>
      </c>
    </row>
    <row r="1048" spans="1:21">
      <c r="A1048" s="91" t="s">
        <v>212</v>
      </c>
      <c r="B1048" s="91">
        <v>9</v>
      </c>
      <c r="C1048" s="91">
        <v>2024</v>
      </c>
      <c r="D1048" s="91" t="s">
        <v>211</v>
      </c>
      <c r="E1048" s="91" t="s">
        <v>211</v>
      </c>
      <c r="F1048" s="92">
        <v>45689</v>
      </c>
      <c r="G1048" s="91">
        <f t="shared" si="36"/>
        <v>28</v>
      </c>
      <c r="H1048" s="93">
        <f t="shared" si="34"/>
        <v>45698</v>
      </c>
      <c r="I1048" s="145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41" t="str">
        <f>IFERROR(Inv_SY!O1049/Inv_SY!$Q1049-1,"")</f>
        <v/>
      </c>
    </row>
    <row r="1049" spans="1:21">
      <c r="A1049" s="91" t="s">
        <v>212</v>
      </c>
      <c r="B1049" s="91">
        <v>9</v>
      </c>
      <c r="C1049" s="91">
        <v>2024</v>
      </c>
      <c r="D1049" s="91" t="s">
        <v>211</v>
      </c>
      <c r="E1049" s="91" t="s">
        <v>211</v>
      </c>
      <c r="F1049" s="92">
        <v>45689</v>
      </c>
      <c r="G1049" s="91">
        <f t="shared" si="36"/>
        <v>28</v>
      </c>
      <c r="H1049" s="93">
        <f t="shared" si="34"/>
        <v>45699</v>
      </c>
      <c r="I1049" s="145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41" t="str">
        <f>IFERROR(Inv_SY!O1050/Inv_SY!$Q1050-1,"")</f>
        <v/>
      </c>
    </row>
    <row r="1050" spans="1:21">
      <c r="A1050" s="91" t="s">
        <v>212</v>
      </c>
      <c r="B1050" s="91">
        <v>9</v>
      </c>
      <c r="C1050" s="91">
        <v>2024</v>
      </c>
      <c r="D1050" s="91" t="s">
        <v>211</v>
      </c>
      <c r="E1050" s="91" t="s">
        <v>211</v>
      </c>
      <c r="F1050" s="92">
        <v>45689</v>
      </c>
      <c r="G1050" s="91">
        <f t="shared" si="36"/>
        <v>28</v>
      </c>
      <c r="H1050" s="93">
        <f t="shared" si="34"/>
        <v>45700</v>
      </c>
      <c r="I1050" s="145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41" t="str">
        <f>IFERROR(Inv_SY!O1051/Inv_SY!$Q1051-1,"")</f>
        <v/>
      </c>
    </row>
    <row r="1051" spans="1:21">
      <c r="A1051" s="91" t="s">
        <v>212</v>
      </c>
      <c r="B1051" s="91">
        <v>9</v>
      </c>
      <c r="C1051" s="91">
        <v>2024</v>
      </c>
      <c r="D1051" s="91" t="s">
        <v>211</v>
      </c>
      <c r="E1051" s="91" t="s">
        <v>211</v>
      </c>
      <c r="F1051" s="92">
        <v>45689</v>
      </c>
      <c r="G1051" s="91">
        <f t="shared" si="36"/>
        <v>28</v>
      </c>
      <c r="H1051" s="93">
        <f t="shared" si="34"/>
        <v>45701</v>
      </c>
      <c r="I1051" s="145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41" t="str">
        <f>IFERROR(Inv_SY!O1052/Inv_SY!$Q1052-1,"")</f>
        <v/>
      </c>
    </row>
    <row r="1052" spans="1:21">
      <c r="A1052" s="91" t="s">
        <v>212</v>
      </c>
      <c r="B1052" s="91">
        <v>9</v>
      </c>
      <c r="C1052" s="91">
        <v>2024</v>
      </c>
      <c r="D1052" s="91" t="s">
        <v>211</v>
      </c>
      <c r="E1052" s="91" t="s">
        <v>211</v>
      </c>
      <c r="F1052" s="92">
        <v>45689</v>
      </c>
      <c r="G1052" s="91">
        <f t="shared" si="36"/>
        <v>28</v>
      </c>
      <c r="H1052" s="93">
        <f t="shared" si="34"/>
        <v>45702</v>
      </c>
      <c r="I1052" s="145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41" t="str">
        <f>IFERROR(Inv_SY!O1053/Inv_SY!$Q1053-1,"")</f>
        <v/>
      </c>
    </row>
    <row r="1053" spans="1:21">
      <c r="A1053" s="91" t="s">
        <v>212</v>
      </c>
      <c r="B1053" s="91">
        <v>9</v>
      </c>
      <c r="C1053" s="91">
        <v>2024</v>
      </c>
      <c r="D1053" s="91" t="s">
        <v>211</v>
      </c>
      <c r="E1053" s="91" t="s">
        <v>211</v>
      </c>
      <c r="F1053" s="92">
        <v>45689</v>
      </c>
      <c r="G1053" s="91">
        <f t="shared" si="36"/>
        <v>28</v>
      </c>
      <c r="H1053" s="93">
        <f t="shared" si="34"/>
        <v>45703</v>
      </c>
      <c r="I1053" s="145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41" t="str">
        <f>IFERROR(Inv_SY!O1054/Inv_SY!$Q1054-1,"")</f>
        <v/>
      </c>
    </row>
    <row r="1054" spans="1:21">
      <c r="A1054" s="91" t="s">
        <v>212</v>
      </c>
      <c r="B1054" s="91">
        <v>9</v>
      </c>
      <c r="C1054" s="91">
        <v>2024</v>
      </c>
      <c r="D1054" s="91" t="s">
        <v>211</v>
      </c>
      <c r="E1054" s="91" t="s">
        <v>211</v>
      </c>
      <c r="F1054" s="92">
        <v>45689</v>
      </c>
      <c r="G1054" s="91">
        <f t="shared" si="36"/>
        <v>28</v>
      </c>
      <c r="H1054" s="93">
        <f t="shared" si="34"/>
        <v>45704</v>
      </c>
      <c r="I1054" s="145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41" t="str">
        <f>IFERROR(Inv_SY!O1055/Inv_SY!$Q1055-1,"")</f>
        <v/>
      </c>
    </row>
    <row r="1055" spans="1:21">
      <c r="A1055" s="91" t="s">
        <v>212</v>
      </c>
      <c r="B1055" s="91">
        <v>9</v>
      </c>
      <c r="C1055" s="91">
        <v>2024</v>
      </c>
      <c r="D1055" s="91" t="s">
        <v>211</v>
      </c>
      <c r="E1055" s="91" t="s">
        <v>211</v>
      </c>
      <c r="F1055" s="92">
        <v>45689</v>
      </c>
      <c r="G1055" s="91">
        <f t="shared" si="36"/>
        <v>28</v>
      </c>
      <c r="H1055" s="93">
        <f t="shared" si="34"/>
        <v>45705</v>
      </c>
      <c r="I1055" s="145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41" t="str">
        <f>IFERROR(Inv_SY!O1056/Inv_SY!$Q1056-1,"")</f>
        <v/>
      </c>
    </row>
    <row r="1056" spans="1:21">
      <c r="A1056" s="91" t="s">
        <v>212</v>
      </c>
      <c r="B1056" s="91">
        <v>9</v>
      </c>
      <c r="C1056" s="91">
        <v>2024</v>
      </c>
      <c r="D1056" s="91" t="s">
        <v>211</v>
      </c>
      <c r="E1056" s="91" t="s">
        <v>211</v>
      </c>
      <c r="F1056" s="92">
        <v>45689</v>
      </c>
      <c r="G1056" s="91">
        <f t="shared" si="36"/>
        <v>28</v>
      </c>
      <c r="H1056" s="93">
        <f t="shared" si="34"/>
        <v>45706</v>
      </c>
      <c r="I1056" s="145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41" t="str">
        <f>IFERROR(Inv_SY!O1057/Inv_SY!$Q1057-1,"")</f>
        <v/>
      </c>
    </row>
    <row r="1057" spans="1:21">
      <c r="A1057" s="91" t="s">
        <v>212</v>
      </c>
      <c r="B1057" s="91">
        <v>9</v>
      </c>
      <c r="C1057" s="91">
        <v>2024</v>
      </c>
      <c r="D1057" s="91" t="s">
        <v>211</v>
      </c>
      <c r="E1057" s="91" t="s">
        <v>211</v>
      </c>
      <c r="F1057" s="92">
        <v>45689</v>
      </c>
      <c r="G1057" s="91">
        <f t="shared" si="36"/>
        <v>28</v>
      </c>
      <c r="H1057" s="93">
        <f t="shared" si="34"/>
        <v>45707</v>
      </c>
      <c r="I1057" s="145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41" t="str">
        <f>IFERROR(Inv_SY!O1058/Inv_SY!$Q1058-1,"")</f>
        <v/>
      </c>
    </row>
    <row r="1058" spans="1:21">
      <c r="A1058" s="91" t="s">
        <v>212</v>
      </c>
      <c r="B1058" s="91">
        <v>9</v>
      </c>
      <c r="C1058" s="91">
        <v>2024</v>
      </c>
      <c r="D1058" s="91" t="s">
        <v>211</v>
      </c>
      <c r="E1058" s="91" t="s">
        <v>211</v>
      </c>
      <c r="F1058" s="92">
        <v>45689</v>
      </c>
      <c r="G1058" s="91">
        <f t="shared" si="36"/>
        <v>28</v>
      </c>
      <c r="H1058" s="93">
        <f t="shared" si="34"/>
        <v>45708</v>
      </c>
      <c r="I1058" s="145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41" t="str">
        <f>IFERROR(Inv_SY!O1059/Inv_SY!$Q1059-1,"")</f>
        <v/>
      </c>
    </row>
    <row r="1059" spans="1:21">
      <c r="A1059" s="91" t="s">
        <v>212</v>
      </c>
      <c r="B1059" s="91">
        <v>9</v>
      </c>
      <c r="C1059" s="91">
        <v>2024</v>
      </c>
      <c r="D1059" s="91" t="s">
        <v>211</v>
      </c>
      <c r="E1059" s="91" t="s">
        <v>211</v>
      </c>
      <c r="F1059" s="92">
        <v>45689</v>
      </c>
      <c r="G1059" s="91">
        <f t="shared" si="36"/>
        <v>28</v>
      </c>
      <c r="H1059" s="93">
        <f t="shared" si="34"/>
        <v>45709</v>
      </c>
      <c r="I1059" s="145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41" t="str">
        <f>IFERROR(Inv_SY!O1060/Inv_SY!$Q1060-1,"")</f>
        <v/>
      </c>
    </row>
    <row r="1060" spans="1:21">
      <c r="A1060" s="91" t="s">
        <v>212</v>
      </c>
      <c r="B1060" s="91">
        <v>9</v>
      </c>
      <c r="C1060" s="91">
        <v>2024</v>
      </c>
      <c r="D1060" s="91" t="s">
        <v>211</v>
      </c>
      <c r="E1060" s="91" t="s">
        <v>211</v>
      </c>
      <c r="F1060" s="92">
        <v>45689</v>
      </c>
      <c r="G1060" s="91">
        <f t="shared" ref="G1060:G1064" si="37">DAY(EOMONTH(F1060,0))</f>
        <v>28</v>
      </c>
      <c r="H1060" s="93">
        <f t="shared" si="34"/>
        <v>45710</v>
      </c>
      <c r="I1060" s="145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41" t="str">
        <f>IFERROR(Inv_SY!O1061/Inv_SY!$Q1061-1,"")</f>
        <v/>
      </c>
    </row>
    <row r="1061" spans="1:21">
      <c r="A1061" s="91" t="s">
        <v>212</v>
      </c>
      <c r="B1061" s="91">
        <v>9</v>
      </c>
      <c r="C1061" s="91">
        <v>2024</v>
      </c>
      <c r="D1061" s="91" t="s">
        <v>211</v>
      </c>
      <c r="E1061" s="91" t="s">
        <v>211</v>
      </c>
      <c r="F1061" s="92">
        <v>45689</v>
      </c>
      <c r="G1061" s="91">
        <f t="shared" si="37"/>
        <v>28</v>
      </c>
      <c r="H1061" s="93">
        <f t="shared" si="34"/>
        <v>45711</v>
      </c>
      <c r="I1061" s="145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41" t="str">
        <f>IFERROR(Inv_SY!O1062/Inv_SY!$Q1062-1,"")</f>
        <v/>
      </c>
    </row>
    <row r="1062" spans="1:21">
      <c r="A1062" s="91" t="s">
        <v>212</v>
      </c>
      <c r="B1062" s="91">
        <v>9</v>
      </c>
      <c r="C1062" s="91">
        <v>2024</v>
      </c>
      <c r="D1062" s="91" t="s">
        <v>211</v>
      </c>
      <c r="E1062" s="91" t="s">
        <v>211</v>
      </c>
      <c r="F1062" s="92">
        <v>45689</v>
      </c>
      <c r="G1062" s="91">
        <f t="shared" si="37"/>
        <v>28</v>
      </c>
      <c r="H1062" s="93">
        <f t="shared" si="34"/>
        <v>45712</v>
      </c>
      <c r="I1062" s="145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41" t="str">
        <f>IFERROR(Inv_SY!O1063/Inv_SY!$Q1063-1,"")</f>
        <v/>
      </c>
    </row>
    <row r="1063" spans="1:21">
      <c r="A1063" s="91" t="s">
        <v>212</v>
      </c>
      <c r="B1063" s="91">
        <v>9</v>
      </c>
      <c r="C1063" s="91">
        <v>2024</v>
      </c>
      <c r="D1063" s="91" t="s">
        <v>211</v>
      </c>
      <c r="E1063" s="91" t="s">
        <v>211</v>
      </c>
      <c r="F1063" s="92">
        <v>45689</v>
      </c>
      <c r="G1063" s="91">
        <f t="shared" si="37"/>
        <v>28</v>
      </c>
      <c r="H1063" s="93">
        <f t="shared" si="34"/>
        <v>45713</v>
      </c>
      <c r="I1063" s="145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41" t="str">
        <f>IFERROR(Inv_SY!O1064/Inv_SY!$Q1064-1,"")</f>
        <v/>
      </c>
    </row>
    <row r="1064" spans="1:21">
      <c r="A1064" s="91" t="s">
        <v>212</v>
      </c>
      <c r="B1064" s="91">
        <v>9</v>
      </c>
      <c r="C1064" s="91">
        <v>2024</v>
      </c>
      <c r="D1064" s="91" t="s">
        <v>211</v>
      </c>
      <c r="E1064" s="91" t="s">
        <v>211</v>
      </c>
      <c r="F1064" s="92">
        <v>45689</v>
      </c>
      <c r="G1064" s="91">
        <f t="shared" si="37"/>
        <v>28</v>
      </c>
      <c r="H1064" s="93">
        <f t="shared" si="34"/>
        <v>45714</v>
      </c>
      <c r="I1064" s="145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41" t="str">
        <f>IFERROR(Inv_SY!O1065/Inv_SY!$Q1065-1,"")</f>
        <v/>
      </c>
    </row>
    <row r="1065" spans="1:21">
      <c r="A1065" s="91" t="s">
        <v>212</v>
      </c>
      <c r="B1065" s="91">
        <v>9</v>
      </c>
      <c r="C1065" s="91">
        <v>2024</v>
      </c>
      <c r="D1065" s="91" t="s">
        <v>211</v>
      </c>
      <c r="E1065" s="91" t="s">
        <v>211</v>
      </c>
      <c r="F1065" s="92">
        <v>45689</v>
      </c>
      <c r="G1065" s="91">
        <f t="shared" ref="G1065:G1066" si="38">DAY(EOMONTH(F1065,0))</f>
        <v>28</v>
      </c>
      <c r="H1065" s="93">
        <f t="shared" si="34"/>
        <v>45715</v>
      </c>
      <c r="I1065" s="145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41" t="str">
        <f>IFERROR(Inv_SY!O1066/Inv_SY!$Q1066-1,"")</f>
        <v/>
      </c>
    </row>
    <row r="1066" spans="1:21">
      <c r="A1066" s="91" t="s">
        <v>212</v>
      </c>
      <c r="B1066" s="91">
        <v>9</v>
      </c>
      <c r="C1066" s="91">
        <v>2024</v>
      </c>
      <c r="D1066" s="91" t="s">
        <v>211</v>
      </c>
      <c r="E1066" s="91" t="s">
        <v>211</v>
      </c>
      <c r="F1066" s="92">
        <v>45689</v>
      </c>
      <c r="G1066" s="91">
        <f t="shared" si="38"/>
        <v>28</v>
      </c>
      <c r="H1066" s="93">
        <f t="shared" si="34"/>
        <v>45716</v>
      </c>
      <c r="I1066" s="145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41" t="str">
        <f>IFERROR(Inv_SY!O1067/Inv_SY!$Q1067-1,"")</f>
        <v/>
      </c>
    </row>
    <row r="1067" spans="1:21">
      <c r="A1067" s="91" t="s">
        <v>212</v>
      </c>
      <c r="B1067" s="91">
        <v>3</v>
      </c>
      <c r="C1067" s="91">
        <v>2024</v>
      </c>
      <c r="D1067" s="91" t="s">
        <v>211</v>
      </c>
      <c r="E1067" s="91" t="s">
        <v>211</v>
      </c>
      <c r="F1067" s="92">
        <v>45717</v>
      </c>
      <c r="G1067" s="91">
        <f t="shared" ref="G1067:G1092" si="39">DAY(EOMONTH(F1067,0))</f>
        <v>31</v>
      </c>
      <c r="H1067" s="93">
        <f t="shared" si="34"/>
        <v>45717</v>
      </c>
      <c r="I1067" s="145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41" t="str">
        <f>IFERROR(Inv_SY!O1068/Inv_SY!$Q1068-1,"")</f>
        <v/>
      </c>
    </row>
    <row r="1068" spans="1:21">
      <c r="A1068" s="91" t="s">
        <v>212</v>
      </c>
      <c r="B1068" s="91">
        <v>3</v>
      </c>
      <c r="C1068" s="91">
        <v>2024</v>
      </c>
      <c r="D1068" s="91" t="s">
        <v>211</v>
      </c>
      <c r="E1068" s="91" t="s">
        <v>211</v>
      </c>
      <c r="F1068" s="92">
        <v>45717</v>
      </c>
      <c r="G1068" s="91">
        <f t="shared" si="39"/>
        <v>31</v>
      </c>
      <c r="H1068" s="93">
        <f t="shared" si="34"/>
        <v>45718</v>
      </c>
      <c r="I1068" s="145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41" t="str">
        <f>IFERROR(Inv_SY!O1069/Inv_SY!$Q1069-1,"")</f>
        <v/>
      </c>
    </row>
    <row r="1069" spans="1:21">
      <c r="A1069" s="91" t="s">
        <v>212</v>
      </c>
      <c r="B1069" s="91">
        <v>3</v>
      </c>
      <c r="C1069" s="91">
        <v>2024</v>
      </c>
      <c r="D1069" s="91" t="s">
        <v>211</v>
      </c>
      <c r="E1069" s="91" t="s">
        <v>211</v>
      </c>
      <c r="F1069" s="92">
        <v>45717</v>
      </c>
      <c r="G1069" s="91">
        <f t="shared" si="39"/>
        <v>31</v>
      </c>
      <c r="H1069" s="93">
        <f t="shared" si="34"/>
        <v>45719</v>
      </c>
      <c r="I1069" s="145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41" t="str">
        <f>IFERROR(Inv_SY!O1070/Inv_SY!$Q1070-1,"")</f>
        <v/>
      </c>
    </row>
    <row r="1070" spans="1:21">
      <c r="A1070" s="91" t="s">
        <v>212</v>
      </c>
      <c r="B1070" s="91">
        <v>3</v>
      </c>
      <c r="C1070" s="91">
        <v>2024</v>
      </c>
      <c r="D1070" s="91" t="s">
        <v>211</v>
      </c>
      <c r="E1070" s="91" t="s">
        <v>211</v>
      </c>
      <c r="F1070" s="92">
        <v>45717</v>
      </c>
      <c r="G1070" s="91">
        <f t="shared" si="39"/>
        <v>31</v>
      </c>
      <c r="H1070" s="93">
        <f t="shared" si="34"/>
        <v>45720</v>
      </c>
      <c r="I1070" s="145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41" t="str">
        <f>IFERROR(Inv_SY!O1071/Inv_SY!$Q1071-1,"")</f>
        <v/>
      </c>
    </row>
    <row r="1071" spans="1:21">
      <c r="A1071" s="91" t="s">
        <v>212</v>
      </c>
      <c r="B1071" s="91">
        <v>3</v>
      </c>
      <c r="C1071" s="91">
        <v>2024</v>
      </c>
      <c r="D1071" s="91" t="s">
        <v>211</v>
      </c>
      <c r="E1071" s="91" t="s">
        <v>211</v>
      </c>
      <c r="F1071" s="92">
        <v>45717</v>
      </c>
      <c r="G1071" s="91">
        <f t="shared" si="39"/>
        <v>31</v>
      </c>
      <c r="H1071" s="93">
        <f t="shared" si="34"/>
        <v>45721</v>
      </c>
      <c r="I1071" s="145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41" t="str">
        <f>IFERROR(Inv_SY!O1072/Inv_SY!$Q1072-1,"")</f>
        <v/>
      </c>
    </row>
    <row r="1072" spans="1:21">
      <c r="A1072" s="91" t="s">
        <v>212</v>
      </c>
      <c r="B1072" s="91">
        <v>3</v>
      </c>
      <c r="C1072" s="91">
        <v>2024</v>
      </c>
      <c r="D1072" s="91" t="s">
        <v>211</v>
      </c>
      <c r="E1072" s="91" t="s">
        <v>211</v>
      </c>
      <c r="F1072" s="92">
        <v>45717</v>
      </c>
      <c r="G1072" s="91">
        <f t="shared" si="39"/>
        <v>31</v>
      </c>
      <c r="H1072" s="93">
        <f t="shared" si="34"/>
        <v>45722</v>
      </c>
      <c r="I1072" s="145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41" t="str">
        <f>IFERROR(Inv_SY!O1073/Inv_SY!$Q1073-1,"")</f>
        <v/>
      </c>
    </row>
    <row r="1073" spans="1:21">
      <c r="A1073" s="91" t="s">
        <v>212</v>
      </c>
      <c r="B1073" s="91">
        <v>3</v>
      </c>
      <c r="C1073" s="91">
        <v>2024</v>
      </c>
      <c r="D1073" s="91" t="s">
        <v>211</v>
      </c>
      <c r="E1073" s="91" t="s">
        <v>211</v>
      </c>
      <c r="F1073" s="92">
        <v>45717</v>
      </c>
      <c r="G1073" s="91">
        <f t="shared" si="39"/>
        <v>31</v>
      </c>
      <c r="H1073" s="93">
        <f t="shared" ref="H1073:H1092" si="40">H1072+1</f>
        <v>45723</v>
      </c>
      <c r="I1073" s="145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41" t="str">
        <f>IFERROR(Inv_SY!O1074/Inv_SY!$Q1074-1,"")</f>
        <v/>
      </c>
    </row>
    <row r="1074" spans="1:21">
      <c r="A1074" s="91" t="s">
        <v>212</v>
      </c>
      <c r="B1074" s="91">
        <v>3</v>
      </c>
      <c r="C1074" s="91">
        <v>2024</v>
      </c>
      <c r="D1074" s="91" t="s">
        <v>211</v>
      </c>
      <c r="E1074" s="91" t="s">
        <v>211</v>
      </c>
      <c r="F1074" s="92">
        <v>45717</v>
      </c>
      <c r="G1074" s="91">
        <f t="shared" si="39"/>
        <v>31</v>
      </c>
      <c r="H1074" s="93">
        <f t="shared" si="40"/>
        <v>45724</v>
      </c>
      <c r="I1074" s="145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41" t="str">
        <f>IFERROR(Inv_SY!O1075/Inv_SY!$Q1075-1,"")</f>
        <v/>
      </c>
    </row>
    <row r="1075" spans="1:21">
      <c r="A1075" s="91" t="s">
        <v>212</v>
      </c>
      <c r="B1075" s="91">
        <v>3</v>
      </c>
      <c r="C1075" s="91">
        <v>2024</v>
      </c>
      <c r="D1075" s="91" t="s">
        <v>211</v>
      </c>
      <c r="E1075" s="91" t="s">
        <v>211</v>
      </c>
      <c r="F1075" s="92">
        <v>45717</v>
      </c>
      <c r="G1075" s="91">
        <f t="shared" si="39"/>
        <v>31</v>
      </c>
      <c r="H1075" s="93">
        <f t="shared" si="40"/>
        <v>45725</v>
      </c>
      <c r="I1075" s="145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41" t="str">
        <f>IFERROR(Inv_SY!O1076/Inv_SY!$Q1076-1,"")</f>
        <v/>
      </c>
    </row>
    <row r="1076" spans="1:21">
      <c r="A1076" s="91" t="s">
        <v>212</v>
      </c>
      <c r="B1076" s="91">
        <v>3</v>
      </c>
      <c r="C1076" s="91">
        <v>2024</v>
      </c>
      <c r="D1076" s="91" t="s">
        <v>211</v>
      </c>
      <c r="E1076" s="91" t="s">
        <v>211</v>
      </c>
      <c r="F1076" s="92">
        <v>45717</v>
      </c>
      <c r="G1076" s="91">
        <f t="shared" si="39"/>
        <v>31</v>
      </c>
      <c r="H1076" s="93">
        <f t="shared" si="40"/>
        <v>45726</v>
      </c>
      <c r="I1076" s="145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41" t="str">
        <f>IFERROR(Inv_SY!O1077/Inv_SY!$Q1077-1,"")</f>
        <v/>
      </c>
    </row>
    <row r="1077" spans="1:21">
      <c r="A1077" s="91" t="s">
        <v>212</v>
      </c>
      <c r="B1077" s="91">
        <v>3</v>
      </c>
      <c r="C1077" s="91">
        <v>2024</v>
      </c>
      <c r="D1077" s="91" t="s">
        <v>211</v>
      </c>
      <c r="E1077" s="91" t="s">
        <v>211</v>
      </c>
      <c r="F1077" s="92">
        <v>45717</v>
      </c>
      <c r="G1077" s="91">
        <f t="shared" si="39"/>
        <v>31</v>
      </c>
      <c r="H1077" s="93">
        <f t="shared" si="40"/>
        <v>45727</v>
      </c>
      <c r="I1077" s="145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41" t="str">
        <f>IFERROR(Inv_SY!O1078/Inv_SY!$Q1078-1,"")</f>
        <v/>
      </c>
    </row>
    <row r="1078" spans="1:21">
      <c r="A1078" s="91" t="s">
        <v>212</v>
      </c>
      <c r="B1078" s="91">
        <v>3</v>
      </c>
      <c r="C1078" s="91">
        <v>2024</v>
      </c>
      <c r="D1078" s="91" t="s">
        <v>211</v>
      </c>
      <c r="E1078" s="91" t="s">
        <v>211</v>
      </c>
      <c r="F1078" s="92">
        <v>45717</v>
      </c>
      <c r="G1078" s="91">
        <f t="shared" si="39"/>
        <v>31</v>
      </c>
      <c r="H1078" s="93">
        <f t="shared" si="40"/>
        <v>45728</v>
      </c>
      <c r="I1078" s="145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41" t="str">
        <f>IFERROR(Inv_SY!O1079/Inv_SY!$Q1079-1,"")</f>
        <v/>
      </c>
    </row>
    <row r="1079" spans="1:21">
      <c r="A1079" s="91" t="s">
        <v>212</v>
      </c>
      <c r="B1079" s="91">
        <v>3</v>
      </c>
      <c r="C1079" s="91">
        <v>2024</v>
      </c>
      <c r="D1079" s="91" t="s">
        <v>211</v>
      </c>
      <c r="E1079" s="91" t="s">
        <v>211</v>
      </c>
      <c r="F1079" s="92">
        <v>45717</v>
      </c>
      <c r="G1079" s="91">
        <f t="shared" si="39"/>
        <v>31</v>
      </c>
      <c r="H1079" s="93">
        <f t="shared" si="40"/>
        <v>45729</v>
      </c>
      <c r="I1079" s="145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41" t="str">
        <f>IFERROR(Inv_SY!O1080/Inv_SY!$Q1080-1,"")</f>
        <v/>
      </c>
    </row>
    <row r="1080" spans="1:21">
      <c r="A1080" s="91" t="s">
        <v>212</v>
      </c>
      <c r="B1080" s="91">
        <v>3</v>
      </c>
      <c r="C1080" s="91">
        <v>2024</v>
      </c>
      <c r="D1080" s="91" t="s">
        <v>211</v>
      </c>
      <c r="E1080" s="91" t="s">
        <v>211</v>
      </c>
      <c r="F1080" s="92">
        <v>45717</v>
      </c>
      <c r="G1080" s="91">
        <f t="shared" si="39"/>
        <v>31</v>
      </c>
      <c r="H1080" s="93">
        <f t="shared" si="40"/>
        <v>45730</v>
      </c>
      <c r="I1080" s="145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41" t="str">
        <f>IFERROR(Inv_SY!O1081/Inv_SY!$Q1081-1,"")</f>
        <v/>
      </c>
    </row>
    <row r="1081" spans="1:21">
      <c r="A1081" s="91" t="s">
        <v>212</v>
      </c>
      <c r="B1081" s="91">
        <v>3</v>
      </c>
      <c r="C1081" s="91">
        <v>2024</v>
      </c>
      <c r="D1081" s="91" t="s">
        <v>211</v>
      </c>
      <c r="E1081" s="91" t="s">
        <v>211</v>
      </c>
      <c r="F1081" s="92">
        <v>45717</v>
      </c>
      <c r="G1081" s="91">
        <f t="shared" si="39"/>
        <v>31</v>
      </c>
      <c r="H1081" s="93">
        <f t="shared" si="40"/>
        <v>45731</v>
      </c>
      <c r="I1081" s="145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41" t="str">
        <f>IFERROR(Inv_SY!O1082/Inv_SY!$Q1082-1,"")</f>
        <v/>
      </c>
    </row>
    <row r="1082" spans="1:21">
      <c r="A1082" s="91" t="s">
        <v>212</v>
      </c>
      <c r="B1082" s="91">
        <v>3</v>
      </c>
      <c r="C1082" s="91">
        <v>2024</v>
      </c>
      <c r="D1082" s="91" t="s">
        <v>211</v>
      </c>
      <c r="E1082" s="91" t="s">
        <v>211</v>
      </c>
      <c r="F1082" s="92">
        <v>45717</v>
      </c>
      <c r="G1082" s="91">
        <f t="shared" si="39"/>
        <v>31</v>
      </c>
      <c r="H1082" s="93">
        <f t="shared" si="40"/>
        <v>45732</v>
      </c>
      <c r="I1082" s="145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41" t="str">
        <f>IFERROR(Inv_SY!O1083/Inv_SY!$Q1083-1,"")</f>
        <v/>
      </c>
    </row>
    <row r="1083" spans="1:21">
      <c r="A1083" s="91" t="s">
        <v>212</v>
      </c>
      <c r="B1083" s="91">
        <v>3</v>
      </c>
      <c r="C1083" s="91">
        <v>2024</v>
      </c>
      <c r="D1083" s="91" t="s">
        <v>211</v>
      </c>
      <c r="E1083" s="91" t="s">
        <v>211</v>
      </c>
      <c r="F1083" s="92">
        <v>45717</v>
      </c>
      <c r="G1083" s="91">
        <f t="shared" si="39"/>
        <v>31</v>
      </c>
      <c r="H1083" s="93">
        <f t="shared" si="40"/>
        <v>45733</v>
      </c>
      <c r="I1083" s="145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41" t="str">
        <f>IFERROR(Inv_SY!O1084/Inv_SY!$Q1084-1,"")</f>
        <v/>
      </c>
    </row>
    <row r="1084" spans="1:21">
      <c r="A1084" s="91" t="s">
        <v>212</v>
      </c>
      <c r="B1084" s="91">
        <v>3</v>
      </c>
      <c r="C1084" s="91">
        <v>2024</v>
      </c>
      <c r="D1084" s="91" t="s">
        <v>211</v>
      </c>
      <c r="E1084" s="91" t="s">
        <v>211</v>
      </c>
      <c r="F1084" s="92">
        <v>45717</v>
      </c>
      <c r="G1084" s="91">
        <f t="shared" si="39"/>
        <v>31</v>
      </c>
      <c r="H1084" s="93">
        <f t="shared" si="40"/>
        <v>45734</v>
      </c>
      <c r="I1084" s="145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41" t="str">
        <f>IFERROR(Inv_SY!O1085/Inv_SY!$Q1085-1,"")</f>
        <v/>
      </c>
    </row>
    <row r="1085" spans="1:21">
      <c r="A1085" s="91" t="s">
        <v>212</v>
      </c>
      <c r="B1085" s="91">
        <v>3</v>
      </c>
      <c r="C1085" s="91">
        <v>2024</v>
      </c>
      <c r="D1085" s="91" t="s">
        <v>211</v>
      </c>
      <c r="E1085" s="91" t="s">
        <v>211</v>
      </c>
      <c r="F1085" s="92">
        <v>45717</v>
      </c>
      <c r="G1085" s="91">
        <f t="shared" si="39"/>
        <v>31</v>
      </c>
      <c r="H1085" s="93">
        <f t="shared" si="40"/>
        <v>45735</v>
      </c>
      <c r="I1085" s="145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41" t="str">
        <f>IFERROR(Inv_SY!O1086/Inv_SY!$Q1086-1,"")</f>
        <v/>
      </c>
    </row>
    <row r="1086" spans="1:21">
      <c r="A1086" s="91" t="s">
        <v>212</v>
      </c>
      <c r="B1086" s="91">
        <v>3</v>
      </c>
      <c r="C1086" s="91">
        <v>2024</v>
      </c>
      <c r="D1086" s="91" t="s">
        <v>211</v>
      </c>
      <c r="E1086" s="91" t="s">
        <v>211</v>
      </c>
      <c r="F1086" s="92">
        <v>45717</v>
      </c>
      <c r="G1086" s="91">
        <f t="shared" si="39"/>
        <v>31</v>
      </c>
      <c r="H1086" s="93">
        <f t="shared" si="40"/>
        <v>45736</v>
      </c>
      <c r="I1086" s="145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41" t="str">
        <f>IFERROR(Inv_SY!O1087/Inv_SY!$Q1087-1,"")</f>
        <v/>
      </c>
    </row>
    <row r="1087" spans="1:21">
      <c r="A1087" s="91" t="s">
        <v>212</v>
      </c>
      <c r="B1087" s="91">
        <v>3</v>
      </c>
      <c r="C1087" s="91">
        <v>2024</v>
      </c>
      <c r="D1087" s="91" t="s">
        <v>211</v>
      </c>
      <c r="E1087" s="91" t="s">
        <v>211</v>
      </c>
      <c r="F1087" s="92">
        <v>45717</v>
      </c>
      <c r="G1087" s="91">
        <f t="shared" si="39"/>
        <v>31</v>
      </c>
      <c r="H1087" s="93">
        <f t="shared" si="40"/>
        <v>45737</v>
      </c>
      <c r="I1087" s="145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41" t="str">
        <f>IFERROR(Inv_SY!O1088/Inv_SY!$Q1088-1,"")</f>
        <v/>
      </c>
    </row>
    <row r="1088" spans="1:21">
      <c r="A1088" s="91" t="s">
        <v>212</v>
      </c>
      <c r="B1088" s="91">
        <v>3</v>
      </c>
      <c r="C1088" s="91">
        <v>2024</v>
      </c>
      <c r="D1088" s="91" t="s">
        <v>211</v>
      </c>
      <c r="E1088" s="91" t="s">
        <v>211</v>
      </c>
      <c r="F1088" s="92">
        <v>45717</v>
      </c>
      <c r="G1088" s="91">
        <f t="shared" si="39"/>
        <v>31</v>
      </c>
      <c r="H1088" s="93">
        <f t="shared" si="40"/>
        <v>45738</v>
      </c>
      <c r="I1088" s="145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41" t="str">
        <f>IFERROR(Inv_SY!O1089/Inv_SY!$Q1089-1,"")</f>
        <v/>
      </c>
    </row>
    <row r="1089" spans="1:21">
      <c r="A1089" s="91" t="s">
        <v>212</v>
      </c>
      <c r="B1089" s="91">
        <v>3</v>
      </c>
      <c r="C1089" s="91">
        <v>2024</v>
      </c>
      <c r="D1089" s="91" t="s">
        <v>211</v>
      </c>
      <c r="E1089" s="91" t="s">
        <v>211</v>
      </c>
      <c r="F1089" s="92">
        <v>45717</v>
      </c>
      <c r="G1089" s="91">
        <f t="shared" si="39"/>
        <v>31</v>
      </c>
      <c r="H1089" s="93">
        <f t="shared" si="40"/>
        <v>45739</v>
      </c>
      <c r="I1089" s="145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41" t="str">
        <f>IFERROR(Inv_SY!O1090/Inv_SY!$Q1090-1,"")</f>
        <v/>
      </c>
    </row>
    <row r="1090" spans="1:21">
      <c r="A1090" s="91" t="s">
        <v>212</v>
      </c>
      <c r="B1090" s="91">
        <v>3</v>
      </c>
      <c r="C1090" s="91">
        <v>2024</v>
      </c>
      <c r="D1090" s="91" t="s">
        <v>211</v>
      </c>
      <c r="E1090" s="91" t="s">
        <v>211</v>
      </c>
      <c r="F1090" s="92">
        <v>45717</v>
      </c>
      <c r="G1090" s="91">
        <f t="shared" si="39"/>
        <v>31</v>
      </c>
      <c r="H1090" s="93">
        <f t="shared" si="40"/>
        <v>45740</v>
      </c>
      <c r="I1090" s="145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41" t="str">
        <f>IFERROR(Inv_SY!O1091/Inv_SY!$Q1091-1,"")</f>
        <v/>
      </c>
    </row>
    <row r="1091" spans="1:21">
      <c r="A1091" s="91" t="s">
        <v>212</v>
      </c>
      <c r="B1091" s="91">
        <v>3</v>
      </c>
      <c r="C1091" s="91">
        <v>2024</v>
      </c>
      <c r="D1091" s="91" t="s">
        <v>211</v>
      </c>
      <c r="E1091" s="91" t="s">
        <v>211</v>
      </c>
      <c r="F1091" s="92">
        <v>45717</v>
      </c>
      <c r="G1091" s="91">
        <f t="shared" si="39"/>
        <v>31</v>
      </c>
      <c r="H1091" s="93">
        <f t="shared" si="40"/>
        <v>45741</v>
      </c>
      <c r="I1091" s="145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41" t="str">
        <f>IFERROR(Inv_SY!O1092/Inv_SY!$Q1092-1,"")</f>
        <v/>
      </c>
    </row>
    <row r="1092" spans="1:21">
      <c r="A1092" s="91" t="s">
        <v>212</v>
      </c>
      <c r="B1092" s="91">
        <v>3</v>
      </c>
      <c r="C1092" s="91">
        <v>2024</v>
      </c>
      <c r="D1092" s="91" t="s">
        <v>211</v>
      </c>
      <c r="E1092" s="91" t="s">
        <v>211</v>
      </c>
      <c r="F1092" s="92">
        <v>45717</v>
      </c>
      <c r="G1092" s="91">
        <f t="shared" si="39"/>
        <v>31</v>
      </c>
      <c r="H1092" s="93">
        <f t="shared" si="40"/>
        <v>45742</v>
      </c>
      <c r="I1092" s="145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41" t="str">
        <f>IFERROR(Inv_SY!O1093/Inv_SY!$Q1093-1,"")</f>
        <v/>
      </c>
    </row>
    <row r="1093" spans="1:21">
      <c r="A1093" s="91" t="s">
        <v>212</v>
      </c>
      <c r="B1093" s="91">
        <v>3</v>
      </c>
      <c r="C1093" s="91">
        <v>2024</v>
      </c>
      <c r="D1093" s="91" t="s">
        <v>211</v>
      </c>
      <c r="E1093" s="91" t="s">
        <v>211</v>
      </c>
      <c r="F1093" s="92">
        <v>45717</v>
      </c>
      <c r="G1093" s="91">
        <f t="shared" ref="G1093:G1097" si="41">DAY(EOMONTH(F1093,0))</f>
        <v>31</v>
      </c>
      <c r="H1093" s="93">
        <f t="shared" ref="H1093:H1146" si="42">H1092+1</f>
        <v>45743</v>
      </c>
      <c r="I1093" s="145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41" t="str">
        <f>IFERROR(Inv_SY!O1094/Inv_SY!$Q1094-1,"")</f>
        <v/>
      </c>
    </row>
    <row r="1094" spans="1:21">
      <c r="A1094" s="91" t="s">
        <v>212</v>
      </c>
      <c r="B1094" s="91">
        <v>3</v>
      </c>
      <c r="C1094" s="91">
        <v>2024</v>
      </c>
      <c r="D1094" s="91" t="s">
        <v>211</v>
      </c>
      <c r="E1094" s="91" t="s">
        <v>211</v>
      </c>
      <c r="F1094" s="92">
        <v>45717</v>
      </c>
      <c r="G1094" s="91">
        <f t="shared" si="41"/>
        <v>31</v>
      </c>
      <c r="H1094" s="93">
        <f t="shared" si="42"/>
        <v>45744</v>
      </c>
      <c r="I1094" s="145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41" t="str">
        <f>IFERROR(Inv_SY!O1095/Inv_SY!$Q1095-1,"")</f>
        <v/>
      </c>
    </row>
    <row r="1095" spans="1:21">
      <c r="A1095" s="91" t="s">
        <v>212</v>
      </c>
      <c r="B1095" s="91">
        <v>3</v>
      </c>
      <c r="C1095" s="91">
        <v>2024</v>
      </c>
      <c r="D1095" s="91" t="s">
        <v>211</v>
      </c>
      <c r="E1095" s="91" t="s">
        <v>211</v>
      </c>
      <c r="F1095" s="92">
        <v>45717</v>
      </c>
      <c r="G1095" s="91">
        <f t="shared" si="41"/>
        <v>31</v>
      </c>
      <c r="H1095" s="93">
        <f t="shared" si="42"/>
        <v>45745</v>
      </c>
      <c r="I1095" s="145">
        <f>_xlfn.XLOOKUP(Table5[[#This Row],[Month Year]],'Modelling New'!D:D,'Modelling New'!N:N)</f>
        <v>10.507</v>
      </c>
      <c r="J1095" s="9">
        <f>IFERROR(Inv_SY!J1096/Inv_SY!$P1096-1,"")</f>
        <v>8.9992564825906562E-2</v>
      </c>
      <c r="K1095" s="9">
        <f>IFERROR(Inv_SY!K1096/Inv_SY!$P1096-1,"")</f>
        <v>8.1600715203451246E-2</v>
      </c>
      <c r="L1095" s="9">
        <f>IFERROR(Inv_SY!L1096/Inv_SY!$P1096-1,"")</f>
        <v>6.0441894781465555E-2</v>
      </c>
      <c r="M1095" s="9">
        <f>IFERROR(Inv_SY!M1096/Inv_SY!$P1096-1,"")</f>
        <v>5.3758728611092543E-2</v>
      </c>
      <c r="N1095" s="9">
        <f>IFERROR(Inv_SY!N1096/Inv_SY!$P1096-1,"")</f>
        <v>6.1446376917037471E-2</v>
      </c>
      <c r="O1095" s="9">
        <f>IFERROR(Inv_SY!O1096/Inv_SY!$P1096-1,"")</f>
        <v>-0.34724028033895271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41">
        <f>IFERROR(Inv_SY!O1096/Inv_SY!$Q1096-1,"")</f>
        <v>-0.40113378684807266</v>
      </c>
    </row>
    <row r="1096" spans="1:21">
      <c r="A1096" s="91" t="s">
        <v>212</v>
      </c>
      <c r="B1096" s="91">
        <v>3</v>
      </c>
      <c r="C1096" s="91">
        <v>2024</v>
      </c>
      <c r="D1096" s="91" t="s">
        <v>211</v>
      </c>
      <c r="E1096" s="91" t="s">
        <v>211</v>
      </c>
      <c r="F1096" s="92">
        <v>45717</v>
      </c>
      <c r="G1096" s="91">
        <f t="shared" si="41"/>
        <v>31</v>
      </c>
      <c r="H1096" s="93">
        <f t="shared" si="42"/>
        <v>45746</v>
      </c>
      <c r="I1096" s="145">
        <f>_xlfn.XLOOKUP(Table5[[#This Row],[Month Year]],'Modelling New'!D:D,'Modelling New'!N:N)</f>
        <v>10.507</v>
      </c>
      <c r="J1096" s="9">
        <f>IFERROR(Inv_SY!J1097/Inv_SY!$P1097-1,"")</f>
        <v>6.5046932537913049E-2</v>
      </c>
      <c r="K1096" s="9">
        <f>IFERROR(Inv_SY!K1097/Inv_SY!$P1097-1,"")</f>
        <v>9.3252672919655666E-2</v>
      </c>
      <c r="L1096" s="9">
        <f>IFERROR(Inv_SY!L1097/Inv_SY!$P1097-1,"")</f>
        <v>6.4156055626192643E-2</v>
      </c>
      <c r="M1096" s="9">
        <f>IFERROR(Inv_SY!M1097/Inv_SY!$P1097-1,"")</f>
        <v>5.4285801071816131E-2</v>
      </c>
      <c r="N1096" s="9">
        <f>IFERROR(Inv_SY!N1097/Inv_SY!$P1097-1,"")</f>
        <v>6.606485821063024E-2</v>
      </c>
      <c r="O1096" s="9">
        <f>IFERROR(Inv_SY!O1097/Inv_SY!$P1097-1,"")</f>
        <v>-0.34280632036620828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41">
        <f>IFERROR(Inv_SY!O1097/Inv_SY!$Q1097-1,"")</f>
        <v>-0.39886387116833555</v>
      </c>
    </row>
    <row r="1097" spans="1:21">
      <c r="A1097" s="91" t="s">
        <v>212</v>
      </c>
      <c r="B1097" s="91">
        <v>3</v>
      </c>
      <c r="C1097" s="91">
        <v>2024</v>
      </c>
      <c r="D1097" s="91" t="s">
        <v>211</v>
      </c>
      <c r="E1097" s="91" t="s">
        <v>211</v>
      </c>
      <c r="F1097" s="92">
        <v>45717</v>
      </c>
      <c r="G1097" s="91">
        <f t="shared" si="41"/>
        <v>31</v>
      </c>
      <c r="H1097" s="93">
        <f t="shared" si="42"/>
        <v>45747</v>
      </c>
      <c r="I1097" s="145">
        <f>_xlfn.XLOOKUP(Table5[[#This Row],[Month Year]],'Modelling New'!D:D,'Modelling New'!N:N)</f>
        <v>10.507</v>
      </c>
      <c r="J1097" s="9">
        <f>IFERROR(Inv_SY!J1098/Inv_SY!$P1098-1,"")</f>
        <v>7.537776181749023E-2</v>
      </c>
      <c r="K1097" s="9">
        <f>IFERROR(Inv_SY!K1098/Inv_SY!$P1098-1,"")</f>
        <v>7.3724584454988751E-2</v>
      </c>
      <c r="L1097" s="9">
        <f>IFERROR(Inv_SY!L1098/Inv_SY!$P1098-1,"")</f>
        <v>3.4048585088726435E-2</v>
      </c>
      <c r="M1097" s="9">
        <f>IFERROR(Inv_SY!M1098/Inv_SY!$P1098-1,"")</f>
        <v>4.6823334016028895E-2</v>
      </c>
      <c r="N1097" s="9">
        <f>IFERROR(Inv_SY!N1098/Inv_SY!$P1098-1,"")</f>
        <v>5.4912384765031685E-2</v>
      </c>
      <c r="O1097" s="9">
        <f>IFERROR(Inv_SY!O1098/Inv_SY!$P1098-1,"")</f>
        <v>-0.28488665014226577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41">
        <f>IFERROR(Inv_SY!O1098/Inv_SY!$Q1098-1,"")</f>
        <v>-0.33501196021654289</v>
      </c>
    </row>
    <row r="1098" spans="1:21">
      <c r="A1098" s="91" t="s">
        <v>4</v>
      </c>
      <c r="B1098" s="91">
        <v>3</v>
      </c>
      <c r="C1098" s="91">
        <v>2024</v>
      </c>
      <c r="D1098" s="91" t="s">
        <v>211</v>
      </c>
      <c r="E1098" s="91" t="s">
        <v>211</v>
      </c>
      <c r="F1098" s="92">
        <v>45748</v>
      </c>
      <c r="G1098" s="91">
        <f t="shared" ref="G1098:G1121" si="43">DAY(EOMONTH(F1098,0))</f>
        <v>30</v>
      </c>
      <c r="H1098" s="93">
        <f t="shared" si="42"/>
        <v>45748</v>
      </c>
      <c r="I1098" s="145">
        <f>_xlfn.XLOOKUP(Table5[[#This Row],[Month Year]],'Modelling New'!D:D,'Modelling New'!N:N)</f>
        <v>10.507</v>
      </c>
      <c r="J1098" s="9">
        <f>IFERROR(Inv_SY!J1099/Inv_SY!$P1099-1,"")</f>
        <v>4.5985128698366351E-2</v>
      </c>
      <c r="K1098" s="9">
        <f>IFERROR(Inv_SY!K1099/Inv_SY!$P1099-1,"")</f>
        <v>3.0175152020291307E-2</v>
      </c>
      <c r="L1098" s="9">
        <f>IFERROR(Inv_SY!L1099/Inv_SY!$P1099-1,"")</f>
        <v>1.5095216941951817E-2</v>
      </c>
      <c r="M1098" s="9">
        <f>IFERROR(Inv_SY!M1099/Inv_SY!$P1099-1,"")</f>
        <v>3.686686338515166E-2</v>
      </c>
      <c r="N1098" s="9">
        <f>IFERROR(Inv_SY!N1099/Inv_SY!$P1099-1,"")</f>
        <v>2.7092707794488691E-2</v>
      </c>
      <c r="O1098" s="9">
        <f>IFERROR(Inv_SY!O1099/Inv_SY!$P1099-1,"")</f>
        <v>-0.15521506884024916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41">
        <f>IFERROR(Inv_SY!O1099/Inv_SY!$Q1099-1,"")</f>
        <v>-0.19235474006116204</v>
      </c>
    </row>
    <row r="1099" spans="1:21">
      <c r="A1099" s="91" t="s">
        <v>4</v>
      </c>
      <c r="B1099" s="91">
        <v>3</v>
      </c>
      <c r="C1099" s="91">
        <v>2024</v>
      </c>
      <c r="D1099" s="91" t="s">
        <v>211</v>
      </c>
      <c r="E1099" s="91" t="s">
        <v>211</v>
      </c>
      <c r="F1099" s="92">
        <v>45748</v>
      </c>
      <c r="G1099" s="91">
        <f t="shared" si="43"/>
        <v>30</v>
      </c>
      <c r="H1099" s="93">
        <f t="shared" si="42"/>
        <v>45749</v>
      </c>
      <c r="I1099" s="145">
        <f>_xlfn.XLOOKUP(Table5[[#This Row],[Month Year]],'Modelling New'!D:D,'Modelling New'!N:N)</f>
        <v>10.507</v>
      </c>
      <c r="J1099" s="9">
        <f>IFERROR(Inv_SY!J1100/Inv_SY!$P1100-1,"")</f>
        <v>6.0467696775160285E-2</v>
      </c>
      <c r="K1099" s="9">
        <f>IFERROR(Inv_SY!K1100/Inv_SY!$P1100-1,"")</f>
        <v>5.8432474831388914E-2</v>
      </c>
      <c r="L1099" s="9">
        <f>IFERROR(Inv_SY!L1100/Inv_SY!$P1100-1,"")</f>
        <v>3.6075477814770274E-2</v>
      </c>
      <c r="M1099" s="9">
        <f>IFERROR(Inv_SY!M1100/Inv_SY!$P1100-1,"")</f>
        <v>5.6096286958491559E-2</v>
      </c>
      <c r="N1099" s="9">
        <f>IFERROR(Inv_SY!N1100/Inv_SY!$P1100-1,"")</f>
        <v>4.4062322348062066E-2</v>
      </c>
      <c r="O1099" s="9">
        <f>IFERROR(Inv_SY!O1100/Inv_SY!$P1100-1,"")</f>
        <v>-0.25513425872787288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41">
        <f>IFERROR(Inv_SY!O1100/Inv_SY!$Q1100-1,"")</f>
        <v>-0.29760638297872344</v>
      </c>
    </row>
    <row r="1100" spans="1:21">
      <c r="A1100" s="91" t="s">
        <v>4</v>
      </c>
      <c r="B1100" s="91">
        <v>3</v>
      </c>
      <c r="C1100" s="91">
        <v>2024</v>
      </c>
      <c r="D1100" s="91" t="s">
        <v>211</v>
      </c>
      <c r="E1100" s="91" t="s">
        <v>211</v>
      </c>
      <c r="F1100" s="92">
        <v>45748</v>
      </c>
      <c r="G1100" s="91">
        <f t="shared" si="43"/>
        <v>30</v>
      </c>
      <c r="H1100" s="93">
        <f t="shared" si="42"/>
        <v>45750</v>
      </c>
      <c r="I1100" s="145">
        <f>_xlfn.XLOOKUP(Table5[[#This Row],[Month Year]],'Modelling New'!D:D,'Modelling New'!N:N)</f>
        <v>10.507</v>
      </c>
      <c r="J1100" s="9">
        <f>IFERROR(Inv_SY!J1101/Inv_SY!$P1101-1,"")</f>
        <v>-1.9743401233203728E-2</v>
      </c>
      <c r="K1100" s="9">
        <f>IFERROR(Inv_SY!K1101/Inv_SY!$P1101-1,"")</f>
        <v>3.2093376967687881E-3</v>
      </c>
      <c r="L1100" s="9">
        <f>IFERROR(Inv_SY!L1101/Inv_SY!$P1101-1,"")</f>
        <v>-9.8856675659270143E-3</v>
      </c>
      <c r="M1100" s="9">
        <f>IFERROR(Inv_SY!M1101/Inv_SY!$P1101-1,"")</f>
        <v>1.515326658639693E-2</v>
      </c>
      <c r="N1100" s="9">
        <f>IFERROR(Inv_SY!N1101/Inv_SY!$P1101-1,"")</f>
        <v>-5.8509435212592331E-2</v>
      </c>
      <c r="O1100" s="9">
        <f>IFERROR(Inv_SY!O1101/Inv_SY!$P1101-1,"")</f>
        <v>6.9775899728557356E-2</v>
      </c>
      <c r="P1100" s="9">
        <f>IFERROR(Inv_SY!J1101/Inv_SY!$Q1101-1,"")</f>
        <v>-8.3680424081787108E-2</v>
      </c>
      <c r="Q1100" s="9">
        <f>IFERROR(Inv_SY!K1101/Inv_SY!$Q1101-1,"")</f>
        <v>-6.2224772542248341E-2</v>
      </c>
      <c r="R1100" s="9">
        <f>IFERROR(Inv_SY!L1101/Inv_SY!$Q1101-1,"")</f>
        <v>-7.4465658942865942E-2</v>
      </c>
      <c r="S1100" s="9">
        <f>IFERROR(Inv_SY!M1101/Inv_SY!$Q1101-1,"")</f>
        <v>-5.105988380932891E-2</v>
      </c>
      <c r="T1100" s="9">
        <f>IFERROR(Inv_SY!N1101/Inv_SY!$Q1101-1,"")</f>
        <v>-0.11991795195021737</v>
      </c>
      <c r="U1100" s="41">
        <f>IFERROR(Inv_SY!O1101/Inv_SY!$Q1101-1,"")</f>
        <v>0</v>
      </c>
    </row>
    <row r="1101" spans="1:21">
      <c r="A1101" s="91" t="s">
        <v>4</v>
      </c>
      <c r="B1101" s="91">
        <v>3</v>
      </c>
      <c r="C1101" s="91">
        <v>2024</v>
      </c>
      <c r="D1101" s="91" t="s">
        <v>211</v>
      </c>
      <c r="E1101" s="91" t="s">
        <v>211</v>
      </c>
      <c r="F1101" s="92">
        <v>45748</v>
      </c>
      <c r="G1101" s="91">
        <f t="shared" si="43"/>
        <v>30</v>
      </c>
      <c r="H1101" s="93">
        <f t="shared" si="42"/>
        <v>45751</v>
      </c>
      <c r="I1101" s="145">
        <f>_xlfn.XLOOKUP(Table5[[#This Row],[Month Year]],'Modelling New'!D:D,'Modelling New'!N:N)</f>
        <v>10.507</v>
      </c>
      <c r="J1101" s="9">
        <f>IFERROR(Inv_SY!J1102/Inv_SY!$P1102-1,"")</f>
        <v>0.16640235658676383</v>
      </c>
      <c r="K1101" s="9">
        <f>IFERROR(Inv_SY!K1102/Inv_SY!$P1102-1,"")</f>
        <v>0.15482245044090059</v>
      </c>
      <c r="L1101" s="9">
        <f>IFERROR(Inv_SY!L1102/Inv_SY!$P1102-1,"")</f>
        <v>0.14746829562198149</v>
      </c>
      <c r="M1101" s="9">
        <f>IFERROR(Inv_SY!M1102/Inv_SY!$P1102-1,"")</f>
        <v>-0.25231299183533806</v>
      </c>
      <c r="N1101" s="9">
        <f>IFERROR(Inv_SY!N1102/Inv_SY!$P1102-1,"")</f>
        <v>9.0133031070958491E-2</v>
      </c>
      <c r="O1101" s="9">
        <f>IFERROR(Inv_SY!O1102/Inv_SY!$P1102-1,"")</f>
        <v>-0.30651314188526713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41">
        <f>IFERROR(Inv_SY!O1102/Inv_SY!$Q1102-1,"")</f>
        <v>-0.40544799639801898</v>
      </c>
    </row>
    <row r="1102" spans="1:21">
      <c r="A1102" s="91" t="s">
        <v>4</v>
      </c>
      <c r="B1102" s="91">
        <v>3</v>
      </c>
      <c r="C1102" s="91">
        <v>2024</v>
      </c>
      <c r="D1102" s="91" t="s">
        <v>211</v>
      </c>
      <c r="E1102" s="91" t="s">
        <v>211</v>
      </c>
      <c r="F1102" s="92">
        <v>45748</v>
      </c>
      <c r="G1102" s="91">
        <f t="shared" si="43"/>
        <v>30</v>
      </c>
      <c r="H1102" s="93">
        <f t="shared" si="42"/>
        <v>45752</v>
      </c>
      <c r="I1102" s="145">
        <f>_xlfn.XLOOKUP(Table5[[#This Row],[Month Year]],'Modelling New'!D:D,'Modelling New'!N:N)</f>
        <v>10.507</v>
      </c>
      <c r="J1102" s="9">
        <f>IFERROR(Inv_SY!J1103/Inv_SY!$P1103-1,"")</f>
        <v>0.18952621119751223</v>
      </c>
      <c r="K1102" s="9">
        <f>IFERROR(Inv_SY!K1103/Inv_SY!$P1103-1,"")</f>
        <v>0.18519867229901465</v>
      </c>
      <c r="L1102" s="9">
        <f>IFERROR(Inv_SY!L1103/Inv_SY!$P1103-1,"")</f>
        <v>0.16023057212060765</v>
      </c>
      <c r="M1102" s="9">
        <f>IFERROR(Inv_SY!M1103/Inv_SY!$P1103-1,"")</f>
        <v>-0.50345027131372455</v>
      </c>
      <c r="N1102" s="9">
        <f>IFERROR(Inv_SY!N1103/Inv_SY!$P1103-1,"")</f>
        <v>0.14824971810582577</v>
      </c>
      <c r="O1102" s="9">
        <f>IFERROR(Inv_SY!O1103/Inv_SY!$P1103-1,"")</f>
        <v>-0.17975490240923497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41">
        <f>IFERROR(Inv_SY!O1103/Inv_SY!$Q1103-1,"")</f>
        <v>-0.310443864229765</v>
      </c>
    </row>
    <row r="1103" spans="1:21">
      <c r="A1103" s="91" t="s">
        <v>4</v>
      </c>
      <c r="B1103" s="91">
        <v>3</v>
      </c>
      <c r="C1103" s="91">
        <v>2024</v>
      </c>
      <c r="D1103" s="91" t="s">
        <v>211</v>
      </c>
      <c r="E1103" s="91" t="s">
        <v>211</v>
      </c>
      <c r="F1103" s="92">
        <v>45748</v>
      </c>
      <c r="G1103" s="91">
        <f t="shared" si="43"/>
        <v>30</v>
      </c>
      <c r="H1103" s="93">
        <f t="shared" si="42"/>
        <v>45753</v>
      </c>
      <c r="I1103" s="145">
        <f>_xlfn.XLOOKUP(Table5[[#This Row],[Month Year]],'Modelling New'!D:D,'Modelling New'!N:N)</f>
        <v>10.507</v>
      </c>
      <c r="J1103" s="9">
        <f>IFERROR(Inv_SY!J1104/Inv_SY!$P1104-1,"")</f>
        <v>0.15445049198863003</v>
      </c>
      <c r="K1103" s="9">
        <f>IFERROR(Inv_SY!K1104/Inv_SY!$P1104-1,"")</f>
        <v>0.16941293176783057</v>
      </c>
      <c r="L1103" s="9">
        <f>IFERROR(Inv_SY!L1104/Inv_SY!$P1104-1,"")</f>
        <v>0.151257457575809</v>
      </c>
      <c r="M1103" s="9">
        <f>IFERROR(Inv_SY!M1104/Inv_SY!$P1104-1,"")</f>
        <v>-0.35628775799422241</v>
      </c>
      <c r="N1103" s="9">
        <f>IFERROR(Inv_SY!N1104/Inv_SY!$P1104-1,"")</f>
        <v>0.16963741357164541</v>
      </c>
      <c r="O1103" s="9">
        <f>IFERROR(Inv_SY!O1104/Inv_SY!$P1104-1,"")</f>
        <v>-0.28847053690969149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41">
        <f>IFERROR(Inv_SY!O1104/Inv_SY!$Q1104-1,"")</f>
        <v>-0.39166663545965297</v>
      </c>
    </row>
    <row r="1104" spans="1:21">
      <c r="A1104" s="91" t="s">
        <v>4</v>
      </c>
      <c r="B1104" s="91">
        <v>3</v>
      </c>
      <c r="C1104" s="91">
        <v>2024</v>
      </c>
      <c r="D1104" s="91" t="s">
        <v>211</v>
      </c>
      <c r="E1104" s="91" t="s">
        <v>211</v>
      </c>
      <c r="F1104" s="92">
        <v>45748</v>
      </c>
      <c r="G1104" s="91">
        <f t="shared" si="43"/>
        <v>30</v>
      </c>
      <c r="H1104" s="93">
        <f t="shared" si="42"/>
        <v>45754</v>
      </c>
      <c r="I1104" s="145">
        <f>_xlfn.XLOOKUP(Table5[[#This Row],[Month Year]],'Modelling New'!D:D,'Modelling New'!N:N)</f>
        <v>10.507</v>
      </c>
      <c r="J1104" s="9">
        <f>IFERROR(Inv_SY!J1105/Inv_SY!$P1105-1,"")</f>
        <v>0.15795744257999611</v>
      </c>
      <c r="K1104" s="9">
        <f>IFERROR(Inv_SY!K1105/Inv_SY!$P1105-1,"")</f>
        <v>0.1285051165556983</v>
      </c>
      <c r="L1104" s="9">
        <f>IFERROR(Inv_SY!L1105/Inv_SY!$P1105-1,"")</f>
        <v>0.1072812415493507</v>
      </c>
      <c r="M1104" s="9">
        <f>IFERROR(Inv_SY!M1105/Inv_SY!$P1105-1,"")</f>
        <v>-0.18914665299698019</v>
      </c>
      <c r="N1104" s="9">
        <f>IFERROR(Inv_SY!N1105/Inv_SY!$P1105-1,"")</f>
        <v>0.12548705694418705</v>
      </c>
      <c r="O1104" s="9">
        <f>IFERROR(Inv_SY!O1105/Inv_SY!$P1105-1,"")</f>
        <v>-0.33008420463225208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41">
        <f>IFERROR(Inv_SY!O1105/Inv_SY!$Q1105-1,"")</f>
        <v>-0.42146768893756847</v>
      </c>
    </row>
    <row r="1105" spans="1:21">
      <c r="A1105" s="91" t="s">
        <v>4</v>
      </c>
      <c r="B1105" s="91">
        <v>3</v>
      </c>
      <c r="C1105" s="91">
        <v>2024</v>
      </c>
      <c r="D1105" s="91" t="s">
        <v>211</v>
      </c>
      <c r="E1105" s="91" t="s">
        <v>211</v>
      </c>
      <c r="F1105" s="92">
        <v>45748</v>
      </c>
      <c r="G1105" s="91">
        <f t="shared" si="43"/>
        <v>30</v>
      </c>
      <c r="H1105" s="93">
        <f t="shared" si="42"/>
        <v>45755</v>
      </c>
      <c r="I1105" s="145">
        <f>_xlfn.XLOOKUP(Table5[[#This Row],[Month Year]],'Modelling New'!D:D,'Modelling New'!N:N)</f>
        <v>10.507</v>
      </c>
      <c r="J1105" s="9">
        <f>IFERROR(Inv_SY!J1106/Inv_SY!$P1106-1,"")</f>
        <v>6.1703769029000988E-2</v>
      </c>
      <c r="K1105" s="9">
        <f>IFERROR(Inv_SY!K1106/Inv_SY!$P1106-1,"")</f>
        <v>6.5707539866306952E-2</v>
      </c>
      <c r="L1105" s="9">
        <f>IFERROR(Inv_SY!L1106/Inv_SY!$P1106-1,"")</f>
        <v>6.0407429811334845E-2</v>
      </c>
      <c r="M1105" s="9">
        <f>IFERROR(Inv_SY!M1106/Inv_SY!$P1106-1,"")</f>
        <v>5.6406250049586992E-2</v>
      </c>
      <c r="N1105" s="9">
        <f>IFERROR(Inv_SY!N1106/Inv_SY!$P1106-1,"")</f>
        <v>4.9487944743622059E-2</v>
      </c>
      <c r="O1105" s="9">
        <f>IFERROR(Inv_SY!O1106/Inv_SY!$P1106-1,"")</f>
        <v>-0.29371293349985106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41">
        <f>IFERROR(Inv_SY!O1106/Inv_SY!$Q1106-1,"")</f>
        <v>-0.33725995164794209</v>
      </c>
    </row>
    <row r="1106" spans="1:21">
      <c r="A1106" s="91" t="s">
        <v>4</v>
      </c>
      <c r="B1106" s="91">
        <v>3</v>
      </c>
      <c r="C1106" s="91">
        <v>2024</v>
      </c>
      <c r="D1106" s="91" t="s">
        <v>211</v>
      </c>
      <c r="E1106" s="91" t="s">
        <v>211</v>
      </c>
      <c r="F1106" s="92">
        <v>45748</v>
      </c>
      <c r="G1106" s="91">
        <f t="shared" si="43"/>
        <v>30</v>
      </c>
      <c r="H1106" s="93">
        <f t="shared" si="42"/>
        <v>45756</v>
      </c>
      <c r="I1106" s="145">
        <f>_xlfn.XLOOKUP(Table5[[#This Row],[Month Year]],'Modelling New'!D:D,'Modelling New'!N:N)</f>
        <v>10.507</v>
      </c>
      <c r="J1106" s="9">
        <f>IFERROR(Inv_SY!J1107/Inv_SY!$P1107-1,"")</f>
        <v>5.52312076720467E-2</v>
      </c>
      <c r="K1106" s="9">
        <f>IFERROR(Inv_SY!K1107/Inv_SY!$P1107-1,"")</f>
        <v>7.502061094399437E-2</v>
      </c>
      <c r="L1106" s="9">
        <f>IFERROR(Inv_SY!L1107/Inv_SY!$P1107-1,"")</f>
        <v>6.6882672496520801E-2</v>
      </c>
      <c r="M1106" s="9">
        <f>IFERROR(Inv_SY!M1107/Inv_SY!$P1107-1,"")</f>
        <v>8.2767567091414751E-2</v>
      </c>
      <c r="N1106" s="9">
        <f>IFERROR(Inv_SY!N1107/Inv_SY!$P1107-1,"")</f>
        <v>5.0982546967240694E-2</v>
      </c>
      <c r="O1106" s="9">
        <f>IFERROR(Inv_SY!O1107/Inv_SY!$P1107-1,"")</f>
        <v>-0.33088460517121843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41">
        <f>IFERROR(Inv_SY!O1107/Inv_SY!$Q1107-1,"")</f>
        <v>-0.38203228914013998</v>
      </c>
    </row>
    <row r="1107" spans="1:21">
      <c r="A1107" s="91" t="s">
        <v>4</v>
      </c>
      <c r="B1107" s="91">
        <v>3</v>
      </c>
      <c r="C1107" s="91">
        <v>2024</v>
      </c>
      <c r="D1107" s="91" t="s">
        <v>211</v>
      </c>
      <c r="E1107" s="91" t="s">
        <v>211</v>
      </c>
      <c r="F1107" s="92">
        <v>45748</v>
      </c>
      <c r="G1107" s="91">
        <f t="shared" si="43"/>
        <v>30</v>
      </c>
      <c r="H1107" s="93">
        <f t="shared" si="42"/>
        <v>45757</v>
      </c>
      <c r="I1107" s="145">
        <f>_xlfn.XLOOKUP(Table5[[#This Row],[Month Year]],'Modelling New'!D:D,'Modelling New'!N:N)</f>
        <v>10.507</v>
      </c>
      <c r="J1107" s="9">
        <f>IFERROR(Inv_SY!J1108/Inv_SY!$P1108-1,"")</f>
        <v>7.3006129563104594E-2</v>
      </c>
      <c r="K1107" s="9">
        <f>IFERROR(Inv_SY!K1108/Inv_SY!$P1108-1,"")</f>
        <v>4.8255091935313965E-2</v>
      </c>
      <c r="L1107" s="9">
        <f>IFERROR(Inv_SY!L1108/Inv_SY!$P1108-1,"")</f>
        <v>6.3438167700400339E-2</v>
      </c>
      <c r="M1107" s="9">
        <f>IFERROR(Inv_SY!M1108/Inv_SY!$P1108-1,"")</f>
        <v>5.532081709871628E-2</v>
      </c>
      <c r="N1107" s="9">
        <f>IFERROR(Inv_SY!N1108/Inv_SY!$P1108-1,"")</f>
        <v>4.3738371188587033E-2</v>
      </c>
      <c r="O1107" s="9">
        <f>IFERROR(Inv_SY!O1108/Inv_SY!$P1108-1,"")</f>
        <v>-0.28375857748612177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41">
        <f>IFERROR(Inv_SY!O1108/Inv_SY!$Q1108-1,"")</f>
        <v>-0.33249083786174649</v>
      </c>
    </row>
    <row r="1108" spans="1:21">
      <c r="A1108" s="91" t="s">
        <v>4</v>
      </c>
      <c r="B1108" s="91">
        <v>3</v>
      </c>
      <c r="C1108" s="91">
        <v>2024</v>
      </c>
      <c r="D1108" s="91" t="s">
        <v>211</v>
      </c>
      <c r="E1108" s="91" t="s">
        <v>211</v>
      </c>
      <c r="F1108" s="92">
        <v>45748</v>
      </c>
      <c r="G1108" s="91">
        <f t="shared" si="43"/>
        <v>30</v>
      </c>
      <c r="H1108" s="93">
        <f t="shared" si="42"/>
        <v>45758</v>
      </c>
      <c r="I1108" s="145">
        <f>_xlfn.XLOOKUP(Table5[[#This Row],[Month Year]],'Modelling New'!D:D,'Modelling New'!N:N)</f>
        <v>10.507</v>
      </c>
      <c r="J1108" s="9">
        <f>IFERROR(Inv_SY!J1109/Inv_SY!$P1109-1,"")</f>
        <v>4.9536150303548743E-2</v>
      </c>
      <c r="K1108" s="9">
        <f>IFERROR(Inv_SY!K1109/Inv_SY!$P1109-1,"")</f>
        <v>7.1950658316543681E-2</v>
      </c>
      <c r="L1108" s="9">
        <f>IFERROR(Inv_SY!L1109/Inv_SY!$P1109-1,"")</f>
        <v>9.5453923432706311E-2</v>
      </c>
      <c r="M1108" s="9">
        <f>IFERROR(Inv_SY!M1109/Inv_SY!$P1109-1,"")</f>
        <v>8.5276267933214855E-2</v>
      </c>
      <c r="N1108" s="9">
        <f>IFERROR(Inv_SY!N1109/Inv_SY!$P1109-1,"")</f>
        <v>4.2737514263857745E-2</v>
      </c>
      <c r="O1108" s="9">
        <f>IFERROR(Inv_SY!O1109/Inv_SY!$P1109-1,"")</f>
        <v>-0.34495451424987067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41">
        <f>IFERROR(Inv_SY!O1109/Inv_SY!$Q1109-1,"")</f>
        <v>-0.4020328269969734</v>
      </c>
    </row>
    <row r="1109" spans="1:21">
      <c r="A1109" s="91" t="s">
        <v>4</v>
      </c>
      <c r="B1109" s="91">
        <v>3</v>
      </c>
      <c r="C1109" s="91">
        <v>2024</v>
      </c>
      <c r="D1109" s="91" t="s">
        <v>211</v>
      </c>
      <c r="E1109" s="91" t="s">
        <v>211</v>
      </c>
      <c r="F1109" s="92">
        <v>45748</v>
      </c>
      <c r="G1109" s="91">
        <f t="shared" si="43"/>
        <v>30</v>
      </c>
      <c r="H1109" s="93">
        <f t="shared" si="42"/>
        <v>45759</v>
      </c>
      <c r="I1109" s="145">
        <f>_xlfn.XLOOKUP(Table5[[#This Row],[Month Year]],'Modelling New'!D:D,'Modelling New'!N:N)</f>
        <v>10.507</v>
      </c>
      <c r="J1109" s="9">
        <f>IFERROR(Inv_SY!J1110/Inv_SY!$P1110-1,"")</f>
        <v>6.2368380826397951E-2</v>
      </c>
      <c r="K1109" s="9">
        <f>IFERROR(Inv_SY!K1110/Inv_SY!$P1110-1,"")</f>
        <v>6.2382449228901127E-2</v>
      </c>
      <c r="L1109" s="9">
        <f>IFERROR(Inv_SY!L1110/Inv_SY!$P1110-1,"")</f>
        <v>7.8896698368900342E-2</v>
      </c>
      <c r="M1109" s="9">
        <f>IFERROR(Inv_SY!M1110/Inv_SY!$P1110-1,"")</f>
        <v>7.6519005795266493E-2</v>
      </c>
      <c r="N1109" s="9">
        <f>IFERROR(Inv_SY!N1110/Inv_SY!$P1110-1,"")</f>
        <v>4.4083250519812101E-2</v>
      </c>
      <c r="O1109" s="9">
        <f>IFERROR(Inv_SY!O1110/Inv_SY!$P1110-1,"")</f>
        <v>-0.32424978473927824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41">
        <f>IFERROR(Inv_SY!O1110/Inv_SY!$Q1110-1,"")</f>
        <v>-0.37366550821562827</v>
      </c>
    </row>
    <row r="1110" spans="1:21">
      <c r="A1110" s="91" t="s">
        <v>4</v>
      </c>
      <c r="B1110" s="91">
        <v>3</v>
      </c>
      <c r="C1110" s="91">
        <v>2024</v>
      </c>
      <c r="D1110" s="91" t="s">
        <v>211</v>
      </c>
      <c r="E1110" s="91" t="s">
        <v>211</v>
      </c>
      <c r="F1110" s="92">
        <v>45748</v>
      </c>
      <c r="G1110" s="91">
        <f t="shared" si="43"/>
        <v>30</v>
      </c>
      <c r="H1110" s="93">
        <f t="shared" si="42"/>
        <v>45760</v>
      </c>
      <c r="I1110" s="145">
        <f>_xlfn.XLOOKUP(Table5[[#This Row],[Month Year]],'Modelling New'!D:D,'Modelling New'!N:N)</f>
        <v>10.507</v>
      </c>
      <c r="J1110" s="9">
        <f>IFERROR(Inv_SY!J1111/Inv_SY!$P1111-1,"")</f>
        <v>7.7212620140805877E-2</v>
      </c>
      <c r="K1110" s="9">
        <f>IFERROR(Inv_SY!K1111/Inv_SY!$P1111-1,"")</f>
        <v>6.4496969828284678E-2</v>
      </c>
      <c r="L1110" s="9">
        <f>IFERROR(Inv_SY!L1111/Inv_SY!$P1111-1,"")</f>
        <v>8.1097337298480676E-2</v>
      </c>
      <c r="M1110" s="9">
        <f>IFERROR(Inv_SY!M1111/Inv_SY!$P1111-1,"")</f>
        <v>6.7807263683909547E-2</v>
      </c>
      <c r="N1110" s="9">
        <f>IFERROR(Inv_SY!N1111/Inv_SY!$P1111-1,"")</f>
        <v>5.5381549326251056E-2</v>
      </c>
      <c r="O1110" s="9">
        <f>IFERROR(Inv_SY!O1111/Inv_SY!$P1111-1,"")</f>
        <v>-0.3459957402777315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41">
        <f>IFERROR(Inv_SY!O1111/Inv_SY!$Q1111-1,"")</f>
        <v>-0.39505515631317834</v>
      </c>
    </row>
    <row r="1111" spans="1:21">
      <c r="A1111" s="91" t="s">
        <v>4</v>
      </c>
      <c r="B1111" s="91">
        <v>3</v>
      </c>
      <c r="C1111" s="91">
        <v>2024</v>
      </c>
      <c r="D1111" s="91" t="s">
        <v>211</v>
      </c>
      <c r="E1111" s="91" t="s">
        <v>211</v>
      </c>
      <c r="F1111" s="92">
        <v>45748</v>
      </c>
      <c r="G1111" s="91">
        <f t="shared" si="43"/>
        <v>30</v>
      </c>
      <c r="H1111" s="93">
        <f t="shared" si="42"/>
        <v>45761</v>
      </c>
      <c r="I1111" s="145">
        <f>_xlfn.XLOOKUP(Table5[[#This Row],[Month Year]],'Modelling New'!D:D,'Modelling New'!N:N)</f>
        <v>10.507</v>
      </c>
      <c r="J1111" s="9">
        <f>IFERROR(Inv_SY!J1112/Inv_SY!$P1112-1,"")</f>
        <v>3.8230996833616304E-2</v>
      </c>
      <c r="K1111" s="9">
        <f>IFERROR(Inv_SY!K1112/Inv_SY!$P1112-1,"")</f>
        <v>4.907728908906317E-2</v>
      </c>
      <c r="L1111" s="9">
        <f>IFERROR(Inv_SY!L1112/Inv_SY!$P1112-1,"")</f>
        <v>7.2745276900799238E-2</v>
      </c>
      <c r="M1111" s="9">
        <f>IFERROR(Inv_SY!M1112/Inv_SY!$P1112-1,"")</f>
        <v>5.6277297038946239E-2</v>
      </c>
      <c r="N1111" s="9">
        <f>IFERROR(Inv_SY!N1112/Inv_SY!$P1112-1,"")</f>
        <v>3.9882876028641823E-2</v>
      </c>
      <c r="O1111" s="9">
        <f>IFERROR(Inv_SY!O1112/Inv_SY!$P1112-1,"")</f>
        <v>-0.25621373589106722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41">
        <f>IFERROR(Inv_SY!O1112/Inv_SY!$Q1112-1,"")</f>
        <v>-0.30665156013759498</v>
      </c>
    </row>
    <row r="1112" spans="1:21">
      <c r="A1112" s="91" t="s">
        <v>4</v>
      </c>
      <c r="B1112" s="91">
        <v>3</v>
      </c>
      <c r="C1112" s="91">
        <v>2024</v>
      </c>
      <c r="D1112" s="91" t="s">
        <v>211</v>
      </c>
      <c r="E1112" s="91" t="s">
        <v>211</v>
      </c>
      <c r="F1112" s="92">
        <v>45748</v>
      </c>
      <c r="G1112" s="91">
        <f t="shared" si="43"/>
        <v>30</v>
      </c>
      <c r="H1112" s="93">
        <f t="shared" si="42"/>
        <v>45762</v>
      </c>
      <c r="I1112" s="145">
        <f>_xlfn.XLOOKUP(Table5[[#This Row],[Month Year]],'Modelling New'!D:D,'Modelling New'!N:N)</f>
        <v>10.507</v>
      </c>
      <c r="J1112" s="9">
        <f>IFERROR(Inv_SY!J1113/Inv_SY!$P1113-1,"")</f>
        <v>0.24950159051099252</v>
      </c>
      <c r="K1112" s="9">
        <f>IFERROR(Inv_SY!K1113/Inv_SY!$P1113-1,"")</f>
        <v>0.18996012037976384</v>
      </c>
      <c r="L1112" s="9">
        <f>IFERROR(Inv_SY!L1113/Inv_SY!$P1113-1,"")</f>
        <v>0.2360752405811819</v>
      </c>
      <c r="M1112" s="9">
        <f>IFERROR(Inv_SY!M1113/Inv_SY!$P1113-1,"")</f>
        <v>-0.58473959149226773</v>
      </c>
      <c r="N1112" s="9">
        <f>IFERROR(Inv_SY!N1113/Inv_SY!$P1113-1,"")</f>
        <v>0.20932274595043876</v>
      </c>
      <c r="O1112" s="9">
        <f>IFERROR(Inv_SY!O1113/Inv_SY!$P1113-1,"")</f>
        <v>-0.30012010593011007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41">
        <f>IFERROR(Inv_SY!O1113/Inv_SY!$Q1113-1,"")</f>
        <v>-0.43987274655355246</v>
      </c>
    </row>
    <row r="1113" spans="1:21">
      <c r="A1113" s="91" t="s">
        <v>4</v>
      </c>
      <c r="B1113" s="91">
        <v>3</v>
      </c>
      <c r="C1113" s="91">
        <v>2024</v>
      </c>
      <c r="D1113" s="91" t="s">
        <v>211</v>
      </c>
      <c r="E1113" s="91" t="s">
        <v>211</v>
      </c>
      <c r="F1113" s="92">
        <v>45748</v>
      </c>
      <c r="G1113" s="91">
        <f t="shared" si="43"/>
        <v>30</v>
      </c>
      <c r="H1113" s="93">
        <f t="shared" si="42"/>
        <v>45763</v>
      </c>
      <c r="I1113" s="145">
        <f>_xlfn.XLOOKUP(Table5[[#This Row],[Month Year]],'Modelling New'!D:D,'Modelling New'!N:N)</f>
        <v>10.507</v>
      </c>
      <c r="J1113" s="9">
        <f>IFERROR(Inv_SY!J1114/Inv_SY!$P1114-1,"")</f>
        <v>7.9947012085294089E-2</v>
      </c>
      <c r="K1113" s="9">
        <f>IFERROR(Inv_SY!K1114/Inv_SY!$P1114-1,"")</f>
        <v>4.0523371817724696E-2</v>
      </c>
      <c r="L1113" s="9">
        <f>IFERROR(Inv_SY!L1114/Inv_SY!$P1114-1,"")</f>
        <v>7.1891864775539549E-2</v>
      </c>
      <c r="M1113" s="9">
        <f>IFERROR(Inv_SY!M1114/Inv_SY!$P1114-1,"")</f>
        <v>4.5631556401987794E-2</v>
      </c>
      <c r="N1113" s="9">
        <f>IFERROR(Inv_SY!N1114/Inv_SY!$P1114-1,"")</f>
        <v>6.209452401951232E-2</v>
      </c>
      <c r="O1113" s="9">
        <f>IFERROR(Inv_SY!O1114/Inv_SY!$P1114-1,"")</f>
        <v>-0.30008832910005845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41">
        <f>IFERROR(Inv_SY!O1114/Inv_SY!$Q1114-1,"")</f>
        <v>-0.35190184049079754</v>
      </c>
    </row>
    <row r="1114" spans="1:21">
      <c r="A1114" s="91" t="s">
        <v>4</v>
      </c>
      <c r="B1114" s="91">
        <v>3</v>
      </c>
      <c r="C1114" s="91">
        <v>2024</v>
      </c>
      <c r="D1114" s="91" t="s">
        <v>211</v>
      </c>
      <c r="E1114" s="91" t="s">
        <v>211</v>
      </c>
      <c r="F1114" s="92">
        <v>45748</v>
      </c>
      <c r="G1114" s="91">
        <f t="shared" si="43"/>
        <v>30</v>
      </c>
      <c r="H1114" s="93">
        <f t="shared" si="42"/>
        <v>45764</v>
      </c>
      <c r="I1114" s="145">
        <f>_xlfn.XLOOKUP(Table5[[#This Row],[Month Year]],'Modelling New'!D:D,'Modelling New'!N:N)</f>
        <v>10.507</v>
      </c>
      <c r="J1114" s="9">
        <f>IFERROR(Inv_SY!J1115/Inv_SY!$P1115-1,"")</f>
        <v>2.2046303166225245E-2</v>
      </c>
      <c r="K1114" s="9">
        <f>IFERROR(Inv_SY!K1115/Inv_SY!$P1115-1,"")</f>
        <v>8.6511695120221832E-2</v>
      </c>
      <c r="L1114" s="9">
        <f>IFERROR(Inv_SY!L1115/Inv_SY!$P1115-1,"")</f>
        <v>9.4851102045275359E-2</v>
      </c>
      <c r="M1114" s="9">
        <f>IFERROR(Inv_SY!M1115/Inv_SY!$P1115-1,"")</f>
        <v>8.7517686248167026E-2</v>
      </c>
      <c r="N1114" s="9">
        <f>IFERROR(Inv_SY!N1115/Inv_SY!$P1115-1,"")</f>
        <v>7.8413333358895221E-2</v>
      </c>
      <c r="O1114" s="9">
        <f>IFERROR(Inv_SY!O1115/Inv_SY!$P1115-1,"")</f>
        <v>-0.36934011993878491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41">
        <f>IFERROR(Inv_SY!O1115/Inv_SY!$Q1115-1,"")</f>
        <v>-0.42397657646497444</v>
      </c>
    </row>
    <row r="1115" spans="1:21">
      <c r="A1115" s="91" t="s">
        <v>4</v>
      </c>
      <c r="B1115" s="91">
        <v>3</v>
      </c>
      <c r="C1115" s="91">
        <v>2024</v>
      </c>
      <c r="D1115" s="91" t="s">
        <v>211</v>
      </c>
      <c r="E1115" s="91" t="s">
        <v>211</v>
      </c>
      <c r="F1115" s="92">
        <v>45748</v>
      </c>
      <c r="G1115" s="91">
        <f t="shared" si="43"/>
        <v>30</v>
      </c>
      <c r="H1115" s="93">
        <f t="shared" si="42"/>
        <v>45765</v>
      </c>
      <c r="I1115" s="145">
        <f>_xlfn.XLOOKUP(Table5[[#This Row],[Month Year]],'Modelling New'!D:D,'Modelling New'!N:N)</f>
        <v>10.507</v>
      </c>
      <c r="J1115" s="9">
        <f>IFERROR(Inv_SY!J1116/Inv_SY!$P1116-1,"")</f>
        <v>5.0407046269047351E-2</v>
      </c>
      <c r="K1115" s="9">
        <f>IFERROR(Inv_SY!K1116/Inv_SY!$P1116-1,"")</f>
        <v>6.6710204265524764E-2</v>
      </c>
      <c r="L1115" s="9">
        <f>IFERROR(Inv_SY!L1116/Inv_SY!$P1116-1,"")</f>
        <v>6.7502349646375359E-2</v>
      </c>
      <c r="M1115" s="9">
        <f>IFERROR(Inv_SY!M1116/Inv_SY!$P1116-1,"")</f>
        <v>9.3826517373071461E-2</v>
      </c>
      <c r="N1115" s="9">
        <f>IFERROR(Inv_SY!N1116/Inv_SY!$P1116-1,"")</f>
        <v>2.0131629804627016E-2</v>
      </c>
      <c r="O1115" s="9">
        <f>IFERROR(Inv_SY!O1116/Inv_SY!$P1116-1,"")</f>
        <v>-0.29857774735864617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41">
        <f>IFERROR(Inv_SY!O1116/Inv_SY!$Q1116-1,"")</f>
        <v>-0.35874451615427461</v>
      </c>
    </row>
    <row r="1116" spans="1:21">
      <c r="A1116" s="91" t="s">
        <v>4</v>
      </c>
      <c r="B1116" s="91">
        <v>3</v>
      </c>
      <c r="C1116" s="91">
        <v>2024</v>
      </c>
      <c r="D1116" s="91" t="s">
        <v>211</v>
      </c>
      <c r="E1116" s="91" t="s">
        <v>211</v>
      </c>
      <c r="F1116" s="92">
        <v>45748</v>
      </c>
      <c r="G1116" s="91">
        <f t="shared" si="43"/>
        <v>30</v>
      </c>
      <c r="H1116" s="93">
        <f t="shared" si="42"/>
        <v>45766</v>
      </c>
      <c r="I1116" s="145">
        <f>_xlfn.XLOOKUP(Table5[[#This Row],[Month Year]],'Modelling New'!D:D,'Modelling New'!N:N)</f>
        <v>10.507</v>
      </c>
      <c r="J1116" s="9">
        <f>IFERROR(Inv_SY!J1117/Inv_SY!$P1117-1,"")</f>
        <v>7.4589964252217866E-2</v>
      </c>
      <c r="K1116" s="9">
        <f>IFERROR(Inv_SY!K1117/Inv_SY!$P1117-1,"")</f>
        <v>4.9101997293345745E-2</v>
      </c>
      <c r="L1116" s="9">
        <f>IFERROR(Inv_SY!L1117/Inv_SY!$P1117-1,"")</f>
        <v>6.5016173875053429E-2</v>
      </c>
      <c r="M1116" s="9">
        <f>IFERROR(Inv_SY!M1117/Inv_SY!$P1117-1,"")</f>
        <v>6.925646991444423E-2</v>
      </c>
      <c r="N1116" s="9">
        <f>IFERROR(Inv_SY!N1117/Inv_SY!$P1117-1,"")</f>
        <v>5.9004806075261484E-2</v>
      </c>
      <c r="O1116" s="9">
        <f>IFERROR(Inv_SY!O1117/Inv_SY!$P1117-1,"")</f>
        <v>-0.31696941141032309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41">
        <f>IFERROR(Inv_SY!O1117/Inv_SY!$Q1117-1,"")</f>
        <v>-0.36438026474127549</v>
      </c>
    </row>
    <row r="1117" spans="1:21">
      <c r="A1117" s="91" t="s">
        <v>4</v>
      </c>
      <c r="B1117" s="91">
        <v>3</v>
      </c>
      <c r="C1117" s="91">
        <v>2024</v>
      </c>
      <c r="D1117" s="91" t="s">
        <v>211</v>
      </c>
      <c r="E1117" s="91" t="s">
        <v>211</v>
      </c>
      <c r="F1117" s="92">
        <v>45748</v>
      </c>
      <c r="G1117" s="91">
        <f t="shared" si="43"/>
        <v>30</v>
      </c>
      <c r="H1117" s="93">
        <f t="shared" si="42"/>
        <v>45767</v>
      </c>
      <c r="I1117" s="145">
        <f>_xlfn.XLOOKUP(Table5[[#This Row],[Month Year]],'Modelling New'!D:D,'Modelling New'!N:N)</f>
        <v>10.507</v>
      </c>
      <c r="J1117" s="9">
        <f>IFERROR(Inv_SY!J1118/Inv_SY!$P1118-1,"")</f>
        <v>2.7414844320119647E-2</v>
      </c>
      <c r="K1117" s="9">
        <f>IFERROR(Inv_SY!K1118/Inv_SY!$P1118-1,"")</f>
        <v>-3.8474163674868667E-3</v>
      </c>
      <c r="L1117" s="9">
        <f>IFERROR(Inv_SY!L1118/Inv_SY!$P1118-1,"")</f>
        <v>2.8493858611262191E-2</v>
      </c>
      <c r="M1117" s="9">
        <f>IFERROR(Inv_SY!M1118/Inv_SY!$P1118-1,"")</f>
        <v>4.0474148514095587E-2</v>
      </c>
      <c r="N1117" s="9">
        <f>IFERROR(Inv_SY!N1118/Inv_SY!$P1118-1,"")</f>
        <v>-1.3581804341206039E-2</v>
      </c>
      <c r="O1117" s="9">
        <f>IFERROR(Inv_SY!O1118/Inv_SY!$P1118-1,"")</f>
        <v>-7.8953630736783409E-2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41">
        <f>IFERROR(Inv_SY!O1118/Inv_SY!$Q1118-1,"")</f>
        <v>-0.11478207259779993</v>
      </c>
    </row>
    <row r="1118" spans="1:21">
      <c r="A1118" s="91" t="s">
        <v>4</v>
      </c>
      <c r="B1118" s="91">
        <v>3</v>
      </c>
      <c r="C1118" s="91">
        <v>2024</v>
      </c>
      <c r="D1118" s="91" t="s">
        <v>211</v>
      </c>
      <c r="E1118" s="91" t="s">
        <v>211</v>
      </c>
      <c r="F1118" s="92">
        <v>45748</v>
      </c>
      <c r="G1118" s="91">
        <f t="shared" si="43"/>
        <v>30</v>
      </c>
      <c r="H1118" s="93">
        <f t="shared" si="42"/>
        <v>45768</v>
      </c>
      <c r="I1118" s="145">
        <f>_xlfn.XLOOKUP(Table5[[#This Row],[Month Year]],'Modelling New'!D:D,'Modelling New'!N:N)</f>
        <v>10.507</v>
      </c>
      <c r="J1118" s="9">
        <f>IFERROR(Inv_SY!J1119/Inv_SY!$P1119-1,"")</f>
        <v>0.15658890841348883</v>
      </c>
      <c r="K1118" s="9">
        <f>IFERROR(Inv_SY!K1119/Inv_SY!$P1119-1,"")</f>
        <v>0.12008747086049709</v>
      </c>
      <c r="L1118" s="9">
        <f>IFERROR(Inv_SY!L1119/Inv_SY!$P1119-1,"")</f>
        <v>0.15255063690094106</v>
      </c>
      <c r="M1118" s="9">
        <f>IFERROR(Inv_SY!M1119/Inv_SY!$P1119-1,"")</f>
        <v>-0.30372262264970018</v>
      </c>
      <c r="N1118" s="9">
        <f>IFERROR(Inv_SY!N1119/Inv_SY!$P1119-1,"")</f>
        <v>0.11276211342738618</v>
      </c>
      <c r="O1118" s="9">
        <f>IFERROR(Inv_SY!O1119/Inv_SY!$P1119-1,"")</f>
        <v>-0.23826650695261242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41">
        <f>IFERROR(Inv_SY!O1119/Inv_SY!$Q1119-1,"")</f>
        <v>-0.34139650872817962</v>
      </c>
    </row>
    <row r="1119" spans="1:21">
      <c r="A1119" s="91" t="s">
        <v>4</v>
      </c>
      <c r="B1119" s="91">
        <v>3</v>
      </c>
      <c r="C1119" s="91">
        <v>2024</v>
      </c>
      <c r="D1119" s="91" t="s">
        <v>211</v>
      </c>
      <c r="E1119" s="91" t="s">
        <v>211</v>
      </c>
      <c r="F1119" s="92">
        <v>45748</v>
      </c>
      <c r="G1119" s="91">
        <f t="shared" si="43"/>
        <v>30</v>
      </c>
      <c r="H1119" s="93">
        <f t="shared" si="42"/>
        <v>45769</v>
      </c>
      <c r="I1119" s="145">
        <f>_xlfn.XLOOKUP(Table5[[#This Row],[Month Year]],'Modelling New'!D:D,'Modelling New'!N:N)</f>
        <v>10.507</v>
      </c>
      <c r="J1119" s="9">
        <f>IFERROR(Inv_SY!J1120/Inv_SY!$P1120-1,"")</f>
        <v>9.2248034345270513E-2</v>
      </c>
      <c r="K1119" s="9">
        <f>IFERROR(Inv_SY!K1120/Inv_SY!$P1120-1,"")</f>
        <v>7.9629978714627514E-2</v>
      </c>
      <c r="L1119" s="9">
        <f>IFERROR(Inv_SY!L1120/Inv_SY!$P1120-1,"")</f>
        <v>6.6278107896556859E-2</v>
      </c>
      <c r="M1119" s="9">
        <f>IFERROR(Inv_SY!M1120/Inv_SY!$P1120-1,"")</f>
        <v>5.0174715358197286E-2</v>
      </c>
      <c r="N1119" s="9">
        <f>IFERROR(Inv_SY!N1120/Inv_SY!$P1120-1,"")</f>
        <v>5.1722456134247308E-2</v>
      </c>
      <c r="O1119" s="9">
        <f>IFERROR(Inv_SY!O1120/Inv_SY!$P1120-1,"")</f>
        <v>-0.3400532924488997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41">
        <f>IFERROR(Inv_SY!O1120/Inv_SY!$Q1120-1,"")</f>
        <v>-0.39579043697094485</v>
      </c>
    </row>
    <row r="1120" spans="1:21">
      <c r="A1120" s="91" t="s">
        <v>4</v>
      </c>
      <c r="B1120" s="91">
        <v>3</v>
      </c>
      <c r="C1120" s="91">
        <v>2024</v>
      </c>
      <c r="D1120" s="91" t="s">
        <v>211</v>
      </c>
      <c r="E1120" s="91" t="s">
        <v>211</v>
      </c>
      <c r="F1120" s="92">
        <v>45748</v>
      </c>
      <c r="G1120" s="91">
        <f t="shared" si="43"/>
        <v>30</v>
      </c>
      <c r="H1120" s="93">
        <f t="shared" si="42"/>
        <v>45770</v>
      </c>
      <c r="I1120" s="145">
        <f>_xlfn.XLOOKUP(Table5[[#This Row],[Month Year]],'Modelling New'!D:D,'Modelling New'!N:N)</f>
        <v>10.507</v>
      </c>
      <c r="J1120" s="9">
        <f>IFERROR(Inv_SY!J1121/Inv_SY!$P1121-1,"")</f>
        <v>6.891238468668659E-2</v>
      </c>
      <c r="K1120" s="9">
        <f>IFERROR(Inv_SY!K1121/Inv_SY!$P1121-1,"")</f>
        <v>5.8137583524445091E-2</v>
      </c>
      <c r="L1120" s="9">
        <f>IFERROR(Inv_SY!L1121/Inv_SY!$P1121-1,"")</f>
        <v>5.7909981726868676E-2</v>
      </c>
      <c r="M1120" s="9">
        <f>IFERROR(Inv_SY!M1121/Inv_SY!$P1121-1,"")</f>
        <v>3.4959258298477014E-2</v>
      </c>
      <c r="N1120" s="9">
        <f>IFERROR(Inv_SY!N1121/Inv_SY!$P1121-1,"")</f>
        <v>5.1941094070063976E-2</v>
      </c>
      <c r="O1120" s="9">
        <f>IFERROR(Inv_SY!O1121/Inv_SY!$P1121-1,"")</f>
        <v>-0.27186030230654123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41">
        <f>IFERROR(Inv_SY!O1121/Inv_SY!$Q1121-1,"")</f>
        <v>-0.31880319834923909</v>
      </c>
    </row>
    <row r="1121" spans="1:21">
      <c r="A1121" s="91" t="s">
        <v>4</v>
      </c>
      <c r="B1121" s="91">
        <v>3</v>
      </c>
      <c r="C1121" s="91">
        <v>2024</v>
      </c>
      <c r="D1121" s="91" t="s">
        <v>211</v>
      </c>
      <c r="E1121" s="91" t="s">
        <v>211</v>
      </c>
      <c r="F1121" s="92">
        <v>45748</v>
      </c>
      <c r="G1121" s="91">
        <f t="shared" si="43"/>
        <v>30</v>
      </c>
      <c r="H1121" s="93">
        <f t="shared" si="42"/>
        <v>45771</v>
      </c>
      <c r="I1121" s="145">
        <f>_xlfn.XLOOKUP(Table5[[#This Row],[Month Year]],'Modelling New'!D:D,'Modelling New'!N:N)</f>
        <v>10.507</v>
      </c>
      <c r="J1121" s="9">
        <f>IFERROR(Inv_SY!J1122/Inv_SY!$P1122-1,"")</f>
        <v>8.514909984595298E-2</v>
      </c>
      <c r="K1121" s="9">
        <f>IFERROR(Inv_SY!K1122/Inv_SY!$P1122-1,"")</f>
        <v>8.4132247326210718E-2</v>
      </c>
      <c r="L1121" s="9">
        <f>IFERROR(Inv_SY!L1122/Inv_SY!$P1122-1,"")</f>
        <v>8.0072092857914612E-2</v>
      </c>
      <c r="M1121" s="9">
        <f>IFERROR(Inv_SY!M1122/Inv_SY!$P1122-1,"")</f>
        <v>4.2749605331401819E-2</v>
      </c>
      <c r="N1121" s="9">
        <f>IFERROR(Inv_SY!N1122/Inv_SY!$P1122-1,"")</f>
        <v>4.4499090589178003E-2</v>
      </c>
      <c r="O1121" s="9">
        <f>IFERROR(Inv_SY!O1122/Inv_SY!$P1122-1,"")</f>
        <v>-0.33660213595065691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41">
        <f>IFERROR(Inv_SY!O1122/Inv_SY!$Q1122-1,"")</f>
        <v>-0.3886574074074074</v>
      </c>
    </row>
    <row r="1122" spans="1:21">
      <c r="A1122" s="91" t="s">
        <v>4</v>
      </c>
      <c r="B1122" s="91">
        <v>3</v>
      </c>
      <c r="C1122" s="91">
        <v>2024</v>
      </c>
      <c r="D1122" s="91" t="s">
        <v>211</v>
      </c>
      <c r="E1122" s="91" t="s">
        <v>211</v>
      </c>
      <c r="F1122" s="92">
        <v>45748</v>
      </c>
      <c r="G1122" s="91">
        <f t="shared" ref="G1122:G1126" si="44">DAY(EOMONTH(F1122,0))</f>
        <v>30</v>
      </c>
      <c r="H1122" s="93">
        <f t="shared" si="42"/>
        <v>45772</v>
      </c>
      <c r="I1122" s="145">
        <f>_xlfn.XLOOKUP(Table5[[#This Row],[Month Year]],'Modelling New'!D:D,'Modelling New'!N:N)</f>
        <v>10.507</v>
      </c>
      <c r="J1122" s="9">
        <f>IFERROR(Inv_SY!J1123/Inv_SY!$P1123-1,"")</f>
        <v>8.6259084332359404E-2</v>
      </c>
      <c r="K1122" s="9">
        <f>IFERROR(Inv_SY!K1123/Inv_SY!$P1123-1,"")</f>
        <v>5.6286381531150953E-2</v>
      </c>
      <c r="L1122" s="9">
        <f>IFERROR(Inv_SY!L1123/Inv_SY!$P1123-1,"")</f>
        <v>6.3698666696950124E-2</v>
      </c>
      <c r="M1122" s="9">
        <f>IFERROR(Inv_SY!M1123/Inv_SY!$P1123-1,"")</f>
        <v>2.3003248612669891E-2</v>
      </c>
      <c r="N1122" s="9">
        <f>IFERROR(Inv_SY!N1123/Inv_SY!$P1123-1,"")</f>
        <v>5.0127087120826364E-2</v>
      </c>
      <c r="O1122" s="9">
        <f>IFERROR(Inv_SY!O1123/Inv_SY!$P1123-1,"")</f>
        <v>-0.27937446829395596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41">
        <f>IFERROR(Inv_SY!O1123/Inv_SY!$Q1123-1,"")</f>
        <v>-0.3365988445114293</v>
      </c>
    </row>
    <row r="1123" spans="1:21">
      <c r="A1123" s="91" t="s">
        <v>4</v>
      </c>
      <c r="B1123" s="91">
        <v>3</v>
      </c>
      <c r="C1123" s="91">
        <v>2024</v>
      </c>
      <c r="D1123" s="91" t="s">
        <v>211</v>
      </c>
      <c r="E1123" s="91" t="s">
        <v>211</v>
      </c>
      <c r="F1123" s="92">
        <v>45748</v>
      </c>
      <c r="G1123" s="91">
        <f t="shared" si="44"/>
        <v>30</v>
      </c>
      <c r="H1123" s="93">
        <f t="shared" si="42"/>
        <v>45773</v>
      </c>
      <c r="I1123" s="145">
        <f>_xlfn.XLOOKUP(Table5[[#This Row],[Month Year]],'Modelling New'!D:D,'Modelling New'!N:N)</f>
        <v>10.507</v>
      </c>
      <c r="J1123" s="9">
        <f>IFERROR(Inv_SY!J1124/Inv_SY!$P1124-1,"")</f>
        <v>7.4411445108035768E-2</v>
      </c>
      <c r="K1123" s="9">
        <f>IFERROR(Inv_SY!K1124/Inv_SY!$P1124-1,"")</f>
        <v>6.345923744253601E-2</v>
      </c>
      <c r="L1123" s="9">
        <f>IFERROR(Inv_SY!L1124/Inv_SY!$P1124-1,"")</f>
        <v>8.3668702187216448E-2</v>
      </c>
      <c r="M1123" s="9">
        <f>IFERROR(Inv_SY!M1124/Inv_SY!$P1124-1,"")</f>
        <v>6.5513030752909263E-2</v>
      </c>
      <c r="N1123" s="9">
        <f>IFERROR(Inv_SY!N1124/Inv_SY!$P1124-1,"")</f>
        <v>6.2885585304188973E-2</v>
      </c>
      <c r="O1123" s="9">
        <f>IFERROR(Inv_SY!O1124/Inv_SY!$P1124-1,"")</f>
        <v>-0.34993800079488602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41">
        <f>IFERROR(Inv_SY!O1124/Inv_SY!$Q1124-1,"")</f>
        <v>-0.40012847294282361</v>
      </c>
    </row>
    <row r="1124" spans="1:21">
      <c r="A1124" s="91" t="s">
        <v>4</v>
      </c>
      <c r="B1124" s="91">
        <v>3</v>
      </c>
      <c r="C1124" s="91">
        <v>2024</v>
      </c>
      <c r="D1124" s="91" t="s">
        <v>211</v>
      </c>
      <c r="E1124" s="91" t="s">
        <v>211</v>
      </c>
      <c r="F1124" s="92">
        <v>45748</v>
      </c>
      <c r="G1124" s="91">
        <f t="shared" si="44"/>
        <v>30</v>
      </c>
      <c r="H1124" s="93">
        <f t="shared" si="42"/>
        <v>45774</v>
      </c>
      <c r="I1124" s="145">
        <f>_xlfn.XLOOKUP(Table5[[#This Row],[Month Year]],'Modelling New'!D:D,'Modelling New'!N:N)</f>
        <v>10.507</v>
      </c>
      <c r="J1124" s="9">
        <f>IFERROR(Inv_SY!J1125/Inv_SY!$P1125-1,"")</f>
        <v>6.3012129335528577E-2</v>
      </c>
      <c r="K1124" s="9">
        <f>IFERROR(Inv_SY!K1125/Inv_SY!$P1125-1,"")</f>
        <v>4.9036097732729766E-2</v>
      </c>
      <c r="L1124" s="9">
        <f>IFERROR(Inv_SY!L1125/Inv_SY!$P1125-1,"")</f>
        <v>4.4226177383417609E-2</v>
      </c>
      <c r="M1124" s="9">
        <f>IFERROR(Inv_SY!M1125/Inv_SY!$P1125-1,"")</f>
        <v>3.0199534124971006E-2</v>
      </c>
      <c r="N1124" s="9">
        <f>IFERROR(Inv_SY!N1125/Inv_SY!$P1125-1,"")</f>
        <v>8.051952524185757E-2</v>
      </c>
      <c r="O1124" s="9">
        <f>IFERROR(Inv_SY!O1125/Inv_SY!$P1125-1,"")</f>
        <v>-0.26699346381850364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41">
        <f>IFERROR(Inv_SY!O1125/Inv_SY!$Q1125-1,"")</f>
        <v>-0.32161657512165343</v>
      </c>
    </row>
    <row r="1125" spans="1:21">
      <c r="A1125" s="91" t="s">
        <v>4</v>
      </c>
      <c r="B1125" s="91">
        <v>3</v>
      </c>
      <c r="C1125" s="91">
        <v>2024</v>
      </c>
      <c r="D1125" s="91" t="s">
        <v>211</v>
      </c>
      <c r="E1125" s="91" t="s">
        <v>211</v>
      </c>
      <c r="F1125" s="92">
        <v>45748</v>
      </c>
      <c r="G1125" s="91">
        <f t="shared" si="44"/>
        <v>30</v>
      </c>
      <c r="H1125" s="93">
        <f t="shared" si="42"/>
        <v>45775</v>
      </c>
      <c r="I1125" s="145">
        <f>_xlfn.XLOOKUP(Table5[[#This Row],[Month Year]],'Modelling New'!D:D,'Modelling New'!N:N)</f>
        <v>10.507</v>
      </c>
      <c r="J1125" s="9">
        <f>IFERROR(Inv_SY!J1126/Inv_SY!$P1126-1,"")</f>
        <v>7.4548737382489128E-2</v>
      </c>
      <c r="K1125" s="9">
        <f>IFERROR(Inv_SY!K1126/Inv_SY!$P1126-1,"")</f>
        <v>6.6645134694205854E-2</v>
      </c>
      <c r="L1125" s="9">
        <f>IFERROR(Inv_SY!L1126/Inv_SY!$P1126-1,"")</f>
        <v>6.1317809354103803E-2</v>
      </c>
      <c r="M1125" s="9">
        <f>IFERROR(Inv_SY!M1126/Inv_SY!$P1126-1,"")</f>
        <v>7.3181996215911926E-2</v>
      </c>
      <c r="N1125" s="9">
        <f>IFERROR(Inv_SY!N1126/Inv_SY!$P1126-1,"")</f>
        <v>6.8148353468398426E-2</v>
      </c>
      <c r="O1125" s="9">
        <f>IFERROR(Inv_SY!O1126/Inv_SY!$P1126-1,"")</f>
        <v>-0.34384203111510891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41">
        <f>IFERROR(Inv_SY!O1126/Inv_SY!$Q1126-1,"")</f>
        <v>-0.38936416184971101</v>
      </c>
    </row>
    <row r="1126" spans="1:21">
      <c r="A1126" s="91" t="s">
        <v>4</v>
      </c>
      <c r="B1126" s="91">
        <v>3</v>
      </c>
      <c r="C1126" s="91">
        <v>2024</v>
      </c>
      <c r="D1126" s="91" t="s">
        <v>211</v>
      </c>
      <c r="E1126" s="91" t="s">
        <v>211</v>
      </c>
      <c r="F1126" s="92">
        <v>45748</v>
      </c>
      <c r="G1126" s="91">
        <f t="shared" si="44"/>
        <v>30</v>
      </c>
      <c r="H1126" s="93">
        <f t="shared" si="42"/>
        <v>45776</v>
      </c>
      <c r="I1126" s="145">
        <f>_xlfn.XLOOKUP(Table5[[#This Row],[Month Year]],'Modelling New'!D:D,'Modelling New'!N:N)</f>
        <v>10.507</v>
      </c>
      <c r="J1126" s="9">
        <f>IFERROR(Inv_SY!J1127/Inv_SY!$P1127-1,"")</f>
        <v>6.0529552830316691E-2</v>
      </c>
      <c r="K1126" s="9">
        <f>IFERROR(Inv_SY!K1127/Inv_SY!$P1127-1,"")</f>
        <v>4.1888605635062692E-2</v>
      </c>
      <c r="L1126" s="9">
        <f>IFERROR(Inv_SY!L1127/Inv_SY!$P1127-1,"")</f>
        <v>6.1006027494403092E-2</v>
      </c>
      <c r="M1126" s="9">
        <f>IFERROR(Inv_SY!M1127/Inv_SY!$P1127-1,"")</f>
        <v>7.4799331362203736E-2</v>
      </c>
      <c r="N1126" s="9">
        <f>IFERROR(Inv_SY!N1127/Inv_SY!$P1127-1,"")</f>
        <v>5.9806921518900769E-2</v>
      </c>
      <c r="O1126" s="9">
        <f>IFERROR(Inv_SY!O1127/Inv_SY!$P1127-1,"")</f>
        <v>-0.29803043884088554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41">
        <f>IFERROR(Inv_SY!O1127/Inv_SY!$Q1127-1,"")</f>
        <v>-0.34688314304267742</v>
      </c>
    </row>
    <row r="1127" spans="1:21">
      <c r="A1127" s="91" t="s">
        <v>4</v>
      </c>
      <c r="B1127" s="91">
        <v>3</v>
      </c>
      <c r="C1127" s="91">
        <v>2024</v>
      </c>
      <c r="D1127" s="91" t="s">
        <v>211</v>
      </c>
      <c r="E1127" s="91" t="s">
        <v>211</v>
      </c>
      <c r="F1127" s="92">
        <v>45748</v>
      </c>
      <c r="G1127" s="91">
        <f>DAY(EOMONTH(F1127,0))</f>
        <v>30</v>
      </c>
      <c r="H1127" s="93">
        <f t="shared" si="42"/>
        <v>45777</v>
      </c>
      <c r="I1127" s="145">
        <f>_xlfn.XLOOKUP(Table5[[#This Row],[Month Year]],'Modelling New'!D:D,'Modelling New'!N:N)</f>
        <v>10.507</v>
      </c>
      <c r="J1127" s="9">
        <f>IFERROR(Inv_SY!J1128/Inv_SY!$P1128-1,"")</f>
        <v>6.3818499430960962E-2</v>
      </c>
      <c r="K1127" s="9">
        <f>IFERROR(Inv_SY!K1128/Inv_SY!$P1128-1,"")</f>
        <v>6.240285094153375E-2</v>
      </c>
      <c r="L1127" s="9">
        <f>IFERROR(Inv_SY!L1128/Inv_SY!$P1128-1,"")</f>
        <v>5.569306912060612E-2</v>
      </c>
      <c r="M1127" s="9">
        <f>IFERROR(Inv_SY!M1128/Inv_SY!$P1128-1,"")</f>
        <v>8.9684125026060268E-2</v>
      </c>
      <c r="N1127" s="9">
        <f>IFERROR(Inv_SY!N1128/Inv_SY!$P1128-1,"")</f>
        <v>4.5146431892034045E-2</v>
      </c>
      <c r="O1127" s="9">
        <f>IFERROR(Inv_SY!O1128/Inv_SY!$P1128-1,"")</f>
        <v>-0.31674497641119459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41">
        <f>IFERROR(Inv_SY!O1128/Inv_SY!$Q1128-1,"")</f>
        <v>-0.37297882212199329</v>
      </c>
    </row>
    <row r="1128" spans="1:21">
      <c r="A1128" s="91" t="s">
        <v>4</v>
      </c>
      <c r="B1128" s="191">
        <v>5</v>
      </c>
      <c r="C1128" s="91">
        <v>2024</v>
      </c>
      <c r="D1128" s="91" t="s">
        <v>211</v>
      </c>
      <c r="E1128" s="91" t="s">
        <v>211</v>
      </c>
      <c r="F1128" s="92">
        <v>45778</v>
      </c>
      <c r="G1128" s="191">
        <f t="shared" ref="G1128:G1146" si="45">DAY(EOMONTH(F1128,0))</f>
        <v>31</v>
      </c>
      <c r="H1128" s="93">
        <f t="shared" si="42"/>
        <v>45778</v>
      </c>
      <c r="I1128" s="145">
        <f>_xlfn.XLOOKUP(Table5[[#This Row],[Month Year]],'Modelling New'!D:D,'Modelling New'!N:N)</f>
        <v>10.507</v>
      </c>
      <c r="J1128" s="192">
        <f>IFERROR(Inv_SY!J1129/Inv_SY!$P1129-1,"")</f>
        <v>5.0710196494287985E-3</v>
      </c>
      <c r="K1128" s="192">
        <f>IFERROR(Inv_SY!K1129/Inv_SY!$P1129-1,"")</f>
        <v>-1.8137133953043505E-2</v>
      </c>
      <c r="L1128" s="192">
        <f>IFERROR(Inv_SY!L1129/Inv_SY!$P1129-1,"")</f>
        <v>-4.5431343245084022E-2</v>
      </c>
      <c r="M1128" s="192">
        <f>IFERROR(Inv_SY!M1129/Inv_SY!$P1129-1,"")</f>
        <v>-1.0675732971440643E-2</v>
      </c>
      <c r="N1128" s="192">
        <f>IFERROR(Inv_SY!N1129/Inv_SY!$P1129-1,"")</f>
        <v>3.1520809240983549E-3</v>
      </c>
      <c r="O1128" s="192">
        <f>IFERROR(Inv_SY!O1129/Inv_SY!$P1129-1,"")</f>
        <v>6.6021109596040795E-2</v>
      </c>
      <c r="P1128" s="192">
        <f>IFERROR(Inv_SY!J1129/Inv_SY!$Q1129-1,"")</f>
        <v>-5.7175312381673615E-2</v>
      </c>
      <c r="Q1128" s="192">
        <f>IFERROR(Inv_SY!K1129/Inv_SY!$Q1129-1,"")</f>
        <v>-7.8946132296550231E-2</v>
      </c>
      <c r="R1128" s="192">
        <f>IFERROR(Inv_SY!L1129/Inv_SY!$Q1129-1,"")</f>
        <v>-0.10454994918755289</v>
      </c>
      <c r="S1128" s="192">
        <f>IFERROR(Inv_SY!M1129/Inv_SY!$Q1129-1,"")</f>
        <v>-7.1946832831992436E-2</v>
      </c>
      <c r="T1128" s="192">
        <f>IFERROR(Inv_SY!N1129/Inv_SY!$Q1129-1,"")</f>
        <v>-5.8975406871413782E-2</v>
      </c>
      <c r="U1128" s="193">
        <f>IFERROR(Inv_SY!O1129/Inv_SY!$Q1129-1,"")</f>
        <v>0</v>
      </c>
    </row>
    <row r="1129" spans="1:21">
      <c r="A1129" s="91" t="s">
        <v>4</v>
      </c>
      <c r="B1129" s="191">
        <v>5</v>
      </c>
      <c r="C1129" s="91">
        <v>2024</v>
      </c>
      <c r="D1129" s="91" t="s">
        <v>211</v>
      </c>
      <c r="E1129" s="91" t="s">
        <v>211</v>
      </c>
      <c r="F1129" s="92">
        <v>45778</v>
      </c>
      <c r="G1129" s="191">
        <f t="shared" si="45"/>
        <v>31</v>
      </c>
      <c r="H1129" s="93">
        <f t="shared" si="42"/>
        <v>45779</v>
      </c>
      <c r="I1129" s="145">
        <f>_xlfn.XLOOKUP(Table5[[#This Row],[Month Year]],'Modelling New'!D:D,'Modelling New'!N:N)</f>
        <v>10.507</v>
      </c>
      <c r="J1129" s="192">
        <f>IFERROR(Inv_SY!J1130/Inv_SY!$P1130-1,"")</f>
        <v>6.7431104442709167E-2</v>
      </c>
      <c r="K1129" s="192">
        <f>IFERROR(Inv_SY!K1130/Inv_SY!$P1130-1,"")</f>
        <v>4.0400467077603475E-2</v>
      </c>
      <c r="L1129" s="192">
        <f>IFERROR(Inv_SY!L1130/Inv_SY!$P1130-1,"")</f>
        <v>4.0438708088434083E-2</v>
      </c>
      <c r="M1129" s="192">
        <f>IFERROR(Inv_SY!M1130/Inv_SY!$P1130-1,"")</f>
        <v>6.3279722904294067E-2</v>
      </c>
      <c r="N1129" s="192">
        <f>IFERROR(Inv_SY!N1130/Inv_SY!$P1130-1,"")</f>
        <v>7.924608633395569E-2</v>
      </c>
      <c r="O1129" s="192">
        <f>IFERROR(Inv_SY!O1130/Inv_SY!$P1130-1,"")</f>
        <v>-0.29079608884699504</v>
      </c>
      <c r="P1129" s="192">
        <f>IFERROR(Inv_SY!J1130/Inv_SY!$Q1130-1,"")</f>
        <v>-1.0947440107362705E-2</v>
      </c>
      <c r="Q1129" s="192">
        <f>IFERROR(Inv_SY!K1130/Inv_SY!$Q1130-1,"")</f>
        <v>-3.599329175082322E-2</v>
      </c>
      <c r="R1129" s="192">
        <f>IFERROR(Inv_SY!L1130/Inv_SY!$Q1130-1,"")</f>
        <v>-3.5957858672756249E-2</v>
      </c>
      <c r="S1129" s="192">
        <f>IFERROR(Inv_SY!M1130/Inv_SY!$Q1130-1,"")</f>
        <v>-1.4793997061316344E-2</v>
      </c>
      <c r="T1129" s="192">
        <f>IFERROR(Inv_SY!N1130/Inv_SY!$Q1130-1,"")</f>
        <v>0</v>
      </c>
      <c r="U1129" s="193">
        <f>IFERROR(Inv_SY!O1130/Inv_SY!$Q1130-1,"")</f>
        <v>-0.34287099102479124</v>
      </c>
    </row>
    <row r="1130" spans="1:21">
      <c r="A1130" s="91" t="s">
        <v>4</v>
      </c>
      <c r="B1130" s="191">
        <v>5</v>
      </c>
      <c r="C1130" s="91">
        <v>2024</v>
      </c>
      <c r="D1130" s="91" t="s">
        <v>211</v>
      </c>
      <c r="E1130" s="91" t="s">
        <v>211</v>
      </c>
      <c r="F1130" s="92">
        <v>45778</v>
      </c>
      <c r="G1130" s="191">
        <f t="shared" si="45"/>
        <v>31</v>
      </c>
      <c r="H1130" s="93">
        <f t="shared" si="42"/>
        <v>45780</v>
      </c>
      <c r="I1130" s="145">
        <f>_xlfn.XLOOKUP(Table5[[#This Row],[Month Year]],'Modelling New'!D:D,'Modelling New'!N:N)</f>
        <v>10.507</v>
      </c>
      <c r="J1130" s="192">
        <f>IFERROR(Inv_SY!J1131/Inv_SY!$P1131-1,"")</f>
        <v>8.4273089446102345E-2</v>
      </c>
      <c r="K1130" s="192">
        <f>IFERROR(Inv_SY!K1131/Inv_SY!$P1131-1,"")</f>
        <v>5.8447696867593102E-2</v>
      </c>
      <c r="L1130" s="192">
        <f>IFERROR(Inv_SY!L1131/Inv_SY!$P1131-1,"")</f>
        <v>5.7114223791039365E-2</v>
      </c>
      <c r="M1130" s="192">
        <f>IFERROR(Inv_SY!M1131/Inv_SY!$P1131-1,"")</f>
        <v>6.2313761105727172E-2</v>
      </c>
      <c r="N1130" s="192">
        <f>IFERROR(Inv_SY!N1131/Inv_SY!$P1131-1,"")</f>
        <v>7.1905826643687609E-2</v>
      </c>
      <c r="O1130" s="192">
        <f>IFERROR(Inv_SY!O1131/Inv_SY!$P1131-1,"")</f>
        <v>-0.33405459785414982</v>
      </c>
      <c r="P1130" s="192">
        <f>IFERROR(Inv_SY!J1131/Inv_SY!$Q1131-1,"")</f>
        <v>0</v>
      </c>
      <c r="Q1130" s="192">
        <f>IFERROR(Inv_SY!K1131/Inv_SY!$Q1131-1,"")</f>
        <v>-2.3818162444391278E-2</v>
      </c>
      <c r="R1130" s="192">
        <f>IFERROR(Inv_SY!L1131/Inv_SY!$Q1131-1,"")</f>
        <v>-2.5047993830536686E-2</v>
      </c>
      <c r="S1130" s="192">
        <f>IFERROR(Inv_SY!M1131/Inv_SY!$Q1131-1,"")</f>
        <v>-2.0252580788104657E-2</v>
      </c>
      <c r="T1130" s="192">
        <f>IFERROR(Inv_SY!N1131/Inv_SY!$Q1131-1,"")</f>
        <v>-1.1406040528712635E-2</v>
      </c>
      <c r="U1130" s="193">
        <f>IFERROR(Inv_SY!O1131/Inv_SY!$Q1131-1,"")</f>
        <v>-0.38581395348837211</v>
      </c>
    </row>
    <row r="1131" spans="1:21">
      <c r="A1131" s="91" t="s">
        <v>4</v>
      </c>
      <c r="B1131" s="191">
        <v>5</v>
      </c>
      <c r="C1131" s="91">
        <v>2024</v>
      </c>
      <c r="D1131" s="91" t="s">
        <v>211</v>
      </c>
      <c r="E1131" s="91" t="s">
        <v>211</v>
      </c>
      <c r="F1131" s="92">
        <v>45778</v>
      </c>
      <c r="G1131" s="191">
        <f t="shared" si="45"/>
        <v>31</v>
      </c>
      <c r="H1131" s="93">
        <f t="shared" si="42"/>
        <v>45781</v>
      </c>
      <c r="I1131" s="145">
        <f>_xlfn.XLOOKUP(Table5[[#This Row],[Month Year]],'Modelling New'!D:D,'Modelling New'!N:N)</f>
        <v>10.507</v>
      </c>
      <c r="J1131" s="192">
        <f>IFERROR(Inv_SY!J1132/Inv_SY!$P1132-1,"")</f>
        <v>8.3172133618719224E-2</v>
      </c>
      <c r="K1131" s="192">
        <f>IFERROR(Inv_SY!K1132/Inv_SY!$P1132-1,"")</f>
        <v>6.0481297723910421E-2</v>
      </c>
      <c r="L1131" s="192">
        <f>IFERROR(Inv_SY!L1132/Inv_SY!$P1132-1,"")</f>
        <v>6.6002833350186751E-2</v>
      </c>
      <c r="M1131" s="192">
        <f>IFERROR(Inv_SY!M1132/Inv_SY!$P1132-1,"")</f>
        <v>7.8783018032032803E-2</v>
      </c>
      <c r="N1131" s="192">
        <f>IFERROR(Inv_SY!N1132/Inv_SY!$P1132-1,"")</f>
        <v>6.8065586269181022E-2</v>
      </c>
      <c r="O1131" s="192">
        <f>IFERROR(Inv_SY!O1132/Inv_SY!$P1132-1,"")</f>
        <v>-0.35650486899403044</v>
      </c>
      <c r="P1131" s="192">
        <f>IFERROR(Inv_SY!J1132/Inv_SY!$Q1132-1,"")</f>
        <v>0</v>
      </c>
      <c r="Q1131" s="192">
        <f>IFERROR(Inv_SY!K1132/Inv_SY!$Q1132-1,"")</f>
        <v>-2.0948504111716781E-2</v>
      </c>
      <c r="R1131" s="192">
        <f>IFERROR(Inv_SY!L1132/Inv_SY!$Q1132-1,"")</f>
        <v>-1.5850943479474799E-2</v>
      </c>
      <c r="S1131" s="192">
        <f>IFERROR(Inv_SY!M1132/Inv_SY!$Q1132-1,"")</f>
        <v>-4.0520942613461175E-3</v>
      </c>
      <c r="T1131" s="192">
        <f>IFERROR(Inv_SY!N1132/Inv_SY!$Q1132-1,"")</f>
        <v>-1.3946580493231053E-2</v>
      </c>
      <c r="U1131" s="193">
        <f>IFERROR(Inv_SY!O1132/Inv_SY!$Q1132-1,"")</f>
        <v>-0.40591609492745473</v>
      </c>
    </row>
    <row r="1132" spans="1:21">
      <c r="A1132" s="91" t="s">
        <v>4</v>
      </c>
      <c r="B1132" s="191">
        <v>5</v>
      </c>
      <c r="C1132" s="91">
        <v>2024</v>
      </c>
      <c r="D1132" s="91" t="s">
        <v>211</v>
      </c>
      <c r="E1132" s="91" t="s">
        <v>211</v>
      </c>
      <c r="F1132" s="92">
        <v>45778</v>
      </c>
      <c r="G1132" s="191">
        <f t="shared" si="45"/>
        <v>31</v>
      </c>
      <c r="H1132" s="93">
        <f t="shared" si="42"/>
        <v>45782</v>
      </c>
      <c r="I1132" s="145">
        <f>_xlfn.XLOOKUP(Table5[[#This Row],[Month Year]],'Modelling New'!D:D,'Modelling New'!N:N)</f>
        <v>10.507</v>
      </c>
      <c r="J1132" s="192">
        <f>IFERROR(Inv_SY!J1133/Inv_SY!$P1133-1,"")</f>
        <v>8.3296377910141439E-2</v>
      </c>
      <c r="K1132" s="192">
        <f>IFERROR(Inv_SY!K1133/Inv_SY!$P1133-1,"")</f>
        <v>6.2583712437843886E-2</v>
      </c>
      <c r="L1132" s="192">
        <f>IFERROR(Inv_SY!L1133/Inv_SY!$P1133-1,"")</f>
        <v>6.0444746277298345E-2</v>
      </c>
      <c r="M1132" s="192">
        <f>IFERROR(Inv_SY!M1133/Inv_SY!$P1133-1,"")</f>
        <v>8.6293329587030509E-2</v>
      </c>
      <c r="N1132" s="192">
        <f>IFERROR(Inv_SY!N1133/Inv_SY!$P1133-1,"")</f>
        <v>7.8593760367755117E-2</v>
      </c>
      <c r="O1132" s="192">
        <f>IFERROR(Inv_SY!O1133/Inv_SY!$P1133-1,"")</f>
        <v>-0.37121192658006952</v>
      </c>
      <c r="P1132" s="192">
        <f>IFERROR(Inv_SY!J1133/Inv_SY!$Q1133-1,"")</f>
        <v>-2.7588788361871952E-3</v>
      </c>
      <c r="Q1132" s="192">
        <f>IFERROR(Inv_SY!K1133/Inv_SY!$Q1133-1,"")</f>
        <v>-2.1826164723114161E-2</v>
      </c>
      <c r="R1132" s="192">
        <f>IFERROR(Inv_SY!L1133/Inv_SY!$Q1133-1,"")</f>
        <v>-2.3795214980799839E-2</v>
      </c>
      <c r="S1132" s="192">
        <f>IFERROR(Inv_SY!M1133/Inv_SY!$Q1133-1,"")</f>
        <v>0</v>
      </c>
      <c r="T1132" s="192">
        <f>IFERROR(Inv_SY!N1133/Inv_SY!$Q1133-1,"")</f>
        <v>-7.0879282874749538E-3</v>
      </c>
      <c r="U1132" s="193">
        <f>IFERROR(Inv_SY!O1133/Inv_SY!$Q1133-1,"")</f>
        <v>-0.4211618019794221</v>
      </c>
    </row>
    <row r="1133" spans="1:21">
      <c r="A1133" s="91" t="s">
        <v>4</v>
      </c>
      <c r="B1133" s="191">
        <v>5</v>
      </c>
      <c r="C1133" s="91">
        <v>2024</v>
      </c>
      <c r="D1133" s="91" t="s">
        <v>211</v>
      </c>
      <c r="E1133" s="91" t="s">
        <v>211</v>
      </c>
      <c r="F1133" s="92">
        <v>45778</v>
      </c>
      <c r="G1133" s="191">
        <f t="shared" si="45"/>
        <v>31</v>
      </c>
      <c r="H1133" s="93">
        <f t="shared" si="42"/>
        <v>45783</v>
      </c>
      <c r="I1133" s="145">
        <f>_xlfn.XLOOKUP(Table5[[#This Row],[Month Year]],'Modelling New'!D:D,'Modelling New'!N:N)</f>
        <v>10.507</v>
      </c>
      <c r="J1133" s="192">
        <f>IFERROR(Inv_SY!J1134/Inv_SY!$P1134-1,"")</f>
        <v>0.10291030085833008</v>
      </c>
      <c r="K1133" s="192">
        <f>IFERROR(Inv_SY!K1134/Inv_SY!$P1134-1,"")</f>
        <v>9.0320050066663216E-2</v>
      </c>
      <c r="L1133" s="192">
        <f>IFERROR(Inv_SY!L1134/Inv_SY!$P1134-1,"")</f>
        <v>5.3021989112493451E-2</v>
      </c>
      <c r="M1133" s="192">
        <f>IFERROR(Inv_SY!M1134/Inv_SY!$P1134-1,"")</f>
        <v>8.3784007720698606E-2</v>
      </c>
      <c r="N1133" s="192">
        <f>IFERROR(Inv_SY!N1134/Inv_SY!$P1134-1,"")</f>
        <v>7.5517508452662252E-2</v>
      </c>
      <c r="O1133" s="192">
        <f>IFERROR(Inv_SY!O1134/Inv_SY!$P1134-1,"")</f>
        <v>-0.40555385621084694</v>
      </c>
      <c r="P1133" s="192">
        <f>IFERROR(Inv_SY!J1134/Inv_SY!$Q1134-1,"")</f>
        <v>0</v>
      </c>
      <c r="Q1133" s="192">
        <f>IFERROR(Inv_SY!K1134/Inv_SY!$Q1134-1,"")</f>
        <v>-1.1415480281459556E-2</v>
      </c>
      <c r="R1133" s="192">
        <f>IFERROR(Inv_SY!L1134/Inv_SY!$Q1134-1,"")</f>
        <v>-4.5233335573175548E-2</v>
      </c>
      <c r="S1133" s="192">
        <f>IFERROR(Inv_SY!M1134/Inv_SY!$Q1134-1,"")</f>
        <v>-1.7341657905222796E-2</v>
      </c>
      <c r="T1133" s="192">
        <f>IFERROR(Inv_SY!N1134/Inv_SY!$Q1134-1,"")</f>
        <v>-2.483682706050494E-2</v>
      </c>
      <c r="U1133" s="193">
        <f>IFERROR(Inv_SY!O1134/Inv_SY!$Q1134-1,"")</f>
        <v>-0.46102040816326528</v>
      </c>
    </row>
    <row r="1134" spans="1:21">
      <c r="A1134" s="91" t="s">
        <v>4</v>
      </c>
      <c r="B1134" s="191">
        <v>5</v>
      </c>
      <c r="C1134" s="91">
        <v>2024</v>
      </c>
      <c r="D1134" s="91" t="s">
        <v>211</v>
      </c>
      <c r="E1134" s="91" t="s">
        <v>211</v>
      </c>
      <c r="F1134" s="92">
        <v>45778</v>
      </c>
      <c r="G1134" s="191">
        <f t="shared" si="45"/>
        <v>31</v>
      </c>
      <c r="H1134" s="93">
        <f t="shared" si="42"/>
        <v>45784</v>
      </c>
      <c r="I1134" s="145">
        <f>_xlfn.XLOOKUP(Table5[[#This Row],[Month Year]],'Modelling New'!D:D,'Modelling New'!N:N)</f>
        <v>10.507</v>
      </c>
      <c r="J1134" s="192">
        <f>IFERROR(Inv_SY!J1135/Inv_SY!$P1135-1,"")</f>
        <v>9.1423196014909003E-2</v>
      </c>
      <c r="K1134" s="192">
        <f>IFERROR(Inv_SY!K1135/Inv_SY!$P1135-1,"")</f>
        <v>7.7123257177510229E-2</v>
      </c>
      <c r="L1134" s="192">
        <f>IFERROR(Inv_SY!L1135/Inv_SY!$P1135-1,"")</f>
        <v>6.0667482852604593E-2</v>
      </c>
      <c r="M1134" s="192">
        <f>IFERROR(Inv_SY!M1135/Inv_SY!$P1135-1,"")</f>
        <v>8.1104038124680145E-2</v>
      </c>
      <c r="N1134" s="192">
        <f>IFERROR(Inv_SY!N1135/Inv_SY!$P1135-1,"")</f>
        <v>6.9867240178134615E-2</v>
      </c>
      <c r="O1134" s="192">
        <f>IFERROR(Inv_SY!O1135/Inv_SY!$P1135-1,"")</f>
        <v>-0.38018521434783903</v>
      </c>
      <c r="P1134" s="192">
        <f>IFERROR(Inv_SY!J1135/Inv_SY!$Q1135-1,"")</f>
        <v>0</v>
      </c>
      <c r="Q1134" s="192">
        <f>IFERROR(Inv_SY!K1135/Inv_SY!$Q1135-1,"")</f>
        <v>-1.3102102731196941E-2</v>
      </c>
      <c r="R1134" s="192">
        <f>IFERROR(Inv_SY!L1135/Inv_SY!$Q1135-1,"")</f>
        <v>-2.8179457129555163E-2</v>
      </c>
      <c r="S1134" s="192">
        <f>IFERROR(Inv_SY!M1135/Inv_SY!$Q1135-1,"")</f>
        <v>-9.4547723815170404E-3</v>
      </c>
      <c r="T1134" s="192">
        <f>IFERROR(Inv_SY!N1135/Inv_SY!$Q1135-1,"")</f>
        <v>-1.9750318589050631E-2</v>
      </c>
      <c r="U1134" s="193">
        <f>IFERROR(Inv_SY!O1135/Inv_SY!$Q1135-1,"")</f>
        <v>-0.43210407483066338</v>
      </c>
    </row>
    <row r="1135" spans="1:21">
      <c r="A1135" s="91" t="s">
        <v>4</v>
      </c>
      <c r="B1135" s="191">
        <v>5</v>
      </c>
      <c r="C1135" s="91">
        <v>2024</v>
      </c>
      <c r="D1135" s="91" t="s">
        <v>211</v>
      </c>
      <c r="E1135" s="91" t="s">
        <v>211</v>
      </c>
      <c r="F1135" s="92">
        <v>45778</v>
      </c>
      <c r="G1135" s="191">
        <f t="shared" si="45"/>
        <v>31</v>
      </c>
      <c r="H1135" s="93">
        <f t="shared" si="42"/>
        <v>45785</v>
      </c>
      <c r="I1135" s="145">
        <f>_xlfn.XLOOKUP(Table5[[#This Row],[Month Year]],'Modelling New'!D:D,'Modelling New'!N:N)</f>
        <v>10.507</v>
      </c>
      <c r="J1135" s="192">
        <f>IFERROR(Inv_SY!J1136/Inv_SY!$P1136-1,"")</f>
        <v>8.7457855470749912E-2</v>
      </c>
      <c r="K1135" s="192">
        <f>IFERROR(Inv_SY!K1136/Inv_SY!$P1136-1,"")</f>
        <v>8.4433032347803083E-2</v>
      </c>
      <c r="L1135" s="192">
        <f>IFERROR(Inv_SY!L1136/Inv_SY!$P1136-1,"")</f>
        <v>6.3205089291983763E-2</v>
      </c>
      <c r="M1135" s="192">
        <f>IFERROR(Inv_SY!M1136/Inv_SY!$P1136-1,"")</f>
        <v>8.3545519959897785E-2</v>
      </c>
      <c r="N1135" s="192">
        <f>IFERROR(Inv_SY!N1136/Inv_SY!$P1136-1,"")</f>
        <v>5.4289464436498402E-2</v>
      </c>
      <c r="O1135" s="192">
        <f>IFERROR(Inv_SY!O1136/Inv_SY!$P1136-1,"")</f>
        <v>-0.37293096150693217</v>
      </c>
      <c r="P1135" s="192">
        <f>IFERROR(Inv_SY!J1136/Inv_SY!$Q1136-1,"")</f>
        <v>0</v>
      </c>
      <c r="Q1135" s="192">
        <f>IFERROR(Inv_SY!K1136/Inv_SY!$Q1136-1,"")</f>
        <v>-2.7815543450531166E-3</v>
      </c>
      <c r="R1135" s="192">
        <f>IFERROR(Inv_SY!L1136/Inv_SY!$Q1136-1,"")</f>
        <v>-2.2302258479954928E-2</v>
      </c>
      <c r="S1135" s="192">
        <f>IFERROR(Inv_SY!M1136/Inv_SY!$Q1136-1,"")</f>
        <v>-3.5976893184136438E-3</v>
      </c>
      <c r="T1135" s="192">
        <f>IFERROR(Inv_SY!N1136/Inv_SY!$Q1136-1,"")</f>
        <v>-3.0500851934067152E-2</v>
      </c>
      <c r="U1135" s="193">
        <f>IFERROR(Inv_SY!O1136/Inv_SY!$Q1136-1,"")</f>
        <v>-0.42336244541484713</v>
      </c>
    </row>
    <row r="1136" spans="1:21">
      <c r="A1136" s="91" t="s">
        <v>4</v>
      </c>
      <c r="B1136" s="191">
        <v>5</v>
      </c>
      <c r="C1136" s="91">
        <v>2024</v>
      </c>
      <c r="D1136" s="91" t="s">
        <v>211</v>
      </c>
      <c r="E1136" s="91" t="s">
        <v>211</v>
      </c>
      <c r="F1136" s="92">
        <v>45778</v>
      </c>
      <c r="G1136" s="191">
        <f t="shared" si="45"/>
        <v>31</v>
      </c>
      <c r="H1136" s="93">
        <f t="shared" si="42"/>
        <v>45786</v>
      </c>
      <c r="I1136" s="145">
        <f>_xlfn.XLOOKUP(Table5[[#This Row],[Month Year]],'Modelling New'!D:D,'Modelling New'!N:N)</f>
        <v>10.507</v>
      </c>
      <c r="J1136" s="192">
        <f>IFERROR(Inv_SY!J1137/Inv_SY!$P1137-1,"")</f>
        <v>9.1040643467943605E-2</v>
      </c>
      <c r="K1136" s="192">
        <f>IFERROR(Inv_SY!K1137/Inv_SY!$P1137-1,"")</f>
        <v>8.0679780294992121E-2</v>
      </c>
      <c r="L1136" s="192">
        <f>IFERROR(Inv_SY!L1137/Inv_SY!$P1137-1,"")</f>
        <v>5.4705873166071228E-2</v>
      </c>
      <c r="M1136" s="192">
        <f>IFERROR(Inv_SY!M1137/Inv_SY!$P1137-1,"")</f>
        <v>5.7342916520689347E-2</v>
      </c>
      <c r="N1136" s="192">
        <f>IFERROR(Inv_SY!N1137/Inv_SY!$P1137-1,"")</f>
        <v>4.1420871000224402E-2</v>
      </c>
      <c r="O1136" s="192">
        <f>IFERROR(Inv_SY!O1137/Inv_SY!$P1137-1,"")</f>
        <v>-0.32519008444992059</v>
      </c>
      <c r="P1136" s="192">
        <f>IFERROR(Inv_SY!J1137/Inv_SY!$Q1137-1,"")</f>
        <v>0</v>
      </c>
      <c r="Q1136" s="192">
        <f>IFERROR(Inv_SY!K1137/Inv_SY!$Q1137-1,"")</f>
        <v>-9.4963127496505706E-3</v>
      </c>
      <c r="R1136" s="192">
        <f>IFERROR(Inv_SY!L1137/Inv_SY!$Q1137-1,"")</f>
        <v>-3.3302856790357382E-2</v>
      </c>
      <c r="S1136" s="192">
        <f>IFERROR(Inv_SY!M1137/Inv_SY!$Q1137-1,"")</f>
        <v>-3.0885858514073217E-2</v>
      </c>
      <c r="T1136" s="192">
        <f>IFERROR(Inv_SY!N1137/Inv_SY!$Q1137-1,"")</f>
        <v>-4.5479307086122356E-2</v>
      </c>
      <c r="U1136" s="193">
        <f>IFERROR(Inv_SY!O1137/Inv_SY!$Q1137-1,"")</f>
        <v>-0.38149882903981258</v>
      </c>
    </row>
    <row r="1137" spans="1:21">
      <c r="A1137" s="91" t="s">
        <v>4</v>
      </c>
      <c r="B1137" s="191">
        <v>5</v>
      </c>
      <c r="C1137" s="91">
        <v>2024</v>
      </c>
      <c r="D1137" s="91" t="s">
        <v>211</v>
      </c>
      <c r="E1137" s="91" t="s">
        <v>211</v>
      </c>
      <c r="F1137" s="92">
        <v>45778</v>
      </c>
      <c r="G1137" s="191">
        <f t="shared" si="45"/>
        <v>31</v>
      </c>
      <c r="H1137" s="93">
        <f t="shared" si="42"/>
        <v>45787</v>
      </c>
      <c r="I1137" s="145">
        <f>_xlfn.XLOOKUP(Table5[[#This Row],[Month Year]],'Modelling New'!D:D,'Modelling New'!N:N)</f>
        <v>10.507</v>
      </c>
      <c r="J1137" s="192">
        <f>IFERROR(Inv_SY!J1138/Inv_SY!$P1138-1,"")</f>
        <v>0.10840537074948897</v>
      </c>
      <c r="K1137" s="192">
        <f>IFERROR(Inv_SY!K1138/Inv_SY!$P1138-1,"")</f>
        <v>9.0150385006387168E-2</v>
      </c>
      <c r="L1137" s="192">
        <f>IFERROR(Inv_SY!L1138/Inv_SY!$P1138-1,"")</f>
        <v>6.7106698546278709E-2</v>
      </c>
      <c r="M1137" s="192">
        <f>IFERROR(Inv_SY!M1138/Inv_SY!$P1138-1,"")</f>
        <v>7.0218704104815899E-2</v>
      </c>
      <c r="N1137" s="192">
        <f>IFERROR(Inv_SY!N1138/Inv_SY!$P1138-1,"")</f>
        <v>6.5489274282313881E-2</v>
      </c>
      <c r="O1137" s="192">
        <f>IFERROR(Inv_SY!O1138/Inv_SY!$P1138-1,"")</f>
        <v>-0.40137043268928418</v>
      </c>
      <c r="P1137" s="192">
        <f>IFERROR(Inv_SY!J1138/Inv_SY!$Q1138-1,"")</f>
        <v>0</v>
      </c>
      <c r="Q1137" s="192">
        <f>IFERROR(Inv_SY!K1138/Inv_SY!$Q1138-1,"")</f>
        <v>-1.6469593367955282E-2</v>
      </c>
      <c r="R1137" s="192">
        <f>IFERROR(Inv_SY!L1138/Inv_SY!$Q1138-1,"")</f>
        <v>-3.7259538155507643E-2</v>
      </c>
      <c r="S1137" s="192">
        <f>IFERROR(Inv_SY!M1138/Inv_SY!$Q1138-1,"")</f>
        <v>-3.4451896077381639E-2</v>
      </c>
      <c r="T1137" s="192">
        <f>IFERROR(Inv_SY!N1138/Inv_SY!$Q1138-1,"")</f>
        <v>-3.8718773473784052E-2</v>
      </c>
      <c r="U1137" s="193">
        <f>IFERROR(Inv_SY!O1138/Inv_SY!$Q1138-1,"")</f>
        <v>-0.459918200408998</v>
      </c>
    </row>
    <row r="1138" spans="1:21">
      <c r="A1138" s="91" t="s">
        <v>4</v>
      </c>
      <c r="B1138" s="191">
        <v>5</v>
      </c>
      <c r="C1138" s="91">
        <v>2024</v>
      </c>
      <c r="D1138" s="91" t="s">
        <v>211</v>
      </c>
      <c r="E1138" s="91" t="s">
        <v>211</v>
      </c>
      <c r="F1138" s="92">
        <v>45778</v>
      </c>
      <c r="G1138" s="191">
        <f t="shared" si="45"/>
        <v>31</v>
      </c>
      <c r="H1138" s="93">
        <f t="shared" si="42"/>
        <v>45788</v>
      </c>
      <c r="I1138" s="145">
        <f>_xlfn.XLOOKUP(Table5[[#This Row],[Month Year]],'Modelling New'!D:D,'Modelling New'!N:N)</f>
        <v>10.507</v>
      </c>
      <c r="J1138" s="192">
        <f>IFERROR(Inv_SY!J1139/Inv_SY!$P1139-1,"")</f>
        <v>5.4919513097812622E-2</v>
      </c>
      <c r="K1138" s="192">
        <f>IFERROR(Inv_SY!K1139/Inv_SY!$P1139-1,"")</f>
        <v>7.5818607978197727E-2</v>
      </c>
      <c r="L1138" s="192">
        <f>IFERROR(Inv_SY!L1139/Inv_SY!$P1139-1,"")</f>
        <v>7.9294105669069692E-2</v>
      </c>
      <c r="M1138" s="192">
        <f>IFERROR(Inv_SY!M1139/Inv_SY!$P1139-1,"")</f>
        <v>8.382625903290819E-2</v>
      </c>
      <c r="N1138" s="192">
        <f>IFERROR(Inv_SY!N1139/Inv_SY!$P1139-1,"")</f>
        <v>8.640123303163838E-2</v>
      </c>
      <c r="O1138" s="192">
        <f>IFERROR(Inv_SY!O1139/Inv_SY!$P1139-1,"")</f>
        <v>-0.38025971880962661</v>
      </c>
      <c r="P1138" s="192">
        <f>IFERROR(Inv_SY!J1139/Inv_SY!$Q1139-1,"")</f>
        <v>-2.8977986195740102E-2</v>
      </c>
      <c r="Q1138" s="192">
        <f>IFERROR(Inv_SY!K1139/Inv_SY!$Q1139-1,"")</f>
        <v>-9.7409913866810527E-3</v>
      </c>
      <c r="R1138" s="192">
        <f>IFERROR(Inv_SY!L1139/Inv_SY!$Q1139-1,"")</f>
        <v>-6.541899204897117E-3</v>
      </c>
      <c r="S1138" s="192">
        <f>IFERROR(Inv_SY!M1139/Inv_SY!$Q1139-1,"")</f>
        <v>-2.3701869258236918E-3</v>
      </c>
      <c r="T1138" s="192">
        <f>IFERROR(Inv_SY!N1139/Inv_SY!$Q1139-1,"")</f>
        <v>0</v>
      </c>
      <c r="U1138" s="193">
        <f>IFERROR(Inv_SY!O1139/Inv_SY!$Q1139-1,"")</f>
        <v>-0.4295475167485151</v>
      </c>
    </row>
    <row r="1139" spans="1:21">
      <c r="A1139" s="91" t="s">
        <v>4</v>
      </c>
      <c r="B1139" s="191">
        <v>5</v>
      </c>
      <c r="C1139" s="91">
        <v>2024</v>
      </c>
      <c r="D1139" s="91" t="s">
        <v>211</v>
      </c>
      <c r="E1139" s="91" t="s">
        <v>211</v>
      </c>
      <c r="F1139" s="92">
        <v>45778</v>
      </c>
      <c r="G1139" s="191">
        <f t="shared" si="45"/>
        <v>31</v>
      </c>
      <c r="H1139" s="93">
        <f t="shared" si="42"/>
        <v>45789</v>
      </c>
      <c r="I1139" s="145">
        <f>_xlfn.XLOOKUP(Table5[[#This Row],[Month Year]],'Modelling New'!D:D,'Modelling New'!N:N)</f>
        <v>10.507</v>
      </c>
      <c r="J1139" s="192">
        <f>IFERROR(Inv_SY!J1140/Inv_SY!$P1140-1,"")</f>
        <v>8.1552974561444058E-2</v>
      </c>
      <c r="K1139" s="192">
        <f>IFERROR(Inv_SY!K1140/Inv_SY!$P1140-1,"")</f>
        <v>6.787798935032896E-2</v>
      </c>
      <c r="L1139" s="192">
        <f>IFERROR(Inv_SY!L1140/Inv_SY!$P1140-1,"")</f>
        <v>7.075237869107065E-2</v>
      </c>
      <c r="M1139" s="192">
        <f>IFERROR(Inv_SY!M1140/Inv_SY!$P1140-1,"")</f>
        <v>6.9599972356800155E-2</v>
      </c>
      <c r="N1139" s="192">
        <f>IFERROR(Inv_SY!N1140/Inv_SY!$P1140-1,"")</f>
        <v>4.9093804397659646E-2</v>
      </c>
      <c r="O1139" s="192">
        <f>IFERROR(Inv_SY!O1140/Inv_SY!$P1140-1,"")</f>
        <v>-0.33887711935730269</v>
      </c>
      <c r="P1139" s="192">
        <f>IFERROR(Inv_SY!J1140/Inv_SY!$Q1140-1,"")</f>
        <v>0</v>
      </c>
      <c r="Q1139" s="192">
        <f>IFERROR(Inv_SY!K1140/Inv_SY!$Q1140-1,"")</f>
        <v>-1.264384226455495E-2</v>
      </c>
      <c r="R1139" s="192">
        <f>IFERROR(Inv_SY!L1140/Inv_SY!$Q1140-1,"")</f>
        <v>-9.9861921925303854E-3</v>
      </c>
      <c r="S1139" s="192">
        <f>IFERROR(Inv_SY!M1140/Inv_SY!$Q1140-1,"")</f>
        <v>-1.1051702954717246E-2</v>
      </c>
      <c r="T1139" s="192">
        <f>IFERROR(Inv_SY!N1140/Inv_SY!$Q1140-1,"")</f>
        <v>-3.0011632279913325E-2</v>
      </c>
      <c r="U1139" s="193">
        <f>IFERROR(Inv_SY!O1140/Inv_SY!$Q1140-1,"")</f>
        <v>-0.38872815646337233</v>
      </c>
    </row>
    <row r="1140" spans="1:21">
      <c r="A1140" s="91" t="s">
        <v>4</v>
      </c>
      <c r="B1140" s="191">
        <v>5</v>
      </c>
      <c r="C1140" s="91">
        <v>2024</v>
      </c>
      <c r="D1140" s="91" t="s">
        <v>211</v>
      </c>
      <c r="E1140" s="91" t="s">
        <v>211</v>
      </c>
      <c r="F1140" s="92">
        <v>45778</v>
      </c>
      <c r="G1140" s="191">
        <f t="shared" si="45"/>
        <v>31</v>
      </c>
      <c r="H1140" s="93">
        <f t="shared" si="42"/>
        <v>45790</v>
      </c>
      <c r="I1140" s="145">
        <f>_xlfn.XLOOKUP(Table5[[#This Row],[Month Year]],'Modelling New'!D:D,'Modelling New'!N:N)</f>
        <v>10.507</v>
      </c>
      <c r="J1140" s="192">
        <f>IFERROR(Inv_SY!J1141/Inv_SY!$P1141-1,"")</f>
        <v>9.5484018349588862E-2</v>
      </c>
      <c r="K1140" s="192">
        <f>IFERROR(Inv_SY!K1141/Inv_SY!$P1141-1,"")</f>
        <v>7.6995932599418948E-2</v>
      </c>
      <c r="L1140" s="192">
        <f>IFERROR(Inv_SY!L1141/Inv_SY!$P1141-1,"")</f>
        <v>6.0495251599501199E-2</v>
      </c>
      <c r="M1140" s="192">
        <f>IFERROR(Inv_SY!M1141/Inv_SY!$P1141-1,"")</f>
        <v>6.1425121914442604E-2</v>
      </c>
      <c r="N1140" s="192">
        <f>IFERROR(Inv_SY!N1141/Inv_SY!$P1141-1,"")</f>
        <v>6.4950142219672991E-2</v>
      </c>
      <c r="O1140" s="192">
        <f>IFERROR(Inv_SY!O1141/Inv_SY!$P1141-1,"")</f>
        <v>-0.35935046668262527</v>
      </c>
      <c r="P1140" s="192">
        <f>IFERROR(Inv_SY!J1141/Inv_SY!$Q1141-1,"")</f>
        <v>0</v>
      </c>
      <c r="Q1140" s="192">
        <f>IFERROR(Inv_SY!K1141/Inv_SY!$Q1141-1,"")</f>
        <v>-1.6876636665154821E-2</v>
      </c>
      <c r="R1140" s="192">
        <f>IFERROR(Inv_SY!L1141/Inv_SY!$Q1141-1,"")</f>
        <v>-3.1939093737579305E-2</v>
      </c>
      <c r="S1140" s="192">
        <f>IFERROR(Inv_SY!M1141/Inv_SY!$Q1141-1,"")</f>
        <v>-3.1090272303979427E-2</v>
      </c>
      <c r="T1140" s="192">
        <f>IFERROR(Inv_SY!N1141/Inv_SY!$Q1141-1,"")</f>
        <v>-2.7872498017741054E-2</v>
      </c>
      <c r="U1140" s="193">
        <f>IFERROR(Inv_SY!O1141/Inv_SY!$Q1141-1,"")</f>
        <v>-0.4151904340124003</v>
      </c>
    </row>
    <row r="1141" spans="1:21">
      <c r="A1141" s="91" t="s">
        <v>4</v>
      </c>
      <c r="B1141" s="191">
        <v>5</v>
      </c>
      <c r="C1141" s="91">
        <v>2024</v>
      </c>
      <c r="D1141" s="91" t="s">
        <v>211</v>
      </c>
      <c r="E1141" s="91" t="s">
        <v>211</v>
      </c>
      <c r="F1141" s="92">
        <v>45778</v>
      </c>
      <c r="G1141" s="191">
        <f t="shared" si="45"/>
        <v>31</v>
      </c>
      <c r="H1141" s="93">
        <f t="shared" si="42"/>
        <v>45791</v>
      </c>
      <c r="I1141" s="145">
        <f>_xlfn.XLOOKUP(Table5[[#This Row],[Month Year]],'Modelling New'!D:D,'Modelling New'!N:N)</f>
        <v>10.507</v>
      </c>
      <c r="J1141" s="192">
        <f>IFERROR(Inv_SY!J1142/Inv_SY!$P1142-1,"")</f>
        <v>6.8153153400514199E-2</v>
      </c>
      <c r="K1141" s="192">
        <f>IFERROR(Inv_SY!K1142/Inv_SY!$P1142-1,"")</f>
        <v>5.9023232130759107E-2</v>
      </c>
      <c r="L1141" s="192">
        <f>IFERROR(Inv_SY!L1142/Inv_SY!$P1142-1,"")</f>
        <v>5.6317162214817751E-2</v>
      </c>
      <c r="M1141" s="192">
        <f>IFERROR(Inv_SY!M1142/Inv_SY!$P1142-1,"")</f>
        <v>6.8908705608738741E-2</v>
      </c>
      <c r="N1141" s="192">
        <f>IFERROR(Inv_SY!N1142/Inv_SY!$P1142-1,"")</f>
        <v>5.0281598299908303E-2</v>
      </c>
      <c r="O1141" s="192">
        <f>IFERROR(Inv_SY!O1142/Inv_SY!$P1142-1,"")</f>
        <v>-0.30268385165473788</v>
      </c>
      <c r="P1141" s="192">
        <f>IFERROR(Inv_SY!J1142/Inv_SY!$Q1142-1,"")</f>
        <v>-7.0684447068303236E-4</v>
      </c>
      <c r="Q1141" s="192">
        <f>IFERROR(Inv_SY!K1142/Inv_SY!$Q1142-1,"")</f>
        <v>-9.2481925033530699E-3</v>
      </c>
      <c r="R1141" s="192">
        <f>IFERROR(Inv_SY!L1142/Inv_SY!$Q1142-1,"")</f>
        <v>-1.1779811809793594E-2</v>
      </c>
      <c r="S1141" s="192">
        <f>IFERROR(Inv_SY!M1142/Inv_SY!$Q1142-1,"")</f>
        <v>0</v>
      </c>
      <c r="T1141" s="192">
        <f>IFERROR(Inv_SY!N1142/Inv_SY!$Q1142-1,"")</f>
        <v>-1.7426284593895613E-2</v>
      </c>
      <c r="U1141" s="193">
        <f>IFERROR(Inv_SY!O1142/Inv_SY!$Q1142-1,"")</f>
        <v>-0.34763731955186605</v>
      </c>
    </row>
    <row r="1142" spans="1:21">
      <c r="A1142" s="91" t="s">
        <v>4</v>
      </c>
      <c r="B1142" s="191">
        <v>5</v>
      </c>
      <c r="C1142" s="91">
        <v>2024</v>
      </c>
      <c r="D1142" s="91" t="s">
        <v>211</v>
      </c>
      <c r="E1142" s="91" t="s">
        <v>211</v>
      </c>
      <c r="F1142" s="92">
        <v>45778</v>
      </c>
      <c r="G1142" s="191">
        <f t="shared" si="45"/>
        <v>31</v>
      </c>
      <c r="H1142" s="93">
        <f t="shared" si="42"/>
        <v>45792</v>
      </c>
      <c r="I1142" s="145">
        <f>_xlfn.XLOOKUP(Table5[[#This Row],[Month Year]],'Modelling New'!D:D,'Modelling New'!N:N)</f>
        <v>10.507</v>
      </c>
      <c r="J1142" s="192">
        <f>IFERROR(Inv_SY!J1143/Inv_SY!$P1143-1,"")</f>
        <v>5.5775698039789212E-2</v>
      </c>
      <c r="K1142" s="192">
        <f>IFERROR(Inv_SY!K1143/Inv_SY!$P1143-1,"")</f>
        <v>4.6508058886598924E-2</v>
      </c>
      <c r="L1142" s="192">
        <f>IFERROR(Inv_SY!L1143/Inv_SY!$P1143-1,"")</f>
        <v>5.7899483150373632E-2</v>
      </c>
      <c r="M1142" s="192">
        <f>IFERROR(Inv_SY!M1143/Inv_SY!$P1143-1,"")</f>
        <v>6.5914802097831293E-2</v>
      </c>
      <c r="N1142" s="192">
        <f>IFERROR(Inv_SY!N1143/Inv_SY!$P1143-1,"")</f>
        <v>5.461816612591508E-2</v>
      </c>
      <c r="O1142" s="192">
        <f>IFERROR(Inv_SY!O1143/Inv_SY!$P1143-1,"")</f>
        <v>-0.28071620830050736</v>
      </c>
      <c r="P1142" s="192">
        <f>IFERROR(Inv_SY!J1143/Inv_SY!$Q1143-1,"")</f>
        <v>-9.5121148876884387E-3</v>
      </c>
      <c r="Q1142" s="192">
        <f>IFERROR(Inv_SY!K1143/Inv_SY!$Q1143-1,"")</f>
        <v>-1.820665514076536E-2</v>
      </c>
      <c r="R1142" s="192">
        <f>IFERROR(Inv_SY!L1143/Inv_SY!$Q1143-1,"")</f>
        <v>-7.5196619201486348E-3</v>
      </c>
      <c r="S1142" s="192">
        <f>IFERROR(Inv_SY!M1143/Inv_SY!$Q1143-1,"")</f>
        <v>0</v>
      </c>
      <c r="T1142" s="192">
        <f>IFERROR(Inv_SY!N1143/Inv_SY!$Q1143-1,"")</f>
        <v>-1.0598066514962867E-2</v>
      </c>
      <c r="U1142" s="193">
        <f>IFERROR(Inv_SY!O1143/Inv_SY!$Q1143-1,"")</f>
        <v>-0.3251957939941662</v>
      </c>
    </row>
    <row r="1143" spans="1:21">
      <c r="A1143" s="91" t="s">
        <v>4</v>
      </c>
      <c r="B1143" s="191">
        <v>5</v>
      </c>
      <c r="C1143" s="91">
        <v>2024</v>
      </c>
      <c r="D1143" s="91" t="s">
        <v>211</v>
      </c>
      <c r="E1143" s="91" t="s">
        <v>211</v>
      </c>
      <c r="F1143" s="92">
        <v>45778</v>
      </c>
      <c r="G1143" s="191">
        <f t="shared" si="45"/>
        <v>31</v>
      </c>
      <c r="H1143" s="93">
        <f t="shared" si="42"/>
        <v>45793</v>
      </c>
      <c r="I1143" s="145">
        <f>_xlfn.XLOOKUP(Table5[[#This Row],[Month Year]],'Modelling New'!D:D,'Modelling New'!N:N)</f>
        <v>10.507</v>
      </c>
      <c r="J1143" s="192">
        <f>IFERROR(Inv_SY!J1144/Inv_SY!$P1144-1,"")</f>
        <v>5.9743750420664599E-2</v>
      </c>
      <c r="K1143" s="192">
        <f>IFERROR(Inv_SY!K1144/Inv_SY!$P1144-1,"")</f>
        <v>5.6223334704367245E-2</v>
      </c>
      <c r="L1143" s="192">
        <f>IFERROR(Inv_SY!L1144/Inv_SY!$P1144-1,"")</f>
        <v>6.7131231190267648E-2</v>
      </c>
      <c r="M1143" s="192">
        <f>IFERROR(Inv_SY!M1144/Inv_SY!$P1144-1,"")</f>
        <v>6.8617229153964399E-2</v>
      </c>
      <c r="N1143" s="192">
        <f>IFERROR(Inv_SY!N1144/Inv_SY!$P1144-1,"")</f>
        <v>5.0594501929221991E-2</v>
      </c>
      <c r="O1143" s="192">
        <f>IFERROR(Inv_SY!O1144/Inv_SY!$P1144-1,"")</f>
        <v>-0.30231004739848566</v>
      </c>
      <c r="P1143" s="192">
        <f>IFERROR(Inv_SY!J1144/Inv_SY!$Q1144-1,"")</f>
        <v>-8.3037017289390169E-3</v>
      </c>
      <c r="Q1143" s="192">
        <f>IFERROR(Inv_SY!K1144/Inv_SY!$Q1144-1,"")</f>
        <v>-1.1598067213841823E-2</v>
      </c>
      <c r="R1143" s="192">
        <f>IFERROR(Inv_SY!L1144/Inv_SY!$Q1144-1,"")</f>
        <v>-1.3905802032343484E-3</v>
      </c>
      <c r="S1143" s="192">
        <f>IFERROR(Inv_SY!M1144/Inv_SY!$Q1144-1,"")</f>
        <v>0</v>
      </c>
      <c r="T1143" s="192">
        <f>IFERROR(Inv_SY!N1144/Inv_SY!$Q1144-1,"")</f>
        <v>-1.6865465700015903E-2</v>
      </c>
      <c r="U1143" s="193">
        <f>IFERROR(Inv_SY!O1144/Inv_SY!$Q1144-1,"")</f>
        <v>-0.34710957902682982</v>
      </c>
    </row>
    <row r="1144" spans="1:21">
      <c r="A1144" s="91" t="s">
        <v>4</v>
      </c>
      <c r="B1144" s="191">
        <v>5</v>
      </c>
      <c r="C1144" s="91">
        <v>2024</v>
      </c>
      <c r="D1144" s="91" t="s">
        <v>211</v>
      </c>
      <c r="E1144" s="91" t="s">
        <v>211</v>
      </c>
      <c r="F1144" s="92">
        <v>45778</v>
      </c>
      <c r="G1144" s="191">
        <f t="shared" si="45"/>
        <v>31</v>
      </c>
      <c r="H1144" s="93">
        <f t="shared" si="42"/>
        <v>45794</v>
      </c>
      <c r="I1144" s="145">
        <f>_xlfn.XLOOKUP(Table5[[#This Row],[Month Year]],'Modelling New'!D:D,'Modelling New'!N:N)</f>
        <v>10.507</v>
      </c>
      <c r="J1144" s="192">
        <f>IFERROR(Inv_SY!J1145/Inv_SY!$P1145-1,"")</f>
        <v>-1.1060811022556738E-2</v>
      </c>
      <c r="K1144" s="192">
        <f>IFERROR(Inv_SY!K1145/Inv_SY!$P1145-1,"")</f>
        <v>-3.1716088226941497E-2</v>
      </c>
      <c r="L1144" s="192">
        <f>IFERROR(Inv_SY!L1145/Inv_SY!$P1145-1,"")</f>
        <v>-3.8965609159120618E-3</v>
      </c>
      <c r="M1144" s="192">
        <f>IFERROR(Inv_SY!M1145/Inv_SY!$P1145-1,"")</f>
        <v>-5.7494060481299014E-3</v>
      </c>
      <c r="N1144" s="192">
        <f>IFERROR(Inv_SY!N1145/Inv_SY!$P1145-1,"")</f>
        <v>-1.9519837701676979E-2</v>
      </c>
      <c r="O1144" s="192">
        <f>IFERROR(Inv_SY!O1145/Inv_SY!$P1145-1,"")</f>
        <v>7.1942703915217621E-2</v>
      </c>
      <c r="P1144" s="192">
        <f>IFERROR(Inv_SY!J1145/Inv_SY!$Q1145-1,"")</f>
        <v>-7.7432790609617608E-2</v>
      </c>
      <c r="Q1144" s="192">
        <f>IFERROR(Inv_SY!K1145/Inv_SY!$Q1145-1,"")</f>
        <v>-9.6701802963489181E-2</v>
      </c>
      <c r="R1144" s="192">
        <f>IFERROR(Inv_SY!L1145/Inv_SY!$Q1145-1,"")</f>
        <v>-7.0749364265581205E-2</v>
      </c>
      <c r="S1144" s="192">
        <f>IFERROR(Inv_SY!M1145/Inv_SY!$Q1145-1,"")</f>
        <v>-7.2477856959687337E-2</v>
      </c>
      <c r="T1144" s="192">
        <f>IFERROR(Inv_SY!N1145/Inv_SY!$Q1145-1,"")</f>
        <v>-8.5324095479014206E-2</v>
      </c>
      <c r="U1144" s="193">
        <f>IFERROR(Inv_SY!O1145/Inv_SY!$Q1145-1,"")</f>
        <v>0</v>
      </c>
    </row>
    <row r="1145" spans="1:21">
      <c r="A1145" s="91" t="s">
        <v>4</v>
      </c>
      <c r="B1145" s="191">
        <v>5</v>
      </c>
      <c r="C1145" s="91">
        <v>2024</v>
      </c>
      <c r="D1145" s="91" t="s">
        <v>211</v>
      </c>
      <c r="E1145" s="91" t="s">
        <v>211</v>
      </c>
      <c r="F1145" s="92">
        <v>45778</v>
      </c>
      <c r="G1145" s="191">
        <f t="shared" si="45"/>
        <v>31</v>
      </c>
      <c r="H1145" s="93">
        <f t="shared" si="42"/>
        <v>45795</v>
      </c>
      <c r="I1145" s="145">
        <f>_xlfn.XLOOKUP(Table5[[#This Row],[Month Year]],'Modelling New'!D:D,'Modelling New'!N:N)</f>
        <v>10.507</v>
      </c>
      <c r="J1145" s="192">
        <f>IFERROR(Inv_SY!J1146/Inv_SY!$P1146-1,"")</f>
        <v>-2.4214157301739814E-2</v>
      </c>
      <c r="K1145" s="192">
        <f>IFERROR(Inv_SY!K1146/Inv_SY!$P1146-1,"")</f>
        <v>5.5513127158068665E-2</v>
      </c>
      <c r="L1145" s="192">
        <f>IFERROR(Inv_SY!L1146/Inv_SY!$P1146-1,"")</f>
        <v>8.3049645158287611E-2</v>
      </c>
      <c r="M1145" s="192">
        <f>IFERROR(Inv_SY!M1146/Inv_SY!$P1146-1,"")</f>
        <v>8.2403811046144693E-2</v>
      </c>
      <c r="N1145" s="192">
        <f>IFERROR(Inv_SY!N1146/Inv_SY!$P1146-1,"")</f>
        <v>7.6396520331537987E-2</v>
      </c>
      <c r="O1145" s="192">
        <f>IFERROR(Inv_SY!O1146/Inv_SY!$P1146-1,"")</f>
        <v>-0.27314894639229859</v>
      </c>
      <c r="P1145" s="192">
        <f>IFERROR(Inv_SY!J1146/Inv_SY!$Q1146-1,"")</f>
        <v>-9.903867559492241E-2</v>
      </c>
      <c r="Q1145" s="192">
        <f>IFERROR(Inv_SY!K1146/Inv_SY!$Q1146-1,"")</f>
        <v>-2.5424982246492145E-2</v>
      </c>
      <c r="R1145" s="192">
        <f>IFERROR(Inv_SY!L1146/Inv_SY!$Q1146-1,"")</f>
        <v>0</v>
      </c>
      <c r="S1145" s="192">
        <f>IFERROR(Inv_SY!M1146/Inv_SY!$Q1146-1,"")</f>
        <v>-5.9631071856236506E-4</v>
      </c>
      <c r="T1145" s="192">
        <f>IFERROR(Inv_SY!N1146/Inv_SY!$Q1146-1,"")</f>
        <v>-6.1429546249260891E-3</v>
      </c>
      <c r="U1145" s="193">
        <f>IFERROR(Inv_SY!O1146/Inv_SY!$Q1146-1,"")</f>
        <v>-0.32888482364862226</v>
      </c>
    </row>
    <row r="1146" spans="1:21">
      <c r="A1146" s="91" t="s">
        <v>4</v>
      </c>
      <c r="B1146" s="191">
        <v>5</v>
      </c>
      <c r="C1146" s="91">
        <v>2024</v>
      </c>
      <c r="D1146" s="91" t="s">
        <v>211</v>
      </c>
      <c r="E1146" s="91" t="s">
        <v>211</v>
      </c>
      <c r="F1146" s="92">
        <v>45778</v>
      </c>
      <c r="G1146" s="191">
        <f t="shared" si="45"/>
        <v>31</v>
      </c>
      <c r="H1146" s="93">
        <f t="shared" si="42"/>
        <v>45796</v>
      </c>
      <c r="I1146" s="145">
        <f>_xlfn.XLOOKUP(Table5[[#This Row],[Month Year]],'Modelling New'!D:D,'Modelling New'!N:N)</f>
        <v>10.507</v>
      </c>
      <c r="J1146" s="192">
        <f>IFERROR(Inv_SY!J1147/Inv_SY!$P1147-1,"")</f>
        <v>-7.2255361111304039E-2</v>
      </c>
      <c r="K1146" s="192">
        <f>IFERROR(Inv_SY!K1147/Inv_SY!$P1147-1,"")</f>
        <v>-9.3274178514285211E-2</v>
      </c>
      <c r="L1146" s="192">
        <f>IFERROR(Inv_SY!L1147/Inv_SY!$P1147-1,"")</f>
        <v>-5.0089521674094084E-2</v>
      </c>
      <c r="M1146" s="192">
        <f>IFERROR(Inv_SY!M1147/Inv_SY!$P1147-1,"")</f>
        <v>-6.1179990199939249E-2</v>
      </c>
      <c r="N1146" s="192">
        <f>IFERROR(Inv_SY!N1147/Inv_SY!$P1147-1,"")</f>
        <v>-5.4817030731380778E-2</v>
      </c>
      <c r="O1146" s="192">
        <f>IFERROR(Inv_SY!O1147/Inv_SY!$P1147-1,"")</f>
        <v>0.33161608223100325</v>
      </c>
      <c r="P1146" s="192">
        <f>IFERROR(Inv_SY!J1147/Inv_SY!$Q1147-1,"")</f>
        <v>-0.30329420673987129</v>
      </c>
      <c r="Q1146" s="192">
        <f>IFERROR(Inv_SY!K1147/Inv_SY!$Q1147-1,"")</f>
        <v>-0.31907864918049278</v>
      </c>
      <c r="R1146" s="192">
        <f>IFERROR(Inv_SY!L1147/Inv_SY!$Q1147-1,"")</f>
        <v>-0.28664838837451101</v>
      </c>
      <c r="S1146" s="192">
        <f>IFERROR(Inv_SY!M1147/Inv_SY!$Q1147-1,"")</f>
        <v>-0.29497696646382343</v>
      </c>
      <c r="T1146" s="192">
        <f>IFERROR(Inv_SY!N1147/Inv_SY!$Q1147-1,"")</f>
        <v>-0.29019859261158065</v>
      </c>
      <c r="U1146" s="193">
        <f>IFERROR(Inv_SY!O1147/Inv_SY!$Q1147-1,"")</f>
        <v>0</v>
      </c>
    </row>
    <row r="1147" spans="1:21">
      <c r="A1147" s="91" t="s">
        <v>4</v>
      </c>
      <c r="B1147" s="191">
        <v>5</v>
      </c>
      <c r="C1147" s="91">
        <v>2024</v>
      </c>
      <c r="D1147" s="91" t="s">
        <v>211</v>
      </c>
      <c r="E1147" s="91" t="s">
        <v>211</v>
      </c>
      <c r="F1147" s="92">
        <v>45778</v>
      </c>
      <c r="G1147" s="212">
        <f t="shared" ref="G1147:G1150" si="46">DAY(EOMONTH(F1147,0))</f>
        <v>31</v>
      </c>
      <c r="H1147" s="213">
        <f t="shared" ref="H1147:H1158" si="47">H1146+1</f>
        <v>45797</v>
      </c>
      <c r="I1147" s="145">
        <f>_xlfn.XLOOKUP(Table5[[#This Row],[Month Year]],'Modelling New'!D:D,'Modelling New'!N:N)</f>
        <v>10.507</v>
      </c>
      <c r="J1147" s="192">
        <f>IFERROR(Inv_SY!J1148/Inv_SY!$P1148-1,"")</f>
        <v>-3.2399437622962934E-2</v>
      </c>
      <c r="K1147" s="192">
        <f>IFERROR(Inv_SY!K1148/Inv_SY!$P1148-1,"")</f>
        <v>-6.2610094174119446E-2</v>
      </c>
      <c r="L1147" s="192">
        <f>IFERROR(Inv_SY!L1148/Inv_SY!$P1148-1,"")</f>
        <v>-3.4858661643829558E-3</v>
      </c>
      <c r="M1147" s="192">
        <f>IFERROR(Inv_SY!M1148/Inv_SY!$P1148-1,"")</f>
        <v>-1.2791695726503294E-2</v>
      </c>
      <c r="N1147" s="192">
        <f>IFERROR(Inv_SY!N1148/Inv_SY!$P1148-1,"")</f>
        <v>-6.0392450208296422E-2</v>
      </c>
      <c r="O1147" s="192">
        <f>IFERROR(Inv_SY!O1148/Inv_SY!$P1148-1,"")</f>
        <v>0.17167954389626527</v>
      </c>
      <c r="P1147" s="192">
        <f>IFERROR(Inv_SY!J1148/Inv_SY!$Q1148-1,"")</f>
        <v>-0.17417644831503221</v>
      </c>
      <c r="Q1147" s="192">
        <f>IFERROR(Inv_SY!K1148/Inv_SY!$Q1148-1,"")</f>
        <v>-0.19996050907510565</v>
      </c>
      <c r="R1147" s="192">
        <f>IFERROR(Inv_SY!L1148/Inv_SY!$Q1148-1,"")</f>
        <v>-0.14949941814137935</v>
      </c>
      <c r="S1147" s="192">
        <f>IFERROR(Inv_SY!M1148/Inv_SY!$Q1148-1,"")</f>
        <v>-0.15744171739086088</v>
      </c>
      <c r="T1147" s="192">
        <f>IFERROR(Inv_SY!N1148/Inv_SY!$Q1148-1,"")</f>
        <v>-0.19806780387480105</v>
      </c>
      <c r="U1147" s="193">
        <f>IFERROR(Inv_SY!O1148/Inv_SY!$Q1148-1,"")</f>
        <v>0</v>
      </c>
    </row>
    <row r="1148" spans="1:21">
      <c r="A1148" s="91" t="s">
        <v>4</v>
      </c>
      <c r="B1148" s="191">
        <v>5</v>
      </c>
      <c r="C1148" s="91">
        <v>2024</v>
      </c>
      <c r="D1148" s="91" t="s">
        <v>211</v>
      </c>
      <c r="E1148" s="91" t="s">
        <v>211</v>
      </c>
      <c r="F1148" s="92">
        <v>45778</v>
      </c>
      <c r="G1148" s="212">
        <f t="shared" si="46"/>
        <v>31</v>
      </c>
      <c r="H1148" s="213">
        <f t="shared" si="47"/>
        <v>45798</v>
      </c>
      <c r="I1148" s="145">
        <f>_xlfn.XLOOKUP(Table5[[#This Row],[Month Year]],'Modelling New'!D:D,'Modelling New'!N:N)</f>
        <v>10.507</v>
      </c>
      <c r="J1148" s="192">
        <f>IFERROR(Inv_SY!J1149/Inv_SY!$P1149-1,"")</f>
        <v>-4.7641434061643784E-3</v>
      </c>
      <c r="K1148" s="192">
        <f>IFERROR(Inv_SY!K1149/Inv_SY!$P1149-1,"")</f>
        <v>-3.0492146131901654E-2</v>
      </c>
      <c r="L1148" s="192">
        <f>IFERROR(Inv_SY!L1149/Inv_SY!$P1149-1,"")</f>
        <v>6.7857207991630641E-3</v>
      </c>
      <c r="M1148" s="192">
        <f>IFERROR(Inv_SY!M1149/Inv_SY!$P1149-1,"")</f>
        <v>4.9795369978100634E-3</v>
      </c>
      <c r="N1148" s="192">
        <f>IFERROR(Inv_SY!N1149/Inv_SY!$P1149-1,"")</f>
        <v>-2.5777589921310629E-2</v>
      </c>
      <c r="O1148" s="192">
        <f>IFERROR(Inv_SY!O1149/Inv_SY!$P1149-1,"")</f>
        <v>4.92686216624032E-2</v>
      </c>
      <c r="P1148" s="192">
        <f>IFERROR(Inv_SY!J1149/Inv_SY!$Q1149-1,"")</f>
        <v>-5.149564558879216E-2</v>
      </c>
      <c r="Q1148" s="192">
        <f>IFERROR(Inv_SY!K1149/Inv_SY!$Q1149-1,"")</f>
        <v>-7.6015584710744766E-2</v>
      </c>
      <c r="R1148" s="192">
        <f>IFERROR(Inv_SY!L1149/Inv_SY!$Q1149-1,"")</f>
        <v>-4.048810760769006E-2</v>
      </c>
      <c r="S1148" s="192">
        <f>IFERROR(Inv_SY!M1149/Inv_SY!$Q1149-1,"")</f>
        <v>-4.220948168108174E-2</v>
      </c>
      <c r="T1148" s="192">
        <f>IFERROR(Inv_SY!N1149/Inv_SY!$Q1149-1,"")</f>
        <v>-7.1522401446461603E-2</v>
      </c>
      <c r="U1148" s="193">
        <f>IFERROR(Inv_SY!O1149/Inv_SY!$Q1149-1,"")</f>
        <v>0</v>
      </c>
    </row>
    <row r="1149" spans="1:21">
      <c r="A1149" s="91" t="s">
        <v>4</v>
      </c>
      <c r="B1149" s="191">
        <v>5</v>
      </c>
      <c r="C1149" s="91">
        <v>2024</v>
      </c>
      <c r="D1149" s="91" t="s">
        <v>211</v>
      </c>
      <c r="E1149" s="91" t="s">
        <v>211</v>
      </c>
      <c r="F1149" s="92">
        <v>45778</v>
      </c>
      <c r="G1149" s="212">
        <f t="shared" si="46"/>
        <v>31</v>
      </c>
      <c r="H1149" s="213">
        <f t="shared" si="47"/>
        <v>45799</v>
      </c>
      <c r="I1149" s="145">
        <f>_xlfn.XLOOKUP(Table5[[#This Row],[Month Year]],'Modelling New'!D:D,'Modelling New'!N:N)</f>
        <v>10.507</v>
      </c>
      <c r="J1149" s="192">
        <f>IFERROR(Inv_SY!J1150/Inv_SY!$P1150-1,"")</f>
        <v>6.7899379842037089E-2</v>
      </c>
      <c r="K1149" s="192">
        <f>IFERROR(Inv_SY!K1150/Inv_SY!$P1150-1,"")</f>
        <v>1.8866481120616951E-2</v>
      </c>
      <c r="L1149" s="192">
        <f>IFERROR(Inv_SY!L1150/Inv_SY!$P1150-1,"")</f>
        <v>4.2492590724529489E-2</v>
      </c>
      <c r="M1149" s="192">
        <f>IFERROR(Inv_SY!M1150/Inv_SY!$P1150-1,"")</f>
        <v>3.8710700001906906E-2</v>
      </c>
      <c r="N1149" s="192">
        <f>IFERROR(Inv_SY!N1150/Inv_SY!$P1150-1,"")</f>
        <v>1.9492023141558068E-2</v>
      </c>
      <c r="O1149" s="192">
        <f>IFERROR(Inv_SY!O1150/Inv_SY!$P1150-1,"")</f>
        <v>-0.18746117483064839</v>
      </c>
      <c r="P1149" s="192">
        <f>IFERROR(Inv_SY!J1150/Inv_SY!$Q1150-1,"")</f>
        <v>0</v>
      </c>
      <c r="Q1149" s="192">
        <f>IFERROR(Inv_SY!K1150/Inv_SY!$Q1150-1,"")</f>
        <v>-4.5915279704229151E-2</v>
      </c>
      <c r="R1149" s="192">
        <f>IFERROR(Inv_SY!L1150/Inv_SY!$Q1150-1,"")</f>
        <v>-2.3791369858521372E-2</v>
      </c>
      <c r="S1149" s="192">
        <f>IFERROR(Inv_SY!M1150/Inv_SY!$Q1150-1,"")</f>
        <v>-2.7332799691715981E-2</v>
      </c>
      <c r="T1149" s="192">
        <f>IFERROR(Inv_SY!N1150/Inv_SY!$Q1150-1,"")</f>
        <v>-4.5329511014080004E-2</v>
      </c>
      <c r="U1149" s="193">
        <f>IFERROR(Inv_SY!O1150/Inv_SY!$Q1150-1,"")</f>
        <v>-0.23912417170844147</v>
      </c>
    </row>
    <row r="1150" spans="1:21">
      <c r="A1150" s="91" t="s">
        <v>4</v>
      </c>
      <c r="B1150" s="191">
        <v>5</v>
      </c>
      <c r="C1150" s="91">
        <v>2024</v>
      </c>
      <c r="D1150" s="91" t="s">
        <v>211</v>
      </c>
      <c r="E1150" s="91" t="s">
        <v>211</v>
      </c>
      <c r="F1150" s="92">
        <v>45778</v>
      </c>
      <c r="G1150" s="212">
        <f t="shared" si="46"/>
        <v>31</v>
      </c>
      <c r="H1150" s="213">
        <f t="shared" si="47"/>
        <v>45800</v>
      </c>
      <c r="I1150" s="145">
        <f>_xlfn.XLOOKUP(Table5[[#This Row],[Month Year]],'Modelling New'!D:D,'Modelling New'!N:N)</f>
        <v>10.507</v>
      </c>
      <c r="J1150" s="192">
        <f>IFERROR(Inv_SY!J1151/Inv_SY!$P1151-1,"")</f>
        <v>7.4033467337765169E-2</v>
      </c>
      <c r="K1150" s="192">
        <f>IFERROR(Inv_SY!K1151/Inv_SY!$P1151-1,"")</f>
        <v>6.0167000103881207E-3</v>
      </c>
      <c r="L1150" s="192">
        <f>IFERROR(Inv_SY!L1151/Inv_SY!$P1151-1,"")</f>
        <v>4.1851466715724372E-2</v>
      </c>
      <c r="M1150" s="192">
        <f>IFERROR(Inv_SY!M1151/Inv_SY!$P1151-1,"")</f>
        <v>3.147839066659408E-2</v>
      </c>
      <c r="N1150" s="192">
        <f>IFERROR(Inv_SY!N1151/Inv_SY!$P1151-1,"")</f>
        <v>-1.0335428730181451E-2</v>
      </c>
      <c r="O1150" s="192">
        <f>IFERROR(Inv_SY!O1151/Inv_SY!$P1151-1,"")</f>
        <v>-0.14304459600029074</v>
      </c>
      <c r="P1150" s="192">
        <f>IFERROR(Inv_SY!J1151/Inv_SY!$Q1151-1,"")</f>
        <v>0</v>
      </c>
      <c r="Q1150" s="192">
        <f>IFERROR(Inv_SY!K1151/Inv_SY!$Q1151-1,"")</f>
        <v>-6.3328349996366384E-2</v>
      </c>
      <c r="R1150" s="192">
        <f>IFERROR(Inv_SY!L1151/Inv_SY!$Q1151-1,"")</f>
        <v>-2.9963685118501227E-2</v>
      </c>
      <c r="S1150" s="192">
        <f>IFERROR(Inv_SY!M1151/Inv_SY!$Q1151-1,"")</f>
        <v>-3.9621741747632222E-2</v>
      </c>
      <c r="T1150" s="192">
        <f>IFERROR(Inv_SY!N1151/Inv_SY!$Q1151-1,"")</f>
        <v>-7.8553321319748126E-2</v>
      </c>
      <c r="U1150" s="193">
        <f>IFERROR(Inv_SY!O1151/Inv_SY!$Q1151-1,"")</f>
        <v>-0.2021148036253777</v>
      </c>
    </row>
    <row r="1151" spans="1:21">
      <c r="A1151" s="91" t="s">
        <v>4</v>
      </c>
      <c r="B1151" s="191">
        <v>5</v>
      </c>
      <c r="C1151" s="91">
        <v>2024</v>
      </c>
      <c r="D1151" s="91" t="s">
        <v>211</v>
      </c>
      <c r="E1151" s="91" t="s">
        <v>211</v>
      </c>
      <c r="F1151" s="92">
        <v>45778</v>
      </c>
      <c r="G1151" s="212">
        <f t="shared" ref="G1151:G1158" si="48">DAY(EOMONTH(F1151,0))</f>
        <v>31</v>
      </c>
      <c r="H1151" s="213">
        <f t="shared" si="47"/>
        <v>45801</v>
      </c>
      <c r="I1151" s="145">
        <f>_xlfn.XLOOKUP(Table5[[#This Row],[Month Year]],'Modelling New'!D:D,'Modelling New'!N:N)</f>
        <v>10.507</v>
      </c>
      <c r="J1151" s="192">
        <f>IFERROR(Inv_SY!J1152/Inv_SY!$P1152-1,"")</f>
        <v>4.9009680157409585E-2</v>
      </c>
      <c r="K1151" s="192">
        <f>IFERROR(Inv_SY!K1152/Inv_SY!$P1152-1,"")</f>
        <v>2.3897422637998211E-2</v>
      </c>
      <c r="L1151" s="192">
        <f>IFERROR(Inv_SY!L1152/Inv_SY!$P1152-1,"")</f>
        <v>4.3808880336582368E-2</v>
      </c>
      <c r="M1151" s="192">
        <f>IFERROR(Inv_SY!M1152/Inv_SY!$P1152-1,"")</f>
        <v>-0.52421296032806797</v>
      </c>
      <c r="N1151" s="192">
        <f>IFERROR(Inv_SY!N1152/Inv_SY!$P1152-1,"")</f>
        <v>3.2591485734182912E-2</v>
      </c>
      <c r="O1151" s="192">
        <f>IFERROR(Inv_SY!O1152/Inv_SY!$P1152-1,"")</f>
        <v>0.374905491461895</v>
      </c>
      <c r="P1151" s="192">
        <f>IFERROR(Inv_SY!J1152/Inv_SY!$Q1152-1,"")</f>
        <v>-0.23703142748958717</v>
      </c>
      <c r="Q1151" s="192">
        <f>IFERROR(Inv_SY!K1152/Inv_SY!$Q1152-1,"")</f>
        <v>-0.25529614290119718</v>
      </c>
      <c r="R1151" s="192">
        <f>IFERROR(Inv_SY!L1152/Inv_SY!$Q1152-1,"")</f>
        <v>-0.24081408735466447</v>
      </c>
      <c r="S1151" s="192">
        <f>IFERROR(Inv_SY!M1152/Inv_SY!$Q1152-1,"")</f>
        <v>-0.65394927678553216</v>
      </c>
      <c r="T1151" s="192">
        <f>IFERROR(Inv_SY!N1152/Inv_SY!$Q1152-1,"")</f>
        <v>-0.24897275329356638</v>
      </c>
      <c r="U1151" s="193">
        <f>IFERROR(Inv_SY!O1152/Inv_SY!$Q1152-1,"")</f>
        <v>0</v>
      </c>
    </row>
    <row r="1152" spans="1:21">
      <c r="A1152" s="91" t="s">
        <v>4</v>
      </c>
      <c r="B1152" s="191">
        <v>5</v>
      </c>
      <c r="C1152" s="91">
        <v>2024</v>
      </c>
      <c r="D1152" s="91" t="s">
        <v>211</v>
      </c>
      <c r="E1152" s="91" t="s">
        <v>211</v>
      </c>
      <c r="F1152" s="92">
        <v>45778</v>
      </c>
      <c r="G1152" s="212">
        <f t="shared" si="48"/>
        <v>31</v>
      </c>
      <c r="H1152" s="213">
        <f t="shared" si="47"/>
        <v>45802</v>
      </c>
      <c r="I1152" s="145">
        <f>_xlfn.XLOOKUP(Table5[[#This Row],[Month Year]],'Modelling New'!D:D,'Modelling New'!N:N)</f>
        <v>10.507</v>
      </c>
      <c r="J1152" s="192">
        <f>IFERROR(Inv_SY!J1153/Inv_SY!$P1153-1,"")</f>
        <v>1.8104834613394738E-2</v>
      </c>
      <c r="K1152" s="192">
        <f>IFERROR(Inv_SY!K1153/Inv_SY!$P1153-1,"")</f>
        <v>-0.11538932070322183</v>
      </c>
      <c r="L1152" s="192">
        <f>IFERROR(Inv_SY!L1153/Inv_SY!$P1153-1,"")</f>
        <v>1.2408502830895785E-2</v>
      </c>
      <c r="M1152" s="192">
        <f>IFERROR(Inv_SY!M1153/Inv_SY!$P1153-1,"")</f>
        <v>-9.9132276578134282E-2</v>
      </c>
      <c r="N1152" s="192">
        <f>IFERROR(Inv_SY!N1153/Inv_SY!$P1153-1,"")</f>
        <v>1.2411367369101312E-2</v>
      </c>
      <c r="O1152" s="192">
        <f>IFERROR(Inv_SY!O1153/Inv_SY!$P1153-1,"")</f>
        <v>0.17159689246796317</v>
      </c>
      <c r="P1152" s="192">
        <f>IFERROR(Inv_SY!J1153/Inv_SY!$Q1153-1,"")</f>
        <v>-0.13101098068913297</v>
      </c>
      <c r="Q1152" s="192">
        <f>IFERROR(Inv_SY!K1153/Inv_SY!$Q1153-1,"")</f>
        <v>-0.24495303377482502</v>
      </c>
      <c r="R1152" s="192">
        <f>IFERROR(Inv_SY!L1153/Inv_SY!$Q1153-1,"")</f>
        <v>-0.1358730043246682</v>
      </c>
      <c r="S1152" s="192">
        <f>IFERROR(Inv_SY!M1153/Inv_SY!$Q1153-1,"")</f>
        <v>-0.23107706309787812</v>
      </c>
      <c r="T1152" s="192">
        <f>IFERROR(Inv_SY!N1153/Inv_SY!$Q1153-1,"")</f>
        <v>-0.13587055933849246</v>
      </c>
      <c r="U1152" s="193">
        <f>IFERROR(Inv_SY!O1153/Inv_SY!$Q1153-1,"")</f>
        <v>0</v>
      </c>
    </row>
    <row r="1153" spans="1:21">
      <c r="A1153" s="91" t="s">
        <v>4</v>
      </c>
      <c r="B1153" s="191">
        <v>5</v>
      </c>
      <c r="C1153" s="91">
        <v>2024</v>
      </c>
      <c r="D1153" s="91" t="s">
        <v>211</v>
      </c>
      <c r="E1153" s="91" t="s">
        <v>211</v>
      </c>
      <c r="F1153" s="92">
        <v>45778</v>
      </c>
      <c r="G1153" s="212">
        <f t="shared" si="48"/>
        <v>31</v>
      </c>
      <c r="H1153" s="213">
        <f t="shared" si="47"/>
        <v>45803</v>
      </c>
      <c r="I1153" s="145">
        <f>_xlfn.XLOOKUP(Table5[[#This Row],[Month Year]],'Modelling New'!D:D,'Modelling New'!N:N)</f>
        <v>10.507</v>
      </c>
      <c r="J1153" s="192">
        <f>IFERROR(Inv_SY!J1154/Inv_SY!$P1154-1,"")</f>
        <v>-3.7854052646238645E-2</v>
      </c>
      <c r="K1153" s="192">
        <f>IFERROR(Inv_SY!K1154/Inv_SY!$P1154-1,"")</f>
        <v>-3.6132487793422929E-2</v>
      </c>
      <c r="L1153" s="192">
        <f>IFERROR(Inv_SY!L1154/Inv_SY!$P1154-1,"")</f>
        <v>-1.3677435423259388E-3</v>
      </c>
      <c r="M1153" s="192">
        <f>IFERROR(Inv_SY!M1154/Inv_SY!$P1154-1,"")</f>
        <v>-8.5318426211243859E-3</v>
      </c>
      <c r="N1153" s="192">
        <f>IFERROR(Inv_SY!N1154/Inv_SY!$P1154-1,"")</f>
        <v>-1.6125755198309055E-2</v>
      </c>
      <c r="O1153" s="192">
        <f>IFERROR(Inv_SY!O1154/Inv_SY!$P1154-1,"")</f>
        <v>0.10001188180142151</v>
      </c>
      <c r="P1153" s="192">
        <f>IFERROR(Inv_SY!J1154/Inv_SY!$Q1154-1,"")</f>
        <v>-0.12533131389625141</v>
      </c>
      <c r="Q1153" s="192">
        <f>IFERROR(Inv_SY!K1154/Inv_SY!$Q1154-1,"")</f>
        <v>-0.12376627184416322</v>
      </c>
      <c r="R1153" s="192">
        <f>IFERROR(Inv_SY!L1154/Inv_SY!$Q1154-1,"")</f>
        <v>-9.2162300263270103E-2</v>
      </c>
      <c r="S1153" s="192">
        <f>IFERROR(Inv_SY!M1154/Inv_SY!$Q1154-1,"")</f>
        <v>-9.8675047259299098E-2</v>
      </c>
      <c r="T1153" s="192">
        <f>IFERROR(Inv_SY!N1154/Inv_SY!$Q1154-1,"")</f>
        <v>-0.10557852957873426</v>
      </c>
      <c r="U1153" s="193">
        <f>IFERROR(Inv_SY!O1154/Inv_SY!$Q1154-1,"")</f>
        <v>0</v>
      </c>
    </row>
    <row r="1154" spans="1:21">
      <c r="A1154" s="91" t="s">
        <v>4</v>
      </c>
      <c r="B1154" s="191">
        <v>5</v>
      </c>
      <c r="C1154" s="91">
        <v>2024</v>
      </c>
      <c r="D1154" s="91" t="s">
        <v>211</v>
      </c>
      <c r="E1154" s="91" t="s">
        <v>211</v>
      </c>
      <c r="F1154" s="92">
        <v>45778</v>
      </c>
      <c r="G1154" s="212">
        <f t="shared" si="48"/>
        <v>31</v>
      </c>
      <c r="H1154" s="213">
        <f t="shared" si="47"/>
        <v>45804</v>
      </c>
      <c r="I1154" s="145">
        <f>_xlfn.XLOOKUP(Table5[[#This Row],[Month Year]],'Modelling New'!D:D,'Modelling New'!N:N)</f>
        <v>10.507</v>
      </c>
      <c r="J1154" s="192">
        <f>IFERROR(Inv_SY!J1155/Inv_SY!$P1155-1,"")</f>
        <v>9.7743827260574623E-3</v>
      </c>
      <c r="K1154" s="192">
        <f>IFERROR(Inv_SY!K1155/Inv_SY!$P1155-1,"")</f>
        <v>-3.3429303690677759E-2</v>
      </c>
      <c r="L1154" s="192">
        <f>IFERROR(Inv_SY!L1155/Inv_SY!$P1155-1,"")</f>
        <v>6.8872815671627841E-4</v>
      </c>
      <c r="M1154" s="192">
        <f>IFERROR(Inv_SY!M1155/Inv_SY!$P1155-1,"")</f>
        <v>-8.0585234995740329E-3</v>
      </c>
      <c r="N1154" s="192">
        <f>IFERROR(Inv_SY!N1155/Inv_SY!$P1155-1,"")</f>
        <v>-4.6312622476740728E-3</v>
      </c>
      <c r="O1154" s="192">
        <f>IFERROR(Inv_SY!O1155/Inv_SY!$P1155-1,"")</f>
        <v>3.5655978555152457E-2</v>
      </c>
      <c r="P1154" s="192">
        <f>IFERROR(Inv_SY!J1155/Inv_SY!$Q1155-1,"")</f>
        <v>-2.4990533888678557E-2</v>
      </c>
      <c r="Q1154" s="192">
        <f>IFERROR(Inv_SY!K1155/Inv_SY!$Q1155-1,"")</f>
        <v>-6.6706786497009674E-2</v>
      </c>
      <c r="R1154" s="192">
        <f>IFERROR(Inv_SY!L1155/Inv_SY!$Q1155-1,"")</f>
        <v>-3.3763383905936584E-2</v>
      </c>
      <c r="S1154" s="192">
        <f>IFERROR(Inv_SY!M1155/Inv_SY!$Q1155-1,"")</f>
        <v>-4.220948168108174E-2</v>
      </c>
      <c r="T1154" s="192">
        <f>IFERROR(Inv_SY!N1155/Inv_SY!$Q1155-1,"")</f>
        <v>-3.8900215551337158E-2</v>
      </c>
      <c r="U1154" s="193">
        <f>IFERROR(Inv_SY!O1155/Inv_SY!$Q1155-1,"")</f>
        <v>0</v>
      </c>
    </row>
    <row r="1155" spans="1:21">
      <c r="A1155" s="91" t="s">
        <v>4</v>
      </c>
      <c r="B1155" s="191">
        <v>5</v>
      </c>
      <c r="C1155" s="91">
        <v>2024</v>
      </c>
      <c r="D1155" s="91" t="s">
        <v>211</v>
      </c>
      <c r="E1155" s="91" t="s">
        <v>211</v>
      </c>
      <c r="F1155" s="92">
        <v>45778</v>
      </c>
      <c r="G1155" s="212">
        <f t="shared" si="48"/>
        <v>31</v>
      </c>
      <c r="H1155" s="213">
        <f t="shared" si="47"/>
        <v>45805</v>
      </c>
      <c r="I1155" s="145">
        <f>_xlfn.XLOOKUP(Table5[[#This Row],[Month Year]],'Modelling New'!D:D,'Modelling New'!N:N)</f>
        <v>10.507</v>
      </c>
      <c r="J1155" s="192">
        <f>IFERROR(Inv_SY!J1156/Inv_SY!$P1156-1,"")</f>
        <v>-1.3375843438845125E-2</v>
      </c>
      <c r="K1155" s="192">
        <f>IFERROR(Inv_SY!K1156/Inv_SY!$P1156-1,"")</f>
        <v>-5.6129258170795948E-2</v>
      </c>
      <c r="L1155" s="192">
        <f>IFERROR(Inv_SY!L1156/Inv_SY!$P1156-1,"")</f>
        <v>-1.2356768763560289E-2</v>
      </c>
      <c r="M1155" s="192">
        <f>IFERROR(Inv_SY!M1156/Inv_SY!$P1156-1,"")</f>
        <v>-1.8626291584221466E-2</v>
      </c>
      <c r="N1155" s="192">
        <f>IFERROR(Inv_SY!N1156/Inv_SY!$P1156-1,"")</f>
        <v>-4.7386021953594759E-2</v>
      </c>
      <c r="O1155" s="192">
        <f>IFERROR(Inv_SY!O1156/Inv_SY!$P1156-1,"")</f>
        <v>0.14787418391101759</v>
      </c>
      <c r="P1155" s="192">
        <f>IFERROR(Inv_SY!J1156/Inv_SY!$Q1156-1,"")</f>
        <v>-0.1404770920106021</v>
      </c>
      <c r="Q1155" s="192">
        <f>IFERROR(Inv_SY!K1156/Inv_SY!$Q1156-1,"")</f>
        <v>-0.17772282445340526</v>
      </c>
      <c r="R1155" s="192">
        <f>IFERROR(Inv_SY!L1156/Inv_SY!$Q1156-1,"")</f>
        <v>-0.13958929900195305</v>
      </c>
      <c r="S1155" s="192">
        <f>IFERROR(Inv_SY!M1156/Inv_SY!$Q1156-1,"")</f>
        <v>-0.14505115441131489</v>
      </c>
      <c r="T1155" s="192">
        <f>IFERROR(Inv_SY!N1156/Inv_SY!$Q1156-1,"")</f>
        <v>-0.17010593025040877</v>
      </c>
      <c r="U1155" s="193">
        <f>IFERROR(Inv_SY!O1156/Inv_SY!$Q1156-1,"")</f>
        <v>0</v>
      </c>
    </row>
    <row r="1156" spans="1:21">
      <c r="A1156" s="91" t="s">
        <v>4</v>
      </c>
      <c r="B1156" s="191">
        <v>5</v>
      </c>
      <c r="C1156" s="91">
        <v>2024</v>
      </c>
      <c r="D1156" s="91" t="s">
        <v>211</v>
      </c>
      <c r="E1156" s="91" t="s">
        <v>211</v>
      </c>
      <c r="F1156" s="92">
        <v>45778</v>
      </c>
      <c r="G1156" s="212">
        <f t="shared" si="48"/>
        <v>31</v>
      </c>
      <c r="H1156" s="213">
        <f t="shared" si="47"/>
        <v>45806</v>
      </c>
      <c r="I1156" s="145">
        <f>_xlfn.XLOOKUP(Table5[[#This Row],[Month Year]],'Modelling New'!D:D,'Modelling New'!N:N)</f>
        <v>10.507</v>
      </c>
      <c r="J1156" s="192">
        <f>IFERROR(Inv_SY!J1157/Inv_SY!$P1157-1,"")</f>
        <v>3.2707380136876019E-3</v>
      </c>
      <c r="K1156" s="192">
        <f>IFERROR(Inv_SY!K1157/Inv_SY!$P1157-1,"")</f>
        <v>-3.6987900145124653E-2</v>
      </c>
      <c r="L1156" s="192">
        <f>IFERROR(Inv_SY!L1157/Inv_SY!$P1157-1,"")</f>
        <v>5.3577425913766685E-3</v>
      </c>
      <c r="M1156" s="192">
        <f>IFERROR(Inv_SY!M1157/Inv_SY!$P1157-1,"")</f>
        <v>7.2515111041862035E-3</v>
      </c>
      <c r="N1156" s="192">
        <f>IFERROR(Inv_SY!N1157/Inv_SY!$P1157-1,"")</f>
        <v>-1.9189704086367776E-2</v>
      </c>
      <c r="O1156" s="192">
        <f>IFERROR(Inv_SY!O1157/Inv_SY!$P1157-1,"")</f>
        <v>4.0297612522241621E-2</v>
      </c>
      <c r="P1156" s="192">
        <f>IFERROR(Inv_SY!J1157/Inv_SY!$Q1157-1,"")</f>
        <v>-3.5592578568723998E-2</v>
      </c>
      <c r="Q1156" s="192">
        <f>IFERROR(Inv_SY!K1157/Inv_SY!$Q1157-1,"")</f>
        <v>-7.4291733189682629E-2</v>
      </c>
      <c r="R1156" s="192">
        <f>IFERROR(Inv_SY!L1157/Inv_SY!$Q1157-1,"")</f>
        <v>-3.3586417492732612E-2</v>
      </c>
      <c r="S1156" s="192">
        <f>IFERROR(Inv_SY!M1157/Inv_SY!$Q1157-1,"")</f>
        <v>-3.1766007169749977E-2</v>
      </c>
      <c r="T1156" s="192">
        <f>IFERROR(Inv_SY!N1157/Inv_SY!$Q1157-1,"")</f>
        <v>-5.718297907497838E-2</v>
      </c>
      <c r="U1156" s="193">
        <f>IFERROR(Inv_SY!O1157/Inv_SY!$Q1157-1,"")</f>
        <v>0</v>
      </c>
    </row>
    <row r="1157" spans="1:21">
      <c r="A1157" s="91" t="s">
        <v>4</v>
      </c>
      <c r="B1157" s="191">
        <v>5</v>
      </c>
      <c r="C1157" s="91">
        <v>2024</v>
      </c>
      <c r="D1157" s="91" t="s">
        <v>211</v>
      </c>
      <c r="E1157" s="91" t="s">
        <v>211</v>
      </c>
      <c r="F1157" s="92">
        <v>45778</v>
      </c>
      <c r="G1157" s="212">
        <f t="shared" si="48"/>
        <v>31</v>
      </c>
      <c r="H1157" s="213">
        <f t="shared" si="47"/>
        <v>45807</v>
      </c>
      <c r="I1157" s="145">
        <f>_xlfn.XLOOKUP(Table5[[#This Row],[Month Year]],'Modelling New'!D:D,'Modelling New'!N:N)</f>
        <v>10.507</v>
      </c>
      <c r="J1157" s="192">
        <f>IFERROR(Inv_SY!J1158/Inv_SY!$P1158-1,"")</f>
        <v>-4.4505925444087158E-2</v>
      </c>
      <c r="K1157" s="192">
        <f>IFERROR(Inv_SY!K1158/Inv_SY!$P1158-1,"")</f>
        <v>-8.2611170279878299E-2</v>
      </c>
      <c r="L1157" s="192">
        <f>IFERROR(Inv_SY!L1158/Inv_SY!$P1158-1,"")</f>
        <v>-4.0277283389537066E-2</v>
      </c>
      <c r="M1157" s="192">
        <f>IFERROR(Inv_SY!M1158/Inv_SY!$P1158-1,"")</f>
        <v>-5.6190837923666526E-2</v>
      </c>
      <c r="N1157" s="192">
        <f>IFERROR(Inv_SY!N1158/Inv_SY!$P1158-1,"")</f>
        <v>-6.0618269427036964E-2</v>
      </c>
      <c r="O1157" s="192">
        <f>IFERROR(Inv_SY!O1158/Inv_SY!$P1158-1,"")</f>
        <v>0.28420348646420668</v>
      </c>
      <c r="P1157" s="192">
        <f>IFERROR(Inv_SY!J1158/Inv_SY!$Q1158-1,"")</f>
        <v>-0.25596365013252564</v>
      </c>
      <c r="Q1157" s="192">
        <f>IFERROR(Inv_SY!K1158/Inv_SY!$Q1158-1,"")</f>
        <v>-0.28563592967188911</v>
      </c>
      <c r="R1157" s="192">
        <f>IFERROR(Inv_SY!L1158/Inv_SY!$Q1158-1,"")</f>
        <v>-0.25267083703933524</v>
      </c>
      <c r="S1157" s="192">
        <f>IFERROR(Inv_SY!M1158/Inv_SY!$Q1158-1,"")</f>
        <v>-0.26506260727034758</v>
      </c>
      <c r="T1157" s="192">
        <f>IFERROR(Inv_SY!N1158/Inv_SY!$Q1158-1,"")</f>
        <v>-0.26851021627471228</v>
      </c>
      <c r="U1157" s="193">
        <f>IFERROR(Inv_SY!O1158/Inv_SY!$Q1158-1,"")</f>
        <v>0</v>
      </c>
    </row>
    <row r="1158" spans="1:21">
      <c r="A1158" s="91" t="s">
        <v>4</v>
      </c>
      <c r="B1158" s="191">
        <v>5</v>
      </c>
      <c r="C1158" s="91">
        <v>2024</v>
      </c>
      <c r="D1158" s="91" t="s">
        <v>211</v>
      </c>
      <c r="E1158" s="91" t="s">
        <v>211</v>
      </c>
      <c r="F1158" s="92">
        <v>45778</v>
      </c>
      <c r="G1158" s="212">
        <f t="shared" si="48"/>
        <v>31</v>
      </c>
      <c r="H1158" s="213">
        <f t="shared" si="47"/>
        <v>45808</v>
      </c>
      <c r="I1158" s="145">
        <f>_xlfn.XLOOKUP(Table5[[#This Row],[Month Year]],'Modelling New'!D:D,'Modelling New'!N:N)</f>
        <v>10.507</v>
      </c>
      <c r="J1158" s="192">
        <f>IFERROR(Inv_SY!J1159/Inv_SY!$P1159-1,"")</f>
        <v>4.7379531880297865E-2</v>
      </c>
      <c r="K1158" s="192">
        <f>IFERROR(Inv_SY!K1159/Inv_SY!$P1159-1,"")</f>
        <v>2.5888453834101099E-2</v>
      </c>
      <c r="L1158" s="192">
        <f>IFERROR(Inv_SY!L1159/Inv_SY!$P1159-1,"")</f>
        <v>4.4292241946251254E-2</v>
      </c>
      <c r="M1158" s="192">
        <f>IFERROR(Inv_SY!M1159/Inv_SY!$P1159-1,"")</f>
        <v>2.9472449485719698E-2</v>
      </c>
      <c r="N1158" s="192">
        <f>IFERROR(Inv_SY!N1159/Inv_SY!$P1159-1,"")</f>
        <v>1.853916487599272E-2</v>
      </c>
      <c r="O1158" s="192">
        <f>IFERROR(Inv_SY!O1159/Inv_SY!$P1159-1,"")</f>
        <v>-0.16557184202236297</v>
      </c>
      <c r="P1158" s="192">
        <f>IFERROR(Inv_SY!J1159/Inv_SY!$Q1159-1,"")</f>
        <v>0</v>
      </c>
      <c r="Q1158" s="192">
        <f>IFERROR(Inv_SY!K1159/Inv_SY!$Q1159-1,"")</f>
        <v>-2.0518902071357981E-2</v>
      </c>
      <c r="R1158" s="192">
        <f>IFERROR(Inv_SY!L1159/Inv_SY!$Q1159-1,"")</f>
        <v>-2.9476324866728465E-3</v>
      </c>
      <c r="S1158" s="192">
        <f>IFERROR(Inv_SY!M1159/Inv_SY!$Q1159-1,"")</f>
        <v>-1.7097032975649795E-2</v>
      </c>
      <c r="T1158" s="192">
        <f>IFERROR(Inv_SY!N1159/Inv_SY!$Q1159-1,"")</f>
        <v>-2.7535736689955792E-2</v>
      </c>
      <c r="U1158" s="193">
        <f>IFERROR(Inv_SY!O1159/Inv_SY!$Q1159-1,"")</f>
        <v>-0.20331825037707385</v>
      </c>
    </row>
    <row r="1159" spans="1:21">
      <c r="A1159" s="91" t="s">
        <v>4</v>
      </c>
      <c r="B1159" s="221">
        <v>6</v>
      </c>
      <c r="C1159" s="221">
        <v>2025</v>
      </c>
      <c r="D1159" s="91" t="s">
        <v>211</v>
      </c>
      <c r="E1159" s="91" t="s">
        <v>211</v>
      </c>
      <c r="F1159" s="92">
        <v>45809</v>
      </c>
      <c r="G1159" s="221">
        <f>DAY(EOMONTH(F1159,0))</f>
        <v>30</v>
      </c>
      <c r="H1159" s="222">
        <f>H1158+1</f>
        <v>45809</v>
      </c>
      <c r="I1159" s="146">
        <f>_xlfn.XLOOKUP(Table5[[#This Row],[Month Year]],'Modelling New'!D:D,'Modelling New'!N:N)</f>
        <v>10.507</v>
      </c>
      <c r="J1159" s="192">
        <f>IFERROR(Inv_SY!J1160/Inv_SY!$P1160-1,"")</f>
        <v>0.10919225714349534</v>
      </c>
      <c r="K1159" s="192">
        <f>IFERROR(Inv_SY!K1160/Inv_SY!$P1160-1,"")</f>
        <v>7.1730677408215371E-2</v>
      </c>
      <c r="L1159" s="192">
        <f>IFERROR(Inv_SY!L1160/Inv_SY!$P1160-1,"")</f>
        <v>5.916175449018457E-2</v>
      </c>
      <c r="M1159" s="192">
        <f>IFERROR(Inv_SY!M1160/Inv_SY!$P1160-1,"")</f>
        <v>5.3376066608156192E-2</v>
      </c>
      <c r="N1159" s="192">
        <f>IFERROR(Inv_SY!N1160/Inv_SY!$P1160-1,"")</f>
        <v>3.8037019083866586E-2</v>
      </c>
      <c r="O1159" s="192">
        <f>IFERROR(Inv_SY!O1160/Inv_SY!$P1160-1,"")</f>
        <v>-0.33149777473391806</v>
      </c>
      <c r="P1159" s="192">
        <f>IFERROR(Inv_SY!J1160/Inv_SY!$Q1160-1,"")</f>
        <v>0</v>
      </c>
      <c r="Q1159" s="192">
        <f>IFERROR(Inv_SY!K1160/Inv_SY!$Q1160-1,"")</f>
        <v>-3.377374796300403E-2</v>
      </c>
      <c r="R1159" s="192">
        <f>IFERROR(Inv_SY!L1160/Inv_SY!$Q1160-1,"")</f>
        <v>-4.510534790619114E-2</v>
      </c>
      <c r="S1159" s="192">
        <f>IFERROR(Inv_SY!M1160/Inv_SY!$Q1160-1,"")</f>
        <v>-5.0321475087720891E-2</v>
      </c>
      <c r="T1159" s="192">
        <f>IFERROR(Inv_SY!N1160/Inv_SY!$Q1160-1,"")</f>
        <v>-6.4150500151231693E-2</v>
      </c>
      <c r="U1159" s="193">
        <f>IFERROR(Inv_SY!O1160/Inv_SY!$Q1160-1,"")</f>
        <v>-0.39730716567777269</v>
      </c>
    </row>
    <row r="1160" spans="1:21">
      <c r="A1160" s="91" t="s">
        <v>4</v>
      </c>
      <c r="B1160" s="221">
        <v>6</v>
      </c>
      <c r="C1160" s="221">
        <v>2025</v>
      </c>
      <c r="D1160" s="91" t="s">
        <v>211</v>
      </c>
      <c r="E1160" s="91" t="s">
        <v>211</v>
      </c>
      <c r="F1160" s="92">
        <v>45809</v>
      </c>
      <c r="G1160" s="212">
        <f t="shared" ref="G1160:G1184" si="49">DAY(EOMONTH(F1160,0))</f>
        <v>30</v>
      </c>
      <c r="H1160" s="222">
        <f t="shared" ref="H1160:H1197" si="50">H1159+1</f>
        <v>45810</v>
      </c>
      <c r="I1160" s="145">
        <f>_xlfn.XLOOKUP(Table5[[#This Row],[Month Year]],'Modelling New'!D:D,'Modelling New'!N:N)</f>
        <v>10.507</v>
      </c>
      <c r="J1160" s="192">
        <f>IFERROR(Inv_SY!J1161/Inv_SY!$P1161-1,"")</f>
        <v>8.2133508250010312E-2</v>
      </c>
      <c r="K1160" s="192">
        <f>IFERROR(Inv_SY!K1161/Inv_SY!$P1161-1,"")</f>
        <v>4.7310396426257562E-2</v>
      </c>
      <c r="L1160" s="192">
        <f>IFERROR(Inv_SY!L1161/Inv_SY!$P1161-1,"")</f>
        <v>5.6583621105637638E-2</v>
      </c>
      <c r="M1160" s="192">
        <f>IFERROR(Inv_SY!M1161/Inv_SY!$P1161-1,"")</f>
        <v>3.4820358701307841E-2</v>
      </c>
      <c r="N1160" s="192">
        <f>IFERROR(Inv_SY!N1161/Inv_SY!$P1161-1,"")</f>
        <v>3.0026402466123869E-2</v>
      </c>
      <c r="O1160" s="192">
        <f>IFERROR(Inv_SY!O1161/Inv_SY!$P1161-1,"")</f>
        <v>-0.25087428694933755</v>
      </c>
      <c r="P1160" s="192">
        <f>IFERROR(Inv_SY!J1161/Inv_SY!$Q1161-1,"")</f>
        <v>0</v>
      </c>
      <c r="Q1160" s="192">
        <f>IFERROR(Inv_SY!K1161/Inv_SY!$Q1161-1,"")</f>
        <v>-3.2180051313693836E-2</v>
      </c>
      <c r="R1160" s="192">
        <f>IFERROR(Inv_SY!L1161/Inv_SY!$Q1161-1,"")</f>
        <v>-2.3610660745263301E-2</v>
      </c>
      <c r="S1160" s="192">
        <f>IFERROR(Inv_SY!M1161/Inv_SY!$Q1161-1,"")</f>
        <v>-4.3722100080992532E-2</v>
      </c>
      <c r="T1160" s="192">
        <f>IFERROR(Inv_SY!N1161/Inv_SY!$Q1161-1,"")</f>
        <v>-4.8152196920833057E-2</v>
      </c>
      <c r="U1160" s="193">
        <f>IFERROR(Inv_SY!O1161/Inv_SY!$Q1161-1,"")</f>
        <v>-0.30773263433813902</v>
      </c>
    </row>
    <row r="1161" spans="1:21">
      <c r="A1161" s="91" t="s">
        <v>4</v>
      </c>
      <c r="B1161" s="221">
        <v>6</v>
      </c>
      <c r="C1161" s="221">
        <v>2025</v>
      </c>
      <c r="D1161" s="91" t="s">
        <v>211</v>
      </c>
      <c r="E1161" s="91" t="s">
        <v>211</v>
      </c>
      <c r="F1161" s="92">
        <v>45809</v>
      </c>
      <c r="G1161" s="212">
        <f t="shared" si="49"/>
        <v>30</v>
      </c>
      <c r="H1161" s="222">
        <f t="shared" si="50"/>
        <v>45811</v>
      </c>
      <c r="I1161" s="145">
        <f>_xlfn.XLOOKUP(Table5[[#This Row],[Month Year]],'Modelling New'!D:D,'Modelling New'!N:N)</f>
        <v>10.507</v>
      </c>
      <c r="J1161" s="192">
        <f>IFERROR(Inv_SY!J1162/Inv_SY!$P1162-1,"")</f>
        <v>5.6606666195939681E-2</v>
      </c>
      <c r="K1161" s="192">
        <f>IFERROR(Inv_SY!K1162/Inv_SY!$P1162-1,"")</f>
        <v>-1.1984391941034511E-3</v>
      </c>
      <c r="L1161" s="192">
        <f>IFERROR(Inv_SY!L1162/Inv_SY!$P1162-1,"")</f>
        <v>5.1280648679599583E-2</v>
      </c>
      <c r="M1161" s="192">
        <f>IFERROR(Inv_SY!M1162/Inv_SY!$P1162-1,"")</f>
        <v>2.2570210178306294E-2</v>
      </c>
      <c r="N1161" s="192">
        <f>IFERROR(Inv_SY!N1162/Inv_SY!$P1162-1,"")</f>
        <v>1.8680393400264395E-2</v>
      </c>
      <c r="O1161" s="192">
        <f>IFERROR(Inv_SY!O1162/Inv_SY!$P1162-1,"")</f>
        <v>-0.14793947926000706</v>
      </c>
      <c r="P1161" s="192">
        <f>IFERROR(Inv_SY!J1162/Inv_SY!$Q1162-1,"")</f>
        <v>0</v>
      </c>
      <c r="Q1161" s="192">
        <f>IFERROR(Inv_SY!K1162/Inv_SY!$Q1162-1,"")</f>
        <v>-5.4708253543541141E-2</v>
      </c>
      <c r="R1161" s="192">
        <f>IFERROR(Inv_SY!L1162/Inv_SY!$Q1162-1,"")</f>
        <v>-5.0406813497734237E-3</v>
      </c>
      <c r="S1161" s="192">
        <f>IFERROR(Inv_SY!M1162/Inv_SY!$Q1162-1,"")</f>
        <v>-3.2212986257387111E-2</v>
      </c>
      <c r="T1161" s="192">
        <f>IFERROR(Inv_SY!N1162/Inv_SY!$Q1162-1,"")</f>
        <v>-3.5894409915299685E-2</v>
      </c>
      <c r="U1161" s="193">
        <f>IFERROR(Inv_SY!O1162/Inv_SY!$Q1162-1,"")</f>
        <v>-0.19358778625954198</v>
      </c>
    </row>
    <row r="1162" spans="1:21">
      <c r="A1162" s="91" t="s">
        <v>4</v>
      </c>
      <c r="B1162" s="221">
        <v>6</v>
      </c>
      <c r="C1162" s="221">
        <v>2025</v>
      </c>
      <c r="D1162" s="91" t="s">
        <v>211</v>
      </c>
      <c r="E1162" s="91" t="s">
        <v>211</v>
      </c>
      <c r="F1162" s="92">
        <v>45809</v>
      </c>
      <c r="G1162" s="212">
        <f t="shared" si="49"/>
        <v>30</v>
      </c>
      <c r="H1162" s="222">
        <f t="shared" si="50"/>
        <v>45812</v>
      </c>
      <c r="I1162" s="145">
        <f>_xlfn.XLOOKUP(Table5[[#This Row],[Month Year]],'Modelling New'!D:D,'Modelling New'!N:N)</f>
        <v>10.507</v>
      </c>
      <c r="J1162" s="192">
        <f>IFERROR(Inv_SY!J1163/Inv_SY!$P1163-1,"")</f>
        <v>8.7646378923781798E-2</v>
      </c>
      <c r="K1162" s="192">
        <f>IFERROR(Inv_SY!K1163/Inv_SY!$P1163-1,"")</f>
        <v>7.9031266045640036E-2</v>
      </c>
      <c r="L1162" s="192">
        <f>IFERROR(Inv_SY!L1163/Inv_SY!$P1163-1,"")</f>
        <v>7.0355745007918635E-2</v>
      </c>
      <c r="M1162" s="192">
        <f>IFERROR(Inv_SY!M1163/Inv_SY!$P1163-1,"")</f>
        <v>5.472938535745997E-2</v>
      </c>
      <c r="N1162" s="192">
        <f>IFERROR(Inv_SY!N1163/Inv_SY!$P1163-1,"")</f>
        <v>4.8656492922902306E-2</v>
      </c>
      <c r="O1162" s="192">
        <f>IFERROR(Inv_SY!O1163/Inv_SY!$P1163-1,"")</f>
        <v>-0.34041926825770208</v>
      </c>
      <c r="P1162" s="192">
        <f>IFERROR(Inv_SY!J1163/Inv_SY!$Q1163-1,"")</f>
        <v>0</v>
      </c>
      <c r="Q1162" s="192">
        <f>IFERROR(Inv_SY!K1163/Inv_SY!$Q1163-1,"")</f>
        <v>-7.9208767160759974E-3</v>
      </c>
      <c r="R1162" s="192">
        <f>IFERROR(Inv_SY!L1163/Inv_SY!$Q1163-1,"")</f>
        <v>-1.5897293689307368E-2</v>
      </c>
      <c r="S1162" s="192">
        <f>IFERROR(Inv_SY!M1163/Inv_SY!$Q1163-1,"")</f>
        <v>-3.0264426199711036E-2</v>
      </c>
      <c r="T1162" s="192">
        <f>IFERROR(Inv_SY!N1163/Inv_SY!$Q1163-1,"")</f>
        <v>-3.5847943556305051E-2</v>
      </c>
      <c r="U1162" s="193">
        <f>IFERROR(Inv_SY!O1163/Inv_SY!$Q1163-1,"")</f>
        <v>-0.39357060849598169</v>
      </c>
    </row>
    <row r="1163" spans="1:21">
      <c r="A1163" s="91" t="s">
        <v>4</v>
      </c>
      <c r="B1163" s="221">
        <v>6</v>
      </c>
      <c r="C1163" s="221">
        <v>2025</v>
      </c>
      <c r="D1163" s="91" t="s">
        <v>211</v>
      </c>
      <c r="E1163" s="91" t="s">
        <v>211</v>
      </c>
      <c r="F1163" s="92">
        <v>45809</v>
      </c>
      <c r="G1163" s="212">
        <f t="shared" si="49"/>
        <v>30</v>
      </c>
      <c r="H1163" s="222">
        <f t="shared" si="50"/>
        <v>45813</v>
      </c>
      <c r="I1163" s="145">
        <f>_xlfn.XLOOKUP(Table5[[#This Row],[Month Year]],'Modelling New'!D:D,'Modelling New'!N:N)</f>
        <v>10.507</v>
      </c>
      <c r="J1163" s="192">
        <f>IFERROR(Inv_SY!J1164/Inv_SY!$P1164-1,"")</f>
        <v>7.7193550275281186E-2</v>
      </c>
      <c r="K1163" s="192">
        <f>IFERROR(Inv_SY!K1164/Inv_SY!$P1164-1,"")</f>
        <v>8.1707830583751084E-2</v>
      </c>
      <c r="L1163" s="192">
        <f>IFERROR(Inv_SY!L1164/Inv_SY!$P1164-1,"")</f>
        <v>9.1949337107718687E-2</v>
      </c>
      <c r="M1163" s="192">
        <f>IFERROR(Inv_SY!M1164/Inv_SY!$P1164-1,"")</f>
        <v>6.116455586069014E-2</v>
      </c>
      <c r="N1163" s="192">
        <f>IFERROR(Inv_SY!N1164/Inv_SY!$P1164-1,"")</f>
        <v>3.8471446200637249E-2</v>
      </c>
      <c r="O1163" s="192">
        <f>IFERROR(Inv_SY!O1164/Inv_SY!$P1164-1,"")</f>
        <v>-0.35048672002807824</v>
      </c>
      <c r="P1163" s="192">
        <f>IFERROR(Inv_SY!J1164/Inv_SY!$Q1164-1,"")</f>
        <v>-1.3513252246227569E-2</v>
      </c>
      <c r="Q1163" s="192">
        <f>IFERROR(Inv_SY!K1164/Inv_SY!$Q1164-1,"")</f>
        <v>-9.3791041176825019E-3</v>
      </c>
      <c r="R1163" s="192">
        <f>IFERROR(Inv_SY!L1164/Inv_SY!$Q1164-1,"")</f>
        <v>0</v>
      </c>
      <c r="S1163" s="192">
        <f>IFERROR(Inv_SY!M1164/Inv_SY!$Q1164-1,"")</f>
        <v>-2.8192499597617937E-2</v>
      </c>
      <c r="T1163" s="192">
        <f>IFERROR(Inv_SY!N1164/Inv_SY!$Q1164-1,"")</f>
        <v>-4.8974699731701876E-2</v>
      </c>
      <c r="U1163" s="193">
        <f>IFERROR(Inv_SY!O1164/Inv_SY!$Q1164-1,"")</f>
        <v>-0.40518002264435771</v>
      </c>
    </row>
    <row r="1164" spans="1:21">
      <c r="A1164" s="91" t="s">
        <v>4</v>
      </c>
      <c r="B1164" s="221">
        <v>6</v>
      </c>
      <c r="C1164" s="221">
        <v>2025</v>
      </c>
      <c r="D1164" s="91" t="s">
        <v>211</v>
      </c>
      <c r="E1164" s="91" t="s">
        <v>211</v>
      </c>
      <c r="F1164" s="92">
        <v>45809</v>
      </c>
      <c r="G1164" s="212">
        <f t="shared" si="49"/>
        <v>30</v>
      </c>
      <c r="H1164" s="222">
        <f t="shared" si="50"/>
        <v>45814</v>
      </c>
      <c r="I1164" s="145">
        <f>_xlfn.XLOOKUP(Table5[[#This Row],[Month Year]],'Modelling New'!D:D,'Modelling New'!N:N)</f>
        <v>10.507</v>
      </c>
      <c r="J1164" s="192">
        <f>IFERROR(Inv_SY!J1165/Inv_SY!$P1165-1,"")</f>
        <v>7.2785206777634892E-2</v>
      </c>
      <c r="K1164" s="192">
        <f>IFERROR(Inv_SY!K1165/Inv_SY!$P1165-1,"")</f>
        <v>9.2734328418927037E-2</v>
      </c>
      <c r="L1164" s="192">
        <f>IFERROR(Inv_SY!L1165/Inv_SY!$P1165-1,"")</f>
        <v>8.2550104166240423E-2</v>
      </c>
      <c r="M1164" s="192">
        <f>IFERROR(Inv_SY!M1165/Inv_SY!$P1165-1,"")</f>
        <v>8.7237944157512182E-2</v>
      </c>
      <c r="N1164" s="192">
        <f>IFERROR(Inv_SY!N1165/Inv_SY!$P1165-1,"")</f>
        <v>3.856518308747825E-2</v>
      </c>
      <c r="O1164" s="192">
        <f>IFERROR(Inv_SY!O1165/Inv_SY!$P1165-1,"")</f>
        <v>-0.37387276660779367</v>
      </c>
      <c r="P1164" s="192">
        <f>IFERROR(Inv_SY!J1165/Inv_SY!$Q1165-1,"")</f>
        <v>-1.8256149845824354E-2</v>
      </c>
      <c r="Q1164" s="192">
        <f>IFERROR(Inv_SY!K1165/Inv_SY!$Q1165-1,"")</f>
        <v>0</v>
      </c>
      <c r="R1164" s="192">
        <f>IFERROR(Inv_SY!L1165/Inv_SY!$Q1165-1,"")</f>
        <v>-9.3199453772282448E-3</v>
      </c>
      <c r="S1164" s="192">
        <f>IFERROR(Inv_SY!M1165/Inv_SY!$Q1165-1,"")</f>
        <v>-5.0299364799563095E-3</v>
      </c>
      <c r="T1164" s="192">
        <f>IFERROR(Inv_SY!N1165/Inv_SY!$Q1165-1,"")</f>
        <v>-4.9572109086959748E-2</v>
      </c>
      <c r="U1164" s="193">
        <f>IFERROR(Inv_SY!O1165/Inv_SY!$Q1165-1,"")</f>
        <v>-0.42700872745697727</v>
      </c>
    </row>
    <row r="1165" spans="1:21">
      <c r="A1165" s="91" t="s">
        <v>4</v>
      </c>
      <c r="B1165" s="221">
        <v>6</v>
      </c>
      <c r="C1165" s="221">
        <v>2025</v>
      </c>
      <c r="D1165" s="91" t="s">
        <v>211</v>
      </c>
      <c r="E1165" s="91" t="s">
        <v>211</v>
      </c>
      <c r="F1165" s="92">
        <v>45809</v>
      </c>
      <c r="G1165" s="212">
        <f t="shared" si="49"/>
        <v>30</v>
      </c>
      <c r="H1165" s="222">
        <f t="shared" si="50"/>
        <v>45815</v>
      </c>
      <c r="I1165" s="145">
        <f>_xlfn.XLOOKUP(Table5[[#This Row],[Month Year]],'Modelling New'!D:D,'Modelling New'!N:N)</f>
        <v>10.507</v>
      </c>
      <c r="J1165" s="192">
        <f>IFERROR(Inv_SY!J1166/Inv_SY!$P1166-1,"")</f>
        <v>3.4597557413764246E-2</v>
      </c>
      <c r="K1165" s="192">
        <f>IFERROR(Inv_SY!K1166/Inv_SY!$P1166-1,"")</f>
        <v>0.10972235543095987</v>
      </c>
      <c r="L1165" s="192">
        <f>IFERROR(Inv_SY!L1166/Inv_SY!$P1166-1,"")</f>
        <v>8.6505580829847828E-2</v>
      </c>
      <c r="M1165" s="192">
        <f>IFERROR(Inv_SY!M1166/Inv_SY!$P1166-1,"")</f>
        <v>9.3229985545919991E-2</v>
      </c>
      <c r="N1165" s="192">
        <f>IFERROR(Inv_SY!N1166/Inv_SY!$P1166-1,"")</f>
        <v>6.6855767072475647E-2</v>
      </c>
      <c r="O1165" s="192">
        <f>IFERROR(Inv_SY!O1166/Inv_SY!$P1166-1,"")</f>
        <v>-0.3909112462929667</v>
      </c>
      <c r="P1165" s="192">
        <f>IFERROR(Inv_SY!J1166/Inv_SY!$Q1166-1,"")</f>
        <v>-6.7696931263515059E-2</v>
      </c>
      <c r="Q1165" s="192">
        <f>IFERROR(Inv_SY!K1166/Inv_SY!$Q1166-1,"")</f>
        <v>0</v>
      </c>
      <c r="R1165" s="192">
        <f>IFERROR(Inv_SY!L1166/Inv_SY!$Q1166-1,"")</f>
        <v>-2.0921246190535481E-2</v>
      </c>
      <c r="S1165" s="192">
        <f>IFERROR(Inv_SY!M1166/Inv_SY!$Q1166-1,"")</f>
        <v>-1.4861708250110017E-2</v>
      </c>
      <c r="T1165" s="192">
        <f>IFERROR(Inv_SY!N1166/Inv_SY!$Q1166-1,"")</f>
        <v>-3.8628210154275089E-2</v>
      </c>
      <c r="U1165" s="193">
        <f>IFERROR(Inv_SY!O1166/Inv_SY!$Q1166-1,"")</f>
        <v>-0.45113410509740148</v>
      </c>
    </row>
    <row r="1166" spans="1:21">
      <c r="A1166" s="91" t="s">
        <v>4</v>
      </c>
      <c r="B1166" s="221">
        <v>6</v>
      </c>
      <c r="C1166" s="221">
        <v>2025</v>
      </c>
      <c r="D1166" s="91" t="s">
        <v>211</v>
      </c>
      <c r="E1166" s="91" t="s">
        <v>211</v>
      </c>
      <c r="F1166" s="92">
        <v>45809</v>
      </c>
      <c r="G1166" s="212">
        <f t="shared" si="49"/>
        <v>30</v>
      </c>
      <c r="H1166" s="222">
        <f t="shared" si="50"/>
        <v>45816</v>
      </c>
      <c r="I1166" s="145">
        <f>_xlfn.XLOOKUP(Table5[[#This Row],[Month Year]],'Modelling New'!D:D,'Modelling New'!N:N)</f>
        <v>10.507</v>
      </c>
      <c r="J1166" s="192">
        <f>IFERROR(Inv_SY!J1167/Inv_SY!$P1167-1,"")</f>
        <v>9.2969290502453061E-2</v>
      </c>
      <c r="K1166" s="192">
        <f>IFERROR(Inv_SY!K1167/Inv_SY!$P1167-1,"")</f>
        <v>9.3060040991915338E-2</v>
      </c>
      <c r="L1166" s="192">
        <f>IFERROR(Inv_SY!L1167/Inv_SY!$P1167-1,"")</f>
        <v>7.2438091621986E-2</v>
      </c>
      <c r="M1166" s="192">
        <f>IFERROR(Inv_SY!M1167/Inv_SY!$P1167-1,"")</f>
        <v>5.1236563223982845E-2</v>
      </c>
      <c r="N1166" s="192">
        <f>IFERROR(Inv_SY!N1167/Inv_SY!$P1167-1,"")</f>
        <v>5.2388412285745201E-2</v>
      </c>
      <c r="O1166" s="192">
        <f>IFERROR(Inv_SY!O1167/Inv_SY!$P1167-1,"")</f>
        <v>-0.362092398626082</v>
      </c>
      <c r="P1166" s="192">
        <f>IFERROR(Inv_SY!J1167/Inv_SY!$Q1167-1,"")</f>
        <v>-8.3024249409091588E-5</v>
      </c>
      <c r="Q1166" s="192">
        <f>IFERROR(Inv_SY!K1167/Inv_SY!$Q1167-1,"")</f>
        <v>0</v>
      </c>
      <c r="R1166" s="192">
        <f>IFERROR(Inv_SY!L1167/Inv_SY!$Q1167-1,"")</f>
        <v>-1.8866254914245761E-2</v>
      </c>
      <c r="S1166" s="192">
        <f>IFERROR(Inv_SY!M1167/Inv_SY!$Q1167-1,"")</f>
        <v>-3.826274513701855E-2</v>
      </c>
      <c r="T1166" s="192">
        <f>IFERROR(Inv_SY!N1167/Inv_SY!$Q1167-1,"")</f>
        <v>-3.7208961247235828E-2</v>
      </c>
      <c r="U1166" s="193">
        <f>IFERROR(Inv_SY!O1167/Inv_SY!$Q1167-1,"")</f>
        <v>-0.41640204796523517</v>
      </c>
    </row>
    <row r="1167" spans="1:21">
      <c r="A1167" s="91" t="s">
        <v>4</v>
      </c>
      <c r="B1167" s="221">
        <v>6</v>
      </c>
      <c r="C1167" s="221">
        <v>2025</v>
      </c>
      <c r="D1167" s="91" t="s">
        <v>211</v>
      </c>
      <c r="E1167" s="91" t="s">
        <v>211</v>
      </c>
      <c r="F1167" s="92">
        <v>45809</v>
      </c>
      <c r="G1167" s="212">
        <f t="shared" si="49"/>
        <v>30</v>
      </c>
      <c r="H1167" s="222">
        <f t="shared" si="50"/>
        <v>45817</v>
      </c>
      <c r="I1167" s="145">
        <f>_xlfn.XLOOKUP(Table5[[#This Row],[Month Year]],'Modelling New'!D:D,'Modelling New'!N:N)</f>
        <v>10.507</v>
      </c>
      <c r="J1167" s="192">
        <f>IFERROR(Inv_SY!J1168/Inv_SY!$P1168-1,"")</f>
        <v>3.1040709735037364E-3</v>
      </c>
      <c r="K1167" s="192">
        <f>IFERROR(Inv_SY!K1168/Inv_SY!$P1168-1,"")</f>
        <v>3.0609954842322873E-2</v>
      </c>
      <c r="L1167" s="192">
        <f>IFERROR(Inv_SY!L1168/Inv_SY!$P1168-1,"")</f>
        <v>2.4163392934203332E-2</v>
      </c>
      <c r="M1167" s="192">
        <f>IFERROR(Inv_SY!M1168/Inv_SY!$P1168-1,"")</f>
        <v>5.2093632041216864E-3</v>
      </c>
      <c r="N1167" s="192">
        <f>IFERROR(Inv_SY!N1168/Inv_SY!$P1168-1,"")</f>
        <v>-1.4324789652903736E-2</v>
      </c>
      <c r="O1167" s="192">
        <f>IFERROR(Inv_SY!O1168/Inv_SY!$P1168-1,"")</f>
        <v>-4.8761992301248336E-2</v>
      </c>
      <c r="P1167" s="192">
        <f>IFERROR(Inv_SY!J1168/Inv_SY!$Q1168-1,"")</f>
        <v>-2.6688936720999812E-2</v>
      </c>
      <c r="Q1167" s="192">
        <f>IFERROR(Inv_SY!K1168/Inv_SY!$Q1168-1,"")</f>
        <v>0</v>
      </c>
      <c r="R1167" s="192">
        <f>IFERROR(Inv_SY!L1168/Inv_SY!$Q1168-1,"")</f>
        <v>-6.2550937702768872E-3</v>
      </c>
      <c r="S1167" s="192">
        <f>IFERROR(Inv_SY!M1168/Inv_SY!$Q1168-1,"")</f>
        <v>-2.4646173383884529E-2</v>
      </c>
      <c r="T1167" s="192">
        <f>IFERROR(Inv_SY!N1168/Inv_SY!$Q1168-1,"")</f>
        <v>-4.3600145995194906E-2</v>
      </c>
      <c r="U1167" s="193">
        <f>IFERROR(Inv_SY!O1168/Inv_SY!$Q1168-1,"")</f>
        <v>-7.7014535684079122E-2</v>
      </c>
    </row>
    <row r="1168" spans="1:21">
      <c r="A1168" s="91" t="s">
        <v>4</v>
      </c>
      <c r="B1168" s="221">
        <v>6</v>
      </c>
      <c r="C1168" s="221">
        <v>2025</v>
      </c>
      <c r="D1168" s="91" t="s">
        <v>211</v>
      </c>
      <c r="E1168" s="91" t="s">
        <v>211</v>
      </c>
      <c r="F1168" s="92">
        <v>45809</v>
      </c>
      <c r="G1168" s="212">
        <f t="shared" si="49"/>
        <v>30</v>
      </c>
      <c r="H1168" s="222">
        <f t="shared" si="50"/>
        <v>45818</v>
      </c>
      <c r="I1168" s="145">
        <f>_xlfn.XLOOKUP(Table5[[#This Row],[Month Year]],'Modelling New'!D:D,'Modelling New'!N:N)</f>
        <v>10.507</v>
      </c>
      <c r="J1168" s="192">
        <f>IFERROR(Inv_SY!J1169/Inv_SY!$P1169-1,"")</f>
        <v>5.8050242426071597E-2</v>
      </c>
      <c r="K1168" s="192">
        <f>IFERROR(Inv_SY!K1169/Inv_SY!$P1169-1,"")</f>
        <v>5.3626899389140892E-2</v>
      </c>
      <c r="L1168" s="192">
        <f>IFERROR(Inv_SY!L1169/Inv_SY!$P1169-1,"")</f>
        <v>5.4551480607394121E-2</v>
      </c>
      <c r="M1168" s="192">
        <f>IFERROR(Inv_SY!M1169/Inv_SY!$P1169-1,"")</f>
        <v>1.0897084157889703E-2</v>
      </c>
      <c r="N1168" s="192">
        <f>IFERROR(Inv_SY!N1169/Inv_SY!$P1169-1,"")</f>
        <v>1.7597437440467489E-2</v>
      </c>
      <c r="O1168" s="192">
        <f>IFERROR(Inv_SY!O1169/Inv_SY!$P1169-1,"")</f>
        <v>-0.19472314402096391</v>
      </c>
      <c r="P1168" s="192">
        <f>IFERROR(Inv_SY!J1169/Inv_SY!$Q1169-1,"")</f>
        <v>0</v>
      </c>
      <c r="Q1168" s="192">
        <f>IFERROR(Inv_SY!K1169/Inv_SY!$Q1169-1,"")</f>
        <v>-4.1806550006436849E-3</v>
      </c>
      <c r="R1168" s="192">
        <f>IFERROR(Inv_SY!L1169/Inv_SY!$Q1169-1,"")</f>
        <v>-3.3068012069588093E-3</v>
      </c>
      <c r="S1168" s="192">
        <f>IFERROR(Inv_SY!M1169/Inv_SY!$Q1169-1,"")</f>
        <v>-4.4566086162469376E-2</v>
      </c>
      <c r="T1168" s="192">
        <f>IFERROR(Inv_SY!N1169/Inv_SY!$Q1169-1,"")</f>
        <v>-3.823334976309567E-2</v>
      </c>
      <c r="U1168" s="193">
        <f>IFERROR(Inv_SY!O1169/Inv_SY!$Q1169-1,"")</f>
        <v>-0.23890489913544666</v>
      </c>
    </row>
    <row r="1169" spans="1:21">
      <c r="A1169" s="91" t="s">
        <v>4</v>
      </c>
      <c r="B1169" s="221">
        <v>6</v>
      </c>
      <c r="C1169" s="221">
        <v>2025</v>
      </c>
      <c r="D1169" s="91" t="s">
        <v>211</v>
      </c>
      <c r="E1169" s="91" t="s">
        <v>211</v>
      </c>
      <c r="F1169" s="92">
        <v>45809</v>
      </c>
      <c r="G1169" s="212">
        <f t="shared" si="49"/>
        <v>30</v>
      </c>
      <c r="H1169" s="222">
        <f t="shared" si="50"/>
        <v>45819</v>
      </c>
      <c r="I1169" s="145">
        <f>_xlfn.XLOOKUP(Table5[[#This Row],[Month Year]],'Modelling New'!D:D,'Modelling New'!N:N)</f>
        <v>10.507</v>
      </c>
      <c r="J1169" s="192">
        <f>IFERROR(Inv_SY!J1170/Inv_SY!$P1170-1,"")</f>
        <v>1.7182163959713614E-2</v>
      </c>
      <c r="K1169" s="192">
        <f>IFERROR(Inv_SY!K1170/Inv_SY!$P1170-1,"")</f>
        <v>1.6838092651070502E-2</v>
      </c>
      <c r="L1169" s="192">
        <f>IFERROR(Inv_SY!L1170/Inv_SY!$P1170-1,"")</f>
        <v>1.9839393401400951E-2</v>
      </c>
      <c r="M1169" s="192">
        <f>IFERROR(Inv_SY!M1170/Inv_SY!$P1170-1,"")</f>
        <v>-6.9727132178384332E-3</v>
      </c>
      <c r="N1169" s="192">
        <f>IFERROR(Inv_SY!N1170/Inv_SY!$P1170-1,"")</f>
        <v>3.8628529520832178E-3</v>
      </c>
      <c r="O1169" s="192">
        <f>IFERROR(Inv_SY!O1170/Inv_SY!$P1170-1,"")</f>
        <v>-5.0749789746429741E-2</v>
      </c>
      <c r="P1169" s="192">
        <f>IFERROR(Inv_SY!J1170/Inv_SY!$Q1170-1,"")</f>
        <v>-2.60553716485179E-3</v>
      </c>
      <c r="Q1169" s="192">
        <f>IFERROR(Inv_SY!K1170/Inv_SY!$Q1170-1,"")</f>
        <v>-2.9429150999162879E-3</v>
      </c>
      <c r="R1169" s="192">
        <f>IFERROR(Inv_SY!L1170/Inv_SY!$Q1170-1,"")</f>
        <v>0</v>
      </c>
      <c r="S1169" s="192">
        <f>IFERROR(Inv_SY!M1170/Inv_SY!$Q1170-1,"")</f>
        <v>-2.6290518676489572E-2</v>
      </c>
      <c r="T1169" s="192">
        <f>IFERROR(Inv_SY!N1170/Inv_SY!$Q1170-1,"")</f>
        <v>-1.5665741638036024E-2</v>
      </c>
      <c r="U1169" s="193">
        <f>IFERROR(Inv_SY!O1170/Inv_SY!$Q1170-1,"")</f>
        <v>-6.9215980089177842E-2</v>
      </c>
    </row>
    <row r="1170" spans="1:21">
      <c r="A1170" s="91" t="s">
        <v>4</v>
      </c>
      <c r="B1170" s="221">
        <v>6</v>
      </c>
      <c r="C1170" s="221">
        <v>2025</v>
      </c>
      <c r="D1170" s="91" t="s">
        <v>211</v>
      </c>
      <c r="E1170" s="91" t="s">
        <v>211</v>
      </c>
      <c r="F1170" s="92">
        <v>45809</v>
      </c>
      <c r="G1170" s="212">
        <f t="shared" si="49"/>
        <v>30</v>
      </c>
      <c r="H1170" s="222">
        <f t="shared" si="50"/>
        <v>45820</v>
      </c>
      <c r="I1170" s="145">
        <f>_xlfn.XLOOKUP(Table5[[#This Row],[Month Year]],'Modelling New'!D:D,'Modelling New'!N:N)</f>
        <v>10.507</v>
      </c>
      <c r="J1170" s="192">
        <f>IFERROR(Inv_SY!J1171/Inv_SY!$P1171-1,"")</f>
        <v>3.5289523731457884E-2</v>
      </c>
      <c r="K1170" s="192">
        <f>IFERROR(Inv_SY!K1171/Inv_SY!$P1171-1,"")</f>
        <v>7.6826209597586903E-3</v>
      </c>
      <c r="L1170" s="192">
        <f>IFERROR(Inv_SY!L1171/Inv_SY!$P1171-1,"")</f>
        <v>2.1281466574943453E-2</v>
      </c>
      <c r="M1170" s="192">
        <f>IFERROR(Inv_SY!M1171/Inv_SY!$P1171-1,"")</f>
        <v>-6.3485916227086214E-3</v>
      </c>
      <c r="N1170" s="192">
        <f>IFERROR(Inv_SY!N1171/Inv_SY!$P1171-1,"")</f>
        <v>-7.3247901406570115E-4</v>
      </c>
      <c r="O1170" s="192">
        <f>IFERROR(Inv_SY!O1171/Inv_SY!$P1171-1,"")</f>
        <v>-5.7172540629386148E-2</v>
      </c>
      <c r="P1170" s="192">
        <f>IFERROR(Inv_SY!J1171/Inv_SY!$Q1171-1,"")</f>
        <v>0</v>
      </c>
      <c r="Q1170" s="192">
        <f>IFERROR(Inv_SY!K1171/Inv_SY!$Q1171-1,"")</f>
        <v>-2.6665876683651279E-2</v>
      </c>
      <c r="R1170" s="192">
        <f>IFERROR(Inv_SY!L1171/Inv_SY!$Q1171-1,"")</f>
        <v>-1.3530569792714164E-2</v>
      </c>
      <c r="S1170" s="192">
        <f>IFERROR(Inv_SY!M1171/Inv_SY!$Q1171-1,"")</f>
        <v>-4.0218812612042742E-2</v>
      </c>
      <c r="T1170" s="192">
        <f>IFERROR(Inv_SY!N1171/Inv_SY!$Q1171-1,"")</f>
        <v>-3.4794134316834091E-2</v>
      </c>
      <c r="U1170" s="193">
        <f>IFERROR(Inv_SY!O1171/Inv_SY!$Q1171-1,"")</f>
        <v>-8.9310344827586263E-2</v>
      </c>
    </row>
    <row r="1171" spans="1:21">
      <c r="A1171" s="91" t="s">
        <v>4</v>
      </c>
      <c r="B1171" s="221">
        <v>6</v>
      </c>
      <c r="C1171" s="221">
        <v>2025</v>
      </c>
      <c r="D1171" s="91" t="s">
        <v>211</v>
      </c>
      <c r="E1171" s="91" t="s">
        <v>211</v>
      </c>
      <c r="F1171" s="92">
        <v>45809</v>
      </c>
      <c r="G1171" s="212">
        <f t="shared" si="49"/>
        <v>30</v>
      </c>
      <c r="H1171" s="222">
        <f t="shared" si="50"/>
        <v>45821</v>
      </c>
      <c r="I1171" s="145">
        <f>_xlfn.XLOOKUP(Table5[[#This Row],[Month Year]],'Modelling New'!D:D,'Modelling New'!N:N)</f>
        <v>10.507</v>
      </c>
      <c r="J1171" s="219">
        <f>IFERROR(Inv_SY!J1172/Inv_SY!$P1172-1,"")</f>
        <v>4.1151035698359095E-3</v>
      </c>
      <c r="K1171" s="219">
        <f>IFERROR(Inv_SY!K1172/Inv_SY!$P1172-1,"")</f>
        <v>4.6340018828217033E-3</v>
      </c>
      <c r="L1171" s="219">
        <f>IFERROR(Inv_SY!L1172/Inv_SY!$P1172-1,"")</f>
        <v>-2.1087601746455631E-3</v>
      </c>
      <c r="M1171" s="192">
        <f>IFERROR(Inv_SY!M1172/Inv_SY!$P1172-1,"")</f>
        <v>-2.9409801842159466E-2</v>
      </c>
      <c r="N1171" s="192">
        <f>IFERROR(Inv_SY!N1172/Inv_SY!$P1172-1,"")</f>
        <v>-2.1273058604332817E-2</v>
      </c>
      <c r="O1171" s="192">
        <f>IFERROR(Inv_SY!O1172/Inv_SY!$P1172-1,"")</f>
        <v>4.4042515168479124E-2</v>
      </c>
      <c r="P1171" s="192">
        <f>IFERROR(Inv_SY!J1172/Inv_SY!$Q1172-1,"")</f>
        <v>-3.8243089738735359E-2</v>
      </c>
      <c r="Q1171" s="192">
        <f>IFERROR(Inv_SY!K1172/Inv_SY!$Q1172-1,"")</f>
        <v>-3.7746080943167337E-2</v>
      </c>
      <c r="R1171" s="192">
        <f>IFERROR(Inv_SY!L1172/Inv_SY!$Q1172-1,"")</f>
        <v>-4.420440228497502E-2</v>
      </c>
      <c r="S1171" s="192">
        <f>IFERROR(Inv_SY!M1172/Inv_SY!$Q1172-1,"")</f>
        <v>-7.0353760448907954E-2</v>
      </c>
      <c r="T1171" s="192">
        <f>IFERROR(Inv_SY!N1172/Inv_SY!$Q1172-1,"")</f>
        <v>-6.2560262464284588E-2</v>
      </c>
      <c r="U1171" s="193">
        <f>IFERROR(Inv_SY!O1172/Inv_SY!$Q1172-1,"")</f>
        <v>0</v>
      </c>
    </row>
    <row r="1172" spans="1:21">
      <c r="A1172" s="91" t="s">
        <v>4</v>
      </c>
      <c r="B1172" s="221">
        <v>6</v>
      </c>
      <c r="C1172" s="221">
        <v>2025</v>
      </c>
      <c r="D1172" s="91" t="s">
        <v>211</v>
      </c>
      <c r="E1172" s="91" t="s">
        <v>211</v>
      </c>
      <c r="F1172" s="92">
        <v>45809</v>
      </c>
      <c r="G1172" s="212">
        <f t="shared" si="49"/>
        <v>30</v>
      </c>
      <c r="H1172" s="222">
        <f t="shared" si="50"/>
        <v>45822</v>
      </c>
      <c r="I1172" s="145">
        <f>_xlfn.XLOOKUP(Table5[[#This Row],[Month Year]],'Modelling New'!D:D,'Modelling New'!N:N)</f>
        <v>10.507</v>
      </c>
      <c r="J1172" s="219">
        <f>IFERROR(Inv_SY!J1173/Inv_SY!$P1173-1,"")</f>
        <v>-2.4181832824604177E-2</v>
      </c>
      <c r="K1172" s="219">
        <f>IFERROR(Inv_SY!K1173/Inv_SY!$P1173-1,"")</f>
        <v>-6.4061847915990455E-3</v>
      </c>
      <c r="L1172" s="219">
        <f>IFERROR(Inv_SY!L1173/Inv_SY!$P1173-1,"")</f>
        <v>9.4018999704092998E-3</v>
      </c>
      <c r="M1172" s="192">
        <f>IFERROR(Inv_SY!M1173/Inv_SY!$P1173-1,"")</f>
        <v>-3.029951401417863E-2</v>
      </c>
      <c r="N1172" s="192">
        <f>IFERROR(Inv_SY!N1173/Inv_SY!$P1173-1,"")</f>
        <v>-1.7865314194892234E-2</v>
      </c>
      <c r="O1172" s="192">
        <f>IFERROR(Inv_SY!O1173/Inv_SY!$P1173-1,"")</f>
        <v>6.9350945854863344E-2</v>
      </c>
      <c r="P1172" s="192">
        <f>IFERROR(Inv_SY!J1173/Inv_SY!$Q1173-1,"")</f>
        <v>-8.7466868610374893E-2</v>
      </c>
      <c r="Q1172" s="192">
        <f>IFERROR(Inv_SY!K1173/Inv_SY!$Q1173-1,"")</f>
        <v>-7.0844030147558579E-2</v>
      </c>
      <c r="R1172" s="192">
        <f>IFERROR(Inv_SY!L1173/Inv_SY!$Q1173-1,"")</f>
        <v>-5.6061151969645673E-2</v>
      </c>
      <c r="S1172" s="192">
        <f>IFERROR(Inv_SY!M1173/Inv_SY!$Q1173-1,"")</f>
        <v>-9.3187797939785821E-2</v>
      </c>
      <c r="T1172" s="192">
        <f>IFERROR(Inv_SY!N1173/Inv_SY!$Q1173-1,"")</f>
        <v>-8.155999710649986E-2</v>
      </c>
      <c r="U1172" s="193">
        <f>IFERROR(Inv_SY!O1173/Inv_SY!$Q1173-1,"")</f>
        <v>0</v>
      </c>
    </row>
    <row r="1173" spans="1:21">
      <c r="A1173" s="91" t="s">
        <v>4</v>
      </c>
      <c r="B1173" s="221">
        <v>6</v>
      </c>
      <c r="C1173" s="221">
        <v>2025</v>
      </c>
      <c r="D1173" s="91" t="s">
        <v>211</v>
      </c>
      <c r="E1173" s="91" t="s">
        <v>211</v>
      </c>
      <c r="F1173" s="92">
        <v>45809</v>
      </c>
      <c r="G1173" s="212">
        <f t="shared" si="49"/>
        <v>30</v>
      </c>
      <c r="H1173" s="222">
        <f t="shared" si="50"/>
        <v>45823</v>
      </c>
      <c r="I1173" s="145">
        <f>_xlfn.XLOOKUP(Table5[[#This Row],[Month Year]],'Modelling New'!D:D,'Modelling New'!N:N)</f>
        <v>10.507</v>
      </c>
      <c r="J1173" s="219">
        <f>IFERROR(Inv_SY!J1174/Inv_SY!$P1174-1,"")</f>
        <v>-3.7337227672086248E-2</v>
      </c>
      <c r="K1173" s="219">
        <f>IFERROR(Inv_SY!K1174/Inv_SY!$P1174-1,"")</f>
        <v>-3.9671560029686859E-2</v>
      </c>
      <c r="L1173" s="219">
        <f>IFERROR(Inv_SY!L1174/Inv_SY!$P1174-1,"")</f>
        <v>-3.620493849159967E-2</v>
      </c>
      <c r="M1173" s="192">
        <f>IFERROR(Inv_SY!M1174/Inv_SY!$P1174-1,"")</f>
        <v>-7.1274208601505462E-2</v>
      </c>
      <c r="N1173" s="192">
        <f>IFERROR(Inv_SY!N1174/Inv_SY!$P1174-1,"")</f>
        <v>-6.1782840557091379E-2</v>
      </c>
      <c r="O1173" s="192">
        <f>IFERROR(Inv_SY!O1174/Inv_SY!$P1174-1,"")</f>
        <v>0.24627077535197062</v>
      </c>
      <c r="P1173" s="192">
        <f>IFERROR(Inv_SY!J1174/Inv_SY!$Q1174-1,"")</f>
        <v>-0.22756531616811804</v>
      </c>
      <c r="Q1173" s="192">
        <f>IFERROR(Inv_SY!K1174/Inv_SY!$Q1174-1,"")</f>
        <v>-0.22943837008526646</v>
      </c>
      <c r="R1173" s="192">
        <f>IFERROR(Inv_SY!L1174/Inv_SY!$Q1174-1,"")</f>
        <v>-0.22665677429834119</v>
      </c>
      <c r="S1173" s="192">
        <f>IFERROR(Inv_SY!M1174/Inv_SY!$Q1174-1,"")</f>
        <v>-0.25479614080158086</v>
      </c>
      <c r="T1173" s="192">
        <f>IFERROR(Inv_SY!N1174/Inv_SY!$Q1174-1,"")</f>
        <v>-0.24718032549713098</v>
      </c>
      <c r="U1173" s="193">
        <f>IFERROR(Inv_SY!O1174/Inv_SY!$Q1174-1,"")</f>
        <v>0</v>
      </c>
    </row>
    <row r="1174" spans="1:21">
      <c r="A1174" s="91" t="s">
        <v>4</v>
      </c>
      <c r="B1174" s="221">
        <v>6</v>
      </c>
      <c r="C1174" s="221">
        <v>2025</v>
      </c>
      <c r="D1174" s="91" t="s">
        <v>211</v>
      </c>
      <c r="E1174" s="91" t="s">
        <v>211</v>
      </c>
      <c r="F1174" s="92">
        <v>45809</v>
      </c>
      <c r="G1174" s="212">
        <f t="shared" si="49"/>
        <v>30</v>
      </c>
      <c r="H1174" s="222">
        <f t="shared" si="50"/>
        <v>45824</v>
      </c>
      <c r="I1174" s="145">
        <f>_xlfn.XLOOKUP(Table5[[#This Row],[Month Year]],'Modelling New'!D:D,'Modelling New'!N:N)</f>
        <v>10.507</v>
      </c>
      <c r="J1174" s="219">
        <f>IFERROR(Inv_SY!J1175/Inv_SY!$P1175-1,"")</f>
        <v>2.5704061529623123E-2</v>
      </c>
      <c r="K1174" s="219">
        <f>IFERROR(Inv_SY!K1175/Inv_SY!$P1175-1,"")</f>
        <v>2.6702183199560636E-3</v>
      </c>
      <c r="L1174" s="219">
        <f>IFERROR(Inv_SY!L1175/Inv_SY!$P1175-1,"")</f>
        <v>1.0106720339308151E-2</v>
      </c>
      <c r="M1174" s="192">
        <f>IFERROR(Inv_SY!M1175/Inv_SY!$P1175-1,"")</f>
        <v>-1.4285426793106293E-2</v>
      </c>
      <c r="N1174" s="192">
        <f>IFERROR(Inv_SY!N1175/Inv_SY!$P1175-1,"")</f>
        <v>-1.1038716018635708E-2</v>
      </c>
      <c r="O1174" s="192">
        <f>IFERROR(Inv_SY!O1175/Inv_SY!$P1175-1,"")</f>
        <v>-1.3156857377145781E-2</v>
      </c>
      <c r="P1174" s="192">
        <f>IFERROR(Inv_SY!J1175/Inv_SY!$Q1175-1,"")</f>
        <v>0</v>
      </c>
      <c r="Q1174" s="192">
        <f>IFERROR(Inv_SY!K1175/Inv_SY!$Q1175-1,"")</f>
        <v>-2.2456616945941477E-2</v>
      </c>
      <c r="R1174" s="192">
        <f>IFERROR(Inv_SY!L1175/Inv_SY!$Q1175-1,"")</f>
        <v>-1.5206473070853321E-2</v>
      </c>
      <c r="S1174" s="192">
        <f>IFERROR(Inv_SY!M1175/Inv_SY!$Q1175-1,"")</f>
        <v>-3.8987354952161879E-2</v>
      </c>
      <c r="T1174" s="192">
        <f>IFERROR(Inv_SY!N1175/Inv_SY!$Q1175-1,"")</f>
        <v>-3.5822006489342306E-2</v>
      </c>
      <c r="U1174" s="193">
        <f>IFERROR(Inv_SY!O1175/Inv_SY!$Q1175-1,"")</f>
        <v>-3.7887067395264151E-2</v>
      </c>
    </row>
    <row r="1175" spans="1:21">
      <c r="A1175" s="91" t="s">
        <v>4</v>
      </c>
      <c r="B1175" s="221">
        <v>6</v>
      </c>
      <c r="C1175" s="221">
        <v>2025</v>
      </c>
      <c r="D1175" s="91" t="s">
        <v>211</v>
      </c>
      <c r="E1175" s="91" t="s">
        <v>211</v>
      </c>
      <c r="F1175" s="92">
        <v>45809</v>
      </c>
      <c r="G1175" s="212">
        <f t="shared" si="49"/>
        <v>30</v>
      </c>
      <c r="H1175" s="222">
        <f t="shared" si="50"/>
        <v>45825</v>
      </c>
      <c r="I1175" s="145">
        <f>_xlfn.XLOOKUP(Table5[[#This Row],[Month Year]],'Modelling New'!D:D,'Modelling New'!N:N)</f>
        <v>10.507</v>
      </c>
      <c r="J1175" s="219">
        <f>IFERROR(Inv_SY!J1176/Inv_SY!$P1176-1,"")</f>
        <v>-1.0734410426842644E-2</v>
      </c>
      <c r="K1175" s="219">
        <f>IFERROR(Inv_SY!K1176/Inv_SY!$P1176-1,"")</f>
        <v>-3.3121073202141638E-2</v>
      </c>
      <c r="L1175" s="219">
        <f>IFERROR(Inv_SY!L1176/Inv_SY!$P1176-1,"")</f>
        <v>-1.1348779928619268E-2</v>
      </c>
      <c r="M1175" s="192">
        <f>IFERROR(Inv_SY!M1176/Inv_SY!$P1176-1,"")</f>
        <v>-2.6812778916267543E-2</v>
      </c>
      <c r="N1175" s="192">
        <f>IFERROR(Inv_SY!N1176/Inv_SY!$P1176-1,"")</f>
        <v>-2.6447285936273435E-2</v>
      </c>
      <c r="O1175" s="192">
        <f>IFERROR(Inv_SY!O1176/Inv_SY!$P1176-1,"")</f>
        <v>0.10846432841014364</v>
      </c>
      <c r="P1175" s="192">
        <f>IFERROR(Inv_SY!J1176/Inv_SY!$Q1176-1,"")</f>
        <v>-0.10753502461188946</v>
      </c>
      <c r="Q1175" s="192">
        <f>IFERROR(Inv_SY!K1176/Inv_SY!$Q1176-1,"")</f>
        <v>-0.12773113034260597</v>
      </c>
      <c r="R1175" s="192">
        <f>IFERROR(Inv_SY!L1176/Inv_SY!$Q1176-1,"")</f>
        <v>-0.10808927745163377</v>
      </c>
      <c r="S1175" s="192">
        <f>IFERROR(Inv_SY!M1176/Inv_SY!$Q1176-1,"")</f>
        <v>-0.12204010887787198</v>
      </c>
      <c r="T1175" s="192">
        <f>IFERROR(Inv_SY!N1176/Inv_SY!$Q1176-1,"")</f>
        <v>-0.12171037974665277</v>
      </c>
      <c r="U1175" s="193">
        <f>IFERROR(Inv_SY!O1176/Inv_SY!$Q1176-1,"")</f>
        <v>0</v>
      </c>
    </row>
    <row r="1176" spans="1:21">
      <c r="A1176" s="91" t="s">
        <v>4</v>
      </c>
      <c r="B1176" s="221">
        <v>6</v>
      </c>
      <c r="C1176" s="221">
        <v>2025</v>
      </c>
      <c r="D1176" s="91" t="s">
        <v>211</v>
      </c>
      <c r="E1176" s="91" t="s">
        <v>211</v>
      </c>
      <c r="F1176" s="92">
        <v>45809</v>
      </c>
      <c r="G1176" s="212">
        <f t="shared" si="49"/>
        <v>30</v>
      </c>
      <c r="H1176" s="222">
        <f t="shared" si="50"/>
        <v>45826</v>
      </c>
      <c r="I1176" s="145">
        <f>_xlfn.XLOOKUP(Table5[[#This Row],[Month Year]],'Modelling New'!D:D,'Modelling New'!N:N)</f>
        <v>10.507</v>
      </c>
      <c r="J1176" s="219">
        <f>IFERROR(Inv_SY!J1177/Inv_SY!$P1177-1,"")</f>
        <v>1.8776358497978318E-2</v>
      </c>
      <c r="K1176" s="219">
        <f>IFERROR(Inv_SY!K1177/Inv_SY!$P1177-1,"")</f>
        <v>1.9176791855482378E-2</v>
      </c>
      <c r="L1176" s="219">
        <f>IFERROR(Inv_SY!L1177/Inv_SY!$P1177-1,"")</f>
        <v>1.0699552773408616E-2</v>
      </c>
      <c r="M1176" s="192">
        <f>IFERROR(Inv_SY!M1177/Inv_SY!$P1177-1,"")</f>
        <v>-1.8275566308780578E-2</v>
      </c>
      <c r="N1176" s="192">
        <f>IFERROR(Inv_SY!N1177/Inv_SY!$P1177-1,"")</f>
        <v>-1.1829686034598996E-3</v>
      </c>
      <c r="O1176" s="192">
        <f>IFERROR(Inv_SY!O1177/Inv_SY!$P1177-1,"")</f>
        <v>-2.9194168214627281E-2</v>
      </c>
      <c r="P1176" s="192">
        <f>IFERROR(Inv_SY!J1177/Inv_SY!$Q1177-1,"")</f>
        <v>-3.9289881863879828E-4</v>
      </c>
      <c r="Q1176" s="192">
        <f>IFERROR(Inv_SY!K1177/Inv_SY!$Q1177-1,"")</f>
        <v>0</v>
      </c>
      <c r="R1176" s="192">
        <f>IFERROR(Inv_SY!L1177/Inv_SY!$Q1177-1,"")</f>
        <v>-8.3177316730695949E-3</v>
      </c>
      <c r="S1176" s="192">
        <f>IFERROR(Inv_SY!M1177/Inv_SY!$Q1177-1,"")</f>
        <v>-3.6747656013711105E-2</v>
      </c>
      <c r="T1176" s="192">
        <f>IFERROR(Inv_SY!N1177/Inv_SY!$Q1177-1,"")</f>
        <v>-1.9976671978446325E-2</v>
      </c>
      <c r="U1176" s="193">
        <f>IFERROR(Inv_SY!O1177/Inv_SY!$Q1177-1,"")</f>
        <v>-4.7460813920268796E-2</v>
      </c>
    </row>
    <row r="1177" spans="1:21">
      <c r="A1177" s="91" t="s">
        <v>4</v>
      </c>
      <c r="B1177" s="221">
        <v>6</v>
      </c>
      <c r="C1177" s="221">
        <v>2025</v>
      </c>
      <c r="D1177" s="91" t="s">
        <v>211</v>
      </c>
      <c r="E1177" s="91" t="s">
        <v>211</v>
      </c>
      <c r="F1177" s="92">
        <v>45809</v>
      </c>
      <c r="G1177" s="212">
        <f t="shared" si="49"/>
        <v>30</v>
      </c>
      <c r="H1177" s="222">
        <f t="shared" si="50"/>
        <v>45827</v>
      </c>
      <c r="I1177" s="145">
        <f>_xlfn.XLOOKUP(Table5[[#This Row],[Month Year]],'Modelling New'!D:D,'Modelling New'!N:N)</f>
        <v>10.507</v>
      </c>
      <c r="J1177" s="219">
        <f>IFERROR(Inv_SY!J1178/Inv_SY!$P1178-1,"")</f>
        <v>6.2464525259859016E-2</v>
      </c>
      <c r="K1177" s="219">
        <f>IFERROR(Inv_SY!K1178/Inv_SY!$P1178-1,"")</f>
        <v>6.2805906524315835E-2</v>
      </c>
      <c r="L1177" s="219">
        <f>IFERROR(Inv_SY!L1178/Inv_SY!$P1178-1,"")</f>
        <v>4.931656671786766E-2</v>
      </c>
      <c r="M1177" s="192">
        <f>IFERROR(Inv_SY!M1178/Inv_SY!$P1178-1,"")</f>
        <v>-4.6895048474951184E-2</v>
      </c>
      <c r="N1177" s="192">
        <f>IFERROR(Inv_SY!N1178/Inv_SY!$P1178-1,"")</f>
        <v>3.0054166973872753E-2</v>
      </c>
      <c r="O1177" s="192">
        <f>IFERROR(Inv_SY!O1178/Inv_SY!$P1178-1,"")</f>
        <v>-0.15774611700096419</v>
      </c>
      <c r="P1177" s="192">
        <f>IFERROR(Inv_SY!J1178/Inv_SY!$Q1178-1,"")</f>
        <v>-3.2120753409548009E-4</v>
      </c>
      <c r="Q1177" s="192">
        <f>IFERROR(Inv_SY!K1178/Inv_SY!$Q1178-1,"")</f>
        <v>0</v>
      </c>
      <c r="R1177" s="192">
        <f>IFERROR(Inv_SY!L1178/Inv_SY!$Q1178-1,"")</f>
        <v>-1.26921949940626E-2</v>
      </c>
      <c r="S1177" s="192">
        <f>IFERROR(Inv_SY!M1178/Inv_SY!$Q1178-1,"")</f>
        <v>-0.10321823987412804</v>
      </c>
      <c r="T1177" s="192">
        <f>IFERROR(Inv_SY!N1178/Inv_SY!$Q1178-1,"")</f>
        <v>-3.081629425409449E-2</v>
      </c>
      <c r="U1177" s="193">
        <f>IFERROR(Inv_SY!O1178/Inv_SY!$Q1178-1,"")</f>
        <v>-0.20751862797464982</v>
      </c>
    </row>
    <row r="1178" spans="1:21">
      <c r="A1178" s="91" t="s">
        <v>4</v>
      </c>
      <c r="B1178" s="221">
        <v>6</v>
      </c>
      <c r="C1178" s="221">
        <v>2025</v>
      </c>
      <c r="D1178" s="91" t="s">
        <v>211</v>
      </c>
      <c r="E1178" s="91" t="s">
        <v>211</v>
      </c>
      <c r="F1178" s="92">
        <v>45809</v>
      </c>
      <c r="G1178" s="212">
        <f t="shared" si="49"/>
        <v>30</v>
      </c>
      <c r="H1178" s="222">
        <f t="shared" si="50"/>
        <v>45828</v>
      </c>
      <c r="I1178" s="145">
        <f>_xlfn.XLOOKUP(Table5[[#This Row],[Month Year]],'Modelling New'!D:D,'Modelling New'!N:N)</f>
        <v>10.507</v>
      </c>
      <c r="J1178" s="219">
        <f>IFERROR(Inv_SY!J1179/Inv_SY!$P1179-1,"")</f>
        <v>6.9118106804666679E-2</v>
      </c>
      <c r="K1178" s="219">
        <f>IFERROR(Inv_SY!K1179/Inv_SY!$P1179-1,"")</f>
        <v>7.8269772920384506E-2</v>
      </c>
      <c r="L1178" s="219">
        <f>IFERROR(Inv_SY!L1179/Inv_SY!$P1179-1,"")</f>
        <v>5.2486615402794978E-2</v>
      </c>
      <c r="M1178" s="192">
        <f>IFERROR(Inv_SY!M1179/Inv_SY!$P1179-1,"")</f>
        <v>4.2362435529199605E-2</v>
      </c>
      <c r="N1178" s="192">
        <f>IFERROR(Inv_SY!N1179/Inv_SY!$P1179-1,"")</f>
        <v>2.5327033008031741E-2</v>
      </c>
      <c r="O1178" s="192">
        <f>IFERROR(Inv_SY!O1179/Inv_SY!$P1179-1,"")</f>
        <v>-0.26756396366507795</v>
      </c>
      <c r="P1178" s="192">
        <f>IFERROR(Inv_SY!J1179/Inv_SY!$Q1179-1,"")</f>
        <v>-8.4873622033672103E-3</v>
      </c>
      <c r="Q1178" s="192">
        <f>IFERROR(Inv_SY!K1179/Inv_SY!$Q1179-1,"")</f>
        <v>0</v>
      </c>
      <c r="R1178" s="192">
        <f>IFERROR(Inv_SY!L1179/Inv_SY!$Q1179-1,"")</f>
        <v>-2.3911601869129995E-2</v>
      </c>
      <c r="S1178" s="192">
        <f>IFERROR(Inv_SY!M1179/Inv_SY!$Q1179-1,"")</f>
        <v>-3.3300884707111345E-2</v>
      </c>
      <c r="T1178" s="192">
        <f>IFERROR(Inv_SY!N1179/Inv_SY!$Q1179-1,"")</f>
        <v>-4.9099716269484839E-2</v>
      </c>
      <c r="U1178" s="193">
        <f>IFERROR(Inv_SY!O1179/Inv_SY!$Q1179-1,"")</f>
        <v>-0.32073025254969989</v>
      </c>
    </row>
    <row r="1179" spans="1:21">
      <c r="A1179" s="91" t="s">
        <v>4</v>
      </c>
      <c r="B1179" s="221">
        <v>6</v>
      </c>
      <c r="C1179" s="221">
        <v>2025</v>
      </c>
      <c r="D1179" s="91" t="s">
        <v>211</v>
      </c>
      <c r="E1179" s="91" t="s">
        <v>211</v>
      </c>
      <c r="F1179" s="92">
        <v>45809</v>
      </c>
      <c r="G1179" s="212">
        <f t="shared" si="49"/>
        <v>30</v>
      </c>
      <c r="H1179" s="222">
        <f t="shared" si="50"/>
        <v>45829</v>
      </c>
      <c r="I1179" s="145">
        <f>_xlfn.XLOOKUP(Table5[[#This Row],[Month Year]],'Modelling New'!D:D,'Modelling New'!N:N)</f>
        <v>10.507</v>
      </c>
      <c r="J1179" s="219">
        <f>IFERROR(Inv_SY!J1180/Inv_SY!$P1180-1,"")</f>
        <v>7.953073189698201E-2</v>
      </c>
      <c r="K1179" s="219">
        <f>IFERROR(Inv_SY!K1180/Inv_SY!$P1180-1,"")</f>
        <v>7.570998798286821E-2</v>
      </c>
      <c r="L1179" s="219">
        <f>IFERROR(Inv_SY!L1180/Inv_SY!$P1180-1,"")</f>
        <v>5.0074761141190471E-2</v>
      </c>
      <c r="M1179" s="219">
        <f>IFERROR(Inv_SY!M1180/Inv_SY!$P1180-1,"")</f>
        <v>2.6643240577375993E-2</v>
      </c>
      <c r="N1179" s="219">
        <f>IFERROR(Inv_SY!N1180/Inv_SY!$P1180-1,"")</f>
        <v>2.0717382480239355E-2</v>
      </c>
      <c r="O1179" s="219">
        <f>IFERROR(Inv_SY!O1180/Inv_SY!$P1180-1,"")</f>
        <v>-0.25267610407865559</v>
      </c>
      <c r="P1179" s="219">
        <f>IFERROR(Inv_SY!J1180/Inv_SY!$Q1180-1,"")</f>
        <v>0</v>
      </c>
      <c r="Q1179" s="219">
        <f>IFERROR(Inv_SY!K1180/Inv_SY!$Q1180-1,"")</f>
        <v>-3.5392636830261504E-3</v>
      </c>
      <c r="R1179" s="219">
        <f>IFERROR(Inv_SY!L1180/Inv_SY!$Q1180-1,"")</f>
        <v>-2.7285902925645034E-2</v>
      </c>
      <c r="S1179" s="219">
        <f>IFERROR(Inv_SY!M1180/Inv_SY!$Q1180-1,"")</f>
        <v>-4.8991186408070653E-2</v>
      </c>
      <c r="T1179" s="219">
        <f>IFERROR(Inv_SY!N1180/Inv_SY!$Q1180-1,"")</f>
        <v>-5.4480477191597987E-2</v>
      </c>
      <c r="U1179" s="220">
        <f>IFERROR(Inv_SY!O1180/Inv_SY!$Q1180-1,"")</f>
        <v>-0.30773263433813902</v>
      </c>
    </row>
    <row r="1180" spans="1:21">
      <c r="A1180" s="91" t="s">
        <v>4</v>
      </c>
      <c r="B1180" s="221">
        <v>6</v>
      </c>
      <c r="C1180" s="221">
        <v>2025</v>
      </c>
      <c r="D1180" s="91" t="s">
        <v>211</v>
      </c>
      <c r="E1180" s="91" t="s">
        <v>211</v>
      </c>
      <c r="F1180" s="92">
        <v>45809</v>
      </c>
      <c r="G1180" s="212">
        <f t="shared" si="49"/>
        <v>30</v>
      </c>
      <c r="H1180" s="222">
        <f t="shared" si="50"/>
        <v>45830</v>
      </c>
      <c r="I1180" s="145">
        <f>_xlfn.XLOOKUP(Table5[[#This Row],[Month Year]],'Modelling New'!D:D,'Modelling New'!N:N)</f>
        <v>10.507</v>
      </c>
      <c r="J1180" s="219">
        <f>IFERROR(Inv_SY!J1181/Inv_SY!$P1181-1,"")</f>
        <v>-0.3656066536219541</v>
      </c>
      <c r="K1180" s="219">
        <f>IFERROR(Inv_SY!K1181/Inv_SY!$P1181-1,"")</f>
        <v>-0.35324125957544927</v>
      </c>
      <c r="L1180" s="219">
        <f>IFERROR(Inv_SY!L1181/Inv_SY!$P1181-1,"")</f>
        <v>-0.37001076024793311</v>
      </c>
      <c r="M1180" s="219">
        <f>IFERROR(Inv_SY!M1181/Inv_SY!$P1181-1,"")</f>
        <v>-0.39166136349708525</v>
      </c>
      <c r="N1180" s="219">
        <f>IFERROR(Inv_SY!N1181/Inv_SY!$P1181-1,"")</f>
        <v>-0.38346770286000431</v>
      </c>
      <c r="O1180" s="219">
        <f>IFERROR(Inv_SY!O1181/Inv_SY!$P1181-1,"")</f>
        <v>1.8639877398024258</v>
      </c>
      <c r="P1180" s="219">
        <f>IFERROR(Inv_SY!J1181/Inv_SY!$Q1181-1,"")</f>
        <v>-0.77849299507762204</v>
      </c>
      <c r="Q1180" s="219">
        <f>IFERROR(Inv_SY!K1181/Inv_SY!$Q1181-1,"")</f>
        <v>-0.77417545074087224</v>
      </c>
      <c r="R1180" s="219">
        <f>IFERROR(Inv_SY!L1181/Inv_SY!$Q1181-1,"")</f>
        <v>-0.78003074838737718</v>
      </c>
      <c r="S1180" s="219">
        <f>IFERROR(Inv_SY!M1181/Inv_SY!$Q1181-1,"")</f>
        <v>-0.78759034892206581</v>
      </c>
      <c r="T1180" s="219">
        <f>IFERROR(Inv_SY!N1181/Inv_SY!$Q1181-1,"")</f>
        <v>-0.78472942164810822</v>
      </c>
      <c r="U1180" s="220">
        <f>IFERROR(Inv_SY!O1181/Inv_SY!$Q1181-1,"")</f>
        <v>0</v>
      </c>
    </row>
    <row r="1181" spans="1:21">
      <c r="A1181" s="91" t="s">
        <v>4</v>
      </c>
      <c r="B1181" s="221">
        <v>6</v>
      </c>
      <c r="C1181" s="221">
        <v>2025</v>
      </c>
      <c r="D1181" s="91" t="s">
        <v>211</v>
      </c>
      <c r="E1181" s="91" t="s">
        <v>211</v>
      </c>
      <c r="F1181" s="92">
        <v>45809</v>
      </c>
      <c r="G1181" s="212">
        <f t="shared" si="49"/>
        <v>30</v>
      </c>
      <c r="H1181" s="222">
        <f t="shared" si="50"/>
        <v>45831</v>
      </c>
      <c r="I1181" s="145">
        <f>_xlfn.XLOOKUP(Table5[[#This Row],[Month Year]],'Modelling New'!D:D,'Modelling New'!N:N)</f>
        <v>10.507</v>
      </c>
      <c r="J1181" s="219">
        <f>IFERROR(Inv_SY!J1182/Inv_SY!$P1182-1,"")</f>
        <v>3.9944273753679038E-2</v>
      </c>
      <c r="K1181" s="219">
        <f>IFERROR(Inv_SY!K1182/Inv_SY!$P1182-1,"")</f>
        <v>3.9810649576717427E-2</v>
      </c>
      <c r="L1181" s="219">
        <f>IFERROR(Inv_SY!L1182/Inv_SY!$P1182-1,"")</f>
        <v>3.3766222427151549E-2</v>
      </c>
      <c r="M1181" s="219">
        <f>IFERROR(Inv_SY!M1182/Inv_SY!$P1182-1,"")</f>
        <v>1.6707010910475439E-2</v>
      </c>
      <c r="N1181" s="219">
        <f>IFERROR(Inv_SY!N1182/Inv_SY!$P1182-1,"")</f>
        <v>4.7347324710416139E-3</v>
      </c>
      <c r="O1181" s="219">
        <f>IFERROR(Inv_SY!O1182/Inv_SY!$P1182-1,"")</f>
        <v>-0.13496288913906584</v>
      </c>
      <c r="P1181" s="219">
        <f>IFERROR(Inv_SY!J1182/Inv_SY!$Q1182-1,"")</f>
        <v>0</v>
      </c>
      <c r="Q1181" s="219">
        <f>IFERROR(Inv_SY!K1182/Inv_SY!$Q1182-1,"")</f>
        <v>-1.2849167049999721E-4</v>
      </c>
      <c r="R1181" s="219">
        <f>IFERROR(Inv_SY!L1182/Inv_SY!$Q1182-1,"")</f>
        <v>-5.940752290723883E-3</v>
      </c>
      <c r="S1181" s="219">
        <f>IFERROR(Inv_SY!M1182/Inv_SY!$Q1182-1,"")</f>
        <v>-2.2344719260127932E-2</v>
      </c>
      <c r="T1181" s="219">
        <f>IFERROR(Inv_SY!N1182/Inv_SY!$Q1182-1,"")</f>
        <v>-3.3857142321240485E-2</v>
      </c>
      <c r="U1181" s="220">
        <f>IFERROR(Inv_SY!O1182/Inv_SY!$Q1182-1,"")</f>
        <v>-0.16818897637795283</v>
      </c>
    </row>
    <row r="1182" spans="1:21">
      <c r="A1182" s="91" t="s">
        <v>4</v>
      </c>
      <c r="B1182" s="221">
        <v>6</v>
      </c>
      <c r="C1182" s="221">
        <v>2025</v>
      </c>
      <c r="D1182" s="91" t="s">
        <v>211</v>
      </c>
      <c r="E1182" s="91" t="s">
        <v>211</v>
      </c>
      <c r="F1182" s="92">
        <v>45809</v>
      </c>
      <c r="G1182" s="212">
        <f t="shared" si="49"/>
        <v>30</v>
      </c>
      <c r="H1182" s="222">
        <f t="shared" si="50"/>
        <v>45832</v>
      </c>
      <c r="I1182" s="145">
        <f>_xlfn.XLOOKUP(Table5[[#This Row],[Month Year]],'Modelling New'!D:D,'Modelling New'!N:N)</f>
        <v>10.507</v>
      </c>
      <c r="J1182" s="219">
        <f>IFERROR(Inv_SY!J1183/Inv_SY!$P1183-1,"")</f>
        <v>-4.6664904391020556E-3</v>
      </c>
      <c r="K1182" s="219">
        <f>IFERROR(Inv_SY!K1183/Inv_SY!$P1183-1,"")</f>
        <v>-1.5569203949610921E-2</v>
      </c>
      <c r="L1182" s="219">
        <f>IFERROR(Inv_SY!L1183/Inv_SY!$P1183-1,"")</f>
        <v>-1.5240187542277406E-2</v>
      </c>
      <c r="M1182" s="219">
        <f>IFERROR(Inv_SY!M1183/Inv_SY!$P1183-1,"")</f>
        <v>-2.6665237599187375E-2</v>
      </c>
      <c r="N1182" s="219">
        <f>IFERROR(Inv_SY!N1183/Inv_SY!$P1183-1,"")</f>
        <v>-3.5427063664116076E-2</v>
      </c>
      <c r="O1182" s="219">
        <f>IFERROR(Inv_SY!O1183/Inv_SY!$P1183-1,"")</f>
        <v>9.7568183194292946E-2</v>
      </c>
      <c r="P1182" s="219">
        <f>IFERROR(Inv_SY!J1183/Inv_SY!$Q1183-1,"")</f>
        <v>-9.3146535403256459E-2</v>
      </c>
      <c r="Q1182" s="219">
        <f>IFERROR(Inv_SY!K1183/Inv_SY!$Q1183-1,"")</f>
        <v>-0.10308005359141881</v>
      </c>
      <c r="R1182" s="219">
        <f>IFERROR(Inv_SY!L1183/Inv_SY!$Q1183-1,"")</f>
        <v>-0.10278028505551251</v>
      </c>
      <c r="S1182" s="219">
        <f>IFERROR(Inv_SY!M1183/Inv_SY!$Q1183-1,"")</f>
        <v>-0.1131897067496247</v>
      </c>
      <c r="T1182" s="219">
        <f>IFERROR(Inv_SY!N1183/Inv_SY!$Q1183-1,"")</f>
        <v>-0.12117265140772215</v>
      </c>
      <c r="U1182" s="220">
        <f>IFERROR(Inv_SY!O1183/Inv_SY!$Q1183-1,"")</f>
        <v>0</v>
      </c>
    </row>
    <row r="1183" spans="1:21">
      <c r="A1183" s="91" t="s">
        <v>4</v>
      </c>
      <c r="B1183" s="221">
        <v>6</v>
      </c>
      <c r="C1183" s="221">
        <v>2025</v>
      </c>
      <c r="D1183" s="91" t="s">
        <v>211</v>
      </c>
      <c r="E1183" s="91" t="s">
        <v>211</v>
      </c>
      <c r="F1183" s="92">
        <v>45809</v>
      </c>
      <c r="G1183" s="212">
        <f t="shared" si="49"/>
        <v>30</v>
      </c>
      <c r="H1183" s="222">
        <f t="shared" si="50"/>
        <v>45833</v>
      </c>
      <c r="I1183" s="145">
        <f>_xlfn.XLOOKUP(Table5[[#This Row],[Month Year]],'Modelling New'!D:D,'Modelling New'!N:N)</f>
        <v>10.507</v>
      </c>
      <c r="J1183" s="219">
        <f>IFERROR(Inv_SY!J1184/Inv_SY!$P1184-1,"")</f>
        <v>-2.5736610048188502E-2</v>
      </c>
      <c r="K1183" s="219">
        <f>IFERROR(Inv_SY!K1184/Inv_SY!$P1184-1,"")</f>
        <v>-7.2451668158817872E-2</v>
      </c>
      <c r="L1183" s="219">
        <f>IFERROR(Inv_SY!L1184/Inv_SY!$P1184-1,"")</f>
        <v>-4.4151376383236851E-2</v>
      </c>
      <c r="M1183" s="219">
        <f>IFERROR(Inv_SY!M1184/Inv_SY!$P1184-1,"")</f>
        <v>-5.9442751985726239E-2</v>
      </c>
      <c r="N1183" s="219">
        <f>IFERROR(Inv_SY!N1184/Inv_SY!$P1184-1,"")</f>
        <v>-8.7310585840229549E-2</v>
      </c>
      <c r="O1183" s="219">
        <f>IFERROR(Inv_SY!O1184/Inv_SY!$P1184-1,"")</f>
        <v>0.28909299241619957</v>
      </c>
      <c r="P1183" s="219">
        <f>IFERROR(Inv_SY!J1184/Inv_SY!$Q1184-1,"")</f>
        <v>-0.24422567209390378</v>
      </c>
      <c r="Q1183" s="219">
        <f>IFERROR(Inv_SY!K1184/Inv_SY!$Q1184-1,"")</f>
        <v>-0.28046437510870303</v>
      </c>
      <c r="R1183" s="219">
        <f>IFERROR(Inv_SY!L1184/Inv_SY!$Q1184-1,"")</f>
        <v>-0.25851072867506852</v>
      </c>
      <c r="S1183" s="219">
        <f>IFERROR(Inv_SY!M1184/Inv_SY!$Q1184-1,"")</f>
        <v>-0.27037284854729604</v>
      </c>
      <c r="T1183" s="219">
        <f>IFERROR(Inv_SY!N1184/Inv_SY!$Q1184-1,"")</f>
        <v>-0.29199102040801606</v>
      </c>
      <c r="U1183" s="220">
        <f>IFERROR(Inv_SY!O1184/Inv_SY!$Q1184-1,"")</f>
        <v>0</v>
      </c>
    </row>
    <row r="1184" spans="1:21">
      <c r="A1184" s="91" t="s">
        <v>4</v>
      </c>
      <c r="B1184" s="221">
        <v>6</v>
      </c>
      <c r="C1184" s="221">
        <v>2025</v>
      </c>
      <c r="D1184" s="91" t="s">
        <v>211</v>
      </c>
      <c r="E1184" s="91" t="s">
        <v>211</v>
      </c>
      <c r="F1184" s="92">
        <v>45809</v>
      </c>
      <c r="G1184" s="212">
        <f t="shared" si="49"/>
        <v>30</v>
      </c>
      <c r="H1184" s="222">
        <f t="shared" si="50"/>
        <v>45834</v>
      </c>
      <c r="I1184" s="145">
        <f>_xlfn.XLOOKUP(Table5[[#This Row],[Month Year]],'Modelling New'!D:D,'Modelling New'!N:N)</f>
        <v>10.507</v>
      </c>
      <c r="J1184" s="219">
        <f>IFERROR(Inv_SY!J1185/Inv_SY!$P1185-1,"")</f>
        <v>1.8313634131055689E-2</v>
      </c>
      <c r="K1184" s="219">
        <f>IFERROR(Inv_SY!K1185/Inv_SY!$P1185-1,"")</f>
        <v>2.0602064236682871E-2</v>
      </c>
      <c r="L1184" s="219">
        <f>IFERROR(Inv_SY!L1185/Inv_SY!$P1185-1,"")</f>
        <v>2.2045766315541337E-2</v>
      </c>
      <c r="M1184" s="219">
        <f>IFERROR(Inv_SY!M1185/Inv_SY!$P1185-1,"")</f>
        <v>-1.8468266767935781E-2</v>
      </c>
      <c r="N1184" s="219">
        <f>IFERROR(Inv_SY!N1185/Inv_SY!$P1185-1,"")</f>
        <v>-9.8911503398474432E-3</v>
      </c>
      <c r="O1184" s="219">
        <f>IFERROR(Inv_SY!O1185/Inv_SY!$P1185-1,"")</f>
        <v>-3.2602047575497006E-2</v>
      </c>
      <c r="P1184" s="219">
        <f>IFERROR(Inv_SY!J1185/Inv_SY!$Q1185-1,"")</f>
        <v>-3.6516292200298173E-3</v>
      </c>
      <c r="Q1184" s="219">
        <f>IFERROR(Inv_SY!K1185/Inv_SY!$Q1185-1,"")</f>
        <v>-1.4125610872230965E-3</v>
      </c>
      <c r="R1184" s="219">
        <f>IFERROR(Inv_SY!L1185/Inv_SY!$Q1185-1,"")</f>
        <v>0</v>
      </c>
      <c r="S1184" s="219">
        <f>IFERROR(Inv_SY!M1185/Inv_SY!$Q1185-1,"")</f>
        <v>-3.9640135910478547E-2</v>
      </c>
      <c r="T1184" s="219">
        <f>IFERROR(Inv_SY!N1185/Inv_SY!$Q1185-1,"")</f>
        <v>-3.1248029890599605E-2</v>
      </c>
      <c r="U1184" s="220">
        <f>IFERROR(Inv_SY!O1185/Inv_SY!$Q1185-1,"")</f>
        <v>-5.3469047759028387E-2</v>
      </c>
    </row>
    <row r="1185" spans="1:21">
      <c r="A1185" s="91" t="s">
        <v>4</v>
      </c>
      <c r="B1185" s="221">
        <v>6</v>
      </c>
      <c r="C1185" s="221">
        <v>2025</v>
      </c>
      <c r="D1185" s="91" t="s">
        <v>211</v>
      </c>
      <c r="E1185" s="91" t="s">
        <v>211</v>
      </c>
      <c r="F1185" s="92">
        <v>45809</v>
      </c>
      <c r="G1185" s="212">
        <f t="shared" ref="G1185:G1190" si="51">DAY(EOMONTH(F1185,0))</f>
        <v>30</v>
      </c>
      <c r="H1185" s="222">
        <f>H1184+1</f>
        <v>45835</v>
      </c>
      <c r="I1185" s="145">
        <f>_xlfn.XLOOKUP(Table5[[#This Row],[Month Year]],'Modelling New'!D:D,'Modelling New'!N:N)</f>
        <v>10.507</v>
      </c>
      <c r="J1185" s="219">
        <f>IFERROR(Inv_SY!J1186/Inv_SY!$P1186-1,"")</f>
        <v>1.759864510081588E-3</v>
      </c>
      <c r="K1185" s="219">
        <f>IFERROR(Inv_SY!K1186/Inv_SY!$P1186-1,"")</f>
        <v>-4.9373117162588853E-3</v>
      </c>
      <c r="L1185" s="219">
        <f>IFERROR(Inv_SY!L1186/Inv_SY!$P1186-1,"")</f>
        <v>-1.0206114616622131E-3</v>
      </c>
      <c r="M1185" s="219">
        <f>IFERROR(Inv_SY!M1186/Inv_SY!$P1186-1,"")</f>
        <v>-1.7408402957231228E-2</v>
      </c>
      <c r="N1185" s="219">
        <f>IFERROR(Inv_SY!N1186/Inv_SY!$P1186-1,"")</f>
        <v>-2.1835779420531609E-2</v>
      </c>
      <c r="O1185" s="219">
        <f>IFERROR(Inv_SY!O1186/Inv_SY!$P1186-1,"")</f>
        <v>4.344224104560257E-2</v>
      </c>
      <c r="P1185" s="219">
        <f>IFERROR(Inv_SY!J1186/Inv_SY!$Q1186-1,"")</f>
        <v>-3.9946989776599828E-2</v>
      </c>
      <c r="Q1185" s="219">
        <f>IFERROR(Inv_SY!K1186/Inv_SY!$Q1186-1,"")</f>
        <v>-4.6365338548477575E-2</v>
      </c>
      <c r="R1185" s="219">
        <f>IFERROR(Inv_SY!L1186/Inv_SY!$Q1186-1,"")</f>
        <v>-4.2611704566138608E-2</v>
      </c>
      <c r="S1185" s="219">
        <f>IFERROR(Inv_SY!M1186/Inv_SY!$Q1186-1,"")</f>
        <v>-5.8317213554491709E-2</v>
      </c>
      <c r="T1185" s="219">
        <f>IFERROR(Inv_SY!N1186/Inv_SY!$Q1186-1,"")</f>
        <v>-6.2560262464284588E-2</v>
      </c>
      <c r="U1185" s="220">
        <f>IFERROR(Inv_SY!O1186/Inv_SY!$Q1186-1,"")</f>
        <v>0</v>
      </c>
    </row>
    <row r="1186" spans="1:21">
      <c r="A1186" s="91" t="s">
        <v>4</v>
      </c>
      <c r="B1186" s="221">
        <v>6</v>
      </c>
      <c r="C1186" s="221">
        <v>2025</v>
      </c>
      <c r="D1186" s="91" t="s">
        <v>211</v>
      </c>
      <c r="E1186" s="91" t="s">
        <v>211</v>
      </c>
      <c r="F1186" s="92">
        <v>45809</v>
      </c>
      <c r="G1186" s="212">
        <f t="shared" si="51"/>
        <v>30</v>
      </c>
      <c r="H1186" s="222">
        <f t="shared" si="50"/>
        <v>45836</v>
      </c>
      <c r="I1186" s="145">
        <f>_xlfn.XLOOKUP(Table5[[#This Row],[Month Year]],'Modelling New'!D:D,'Modelling New'!N:N)</f>
        <v>10.507</v>
      </c>
      <c r="J1186" s="219">
        <f>IFERROR(Inv_SY!J1187/Inv_SY!$P1187-1,"")</f>
        <v>4.8582064270508152E-3</v>
      </c>
      <c r="K1186" s="219">
        <f>IFERROR(Inv_SY!K1187/Inv_SY!$P1187-1,"")</f>
        <v>2.2356427619038444E-2</v>
      </c>
      <c r="L1186" s="219">
        <f>IFERROR(Inv_SY!L1187/Inv_SY!$P1187-1,"")</f>
        <v>2.0881654817993089E-2</v>
      </c>
      <c r="M1186" s="219">
        <f>IFERROR(Inv_SY!M1187/Inv_SY!$P1187-1,"")</f>
        <v>1.6624205636831535E-2</v>
      </c>
      <c r="N1186" s="219">
        <f>IFERROR(Inv_SY!N1187/Inv_SY!$P1187-1,"")</f>
        <v>-5.7951481086576662E-3</v>
      </c>
      <c r="O1186" s="219">
        <f>IFERROR(Inv_SY!O1187/Inv_SY!$P1187-1,"")</f>
        <v>-5.8925346392254885E-2</v>
      </c>
      <c r="P1186" s="219">
        <f>IFERROR(Inv_SY!J1187/Inv_SY!$Q1187-1,"")</f>
        <v>-1.7115578011026145E-2</v>
      </c>
      <c r="Q1186" s="219">
        <f>IFERROR(Inv_SY!K1187/Inv_SY!$Q1187-1,"")</f>
        <v>0</v>
      </c>
      <c r="R1186" s="219">
        <f>IFERROR(Inv_SY!L1187/Inv_SY!$Q1187-1,"")</f>
        <v>-1.4425231369454838E-3</v>
      </c>
      <c r="S1186" s="219">
        <f>IFERROR(Inv_SY!M1187/Inv_SY!$Q1187-1,"")</f>
        <v>-5.6068723464249848E-3</v>
      </c>
      <c r="T1186" s="219">
        <f>IFERROR(Inv_SY!N1187/Inv_SY!$Q1187-1,"")</f>
        <v>-2.7535969811681271E-2</v>
      </c>
      <c r="U1186" s="220">
        <f>IFERROR(Inv_SY!O1187/Inv_SY!$Q1187-1,"")</f>
        <v>-7.9504340967063936E-2</v>
      </c>
    </row>
    <row r="1187" spans="1:21">
      <c r="A1187" s="91" t="s">
        <v>4</v>
      </c>
      <c r="B1187" s="221">
        <v>6</v>
      </c>
      <c r="C1187" s="221">
        <v>2025</v>
      </c>
      <c r="D1187" s="91" t="s">
        <v>211</v>
      </c>
      <c r="E1187" s="91" t="s">
        <v>211</v>
      </c>
      <c r="F1187" s="92">
        <v>45809</v>
      </c>
      <c r="G1187" s="212">
        <f t="shared" si="51"/>
        <v>30</v>
      </c>
      <c r="H1187" s="222">
        <f t="shared" si="50"/>
        <v>45837</v>
      </c>
      <c r="I1187" s="145">
        <f>_xlfn.XLOOKUP(Table5[[#This Row],[Month Year]],'Modelling New'!D:D,'Modelling New'!N:N)</f>
        <v>10.507</v>
      </c>
      <c r="J1187" s="219">
        <f>IFERROR(Inv_SY!J1188/Inv_SY!$P1188-1,"")</f>
        <v>6.9912032671134217E-2</v>
      </c>
      <c r="K1187" s="219">
        <f>IFERROR(Inv_SY!K1188/Inv_SY!$P1188-1,"")</f>
        <v>5.3150405910092013E-2</v>
      </c>
      <c r="L1187" s="219">
        <f>IFERROR(Inv_SY!L1188/Inv_SY!$P1188-1,"")</f>
        <v>4.8848289598742101E-2</v>
      </c>
      <c r="M1187" s="219">
        <f>IFERROR(Inv_SY!M1188/Inv_SY!$P1188-1,"")</f>
        <v>5.6548392941591308E-2</v>
      </c>
      <c r="N1187" s="219">
        <f>IFERROR(Inv_SY!N1188/Inv_SY!$P1188-1,"")</f>
        <v>3.2812074098188537E-2</v>
      </c>
      <c r="O1187" s="219">
        <f>IFERROR(Inv_SY!O1188/Inv_SY!$P1188-1,"")</f>
        <v>-0.26127119521974762</v>
      </c>
      <c r="P1187" s="219">
        <f>IFERROR(Inv_SY!J1188/Inv_SY!$Q1188-1,"")</f>
        <v>0</v>
      </c>
      <c r="Q1187" s="219">
        <f>IFERROR(Inv_SY!K1188/Inv_SY!$Q1188-1,"")</f>
        <v>-1.5666359709213817E-2</v>
      </c>
      <c r="R1187" s="219">
        <f>IFERROR(Inv_SY!L1188/Inv_SY!$Q1188-1,"")</f>
        <v>-1.968735973536484E-2</v>
      </c>
      <c r="S1187" s="219">
        <f>IFERROR(Inv_SY!M1188/Inv_SY!$Q1188-1,"")</f>
        <v>-1.2490409792082824E-2</v>
      </c>
      <c r="T1187" s="219">
        <f>IFERROR(Inv_SY!N1188/Inv_SY!$Q1188-1,"")</f>
        <v>-3.4675709254640474E-2</v>
      </c>
      <c r="U1187" s="220">
        <f>IFERROR(Inv_SY!O1188/Inv_SY!$Q1188-1,"")</f>
        <v>-0.30954248366013071</v>
      </c>
    </row>
    <row r="1188" spans="1:21">
      <c r="A1188" s="91" t="s">
        <v>4</v>
      </c>
      <c r="B1188" s="221">
        <v>6</v>
      </c>
      <c r="C1188" s="221">
        <v>2025</v>
      </c>
      <c r="D1188" s="91" t="s">
        <v>211</v>
      </c>
      <c r="E1188" s="91" t="s">
        <v>211</v>
      </c>
      <c r="F1188" s="92">
        <v>45809</v>
      </c>
      <c r="G1188" s="212">
        <f t="shared" si="51"/>
        <v>30</v>
      </c>
      <c r="H1188" s="222">
        <f t="shared" si="50"/>
        <v>45838</v>
      </c>
      <c r="I1188" s="145">
        <f>_xlfn.XLOOKUP(Table5[[#This Row],[Month Year]],'Modelling New'!D:D,'Modelling New'!N:N)</f>
        <v>10.507</v>
      </c>
      <c r="J1188" s="219">
        <f>IFERROR(Inv_SY!J1189/Inv_SY!$P1189-1,"")</f>
        <v>7.5387821385492826E-2</v>
      </c>
      <c r="K1188" s="219">
        <f>IFERROR(Inv_SY!K1189/Inv_SY!$P1189-1,"")</f>
        <v>5.05805562665953E-2</v>
      </c>
      <c r="L1188" s="219">
        <f>IFERROR(Inv_SY!L1189/Inv_SY!$P1189-1,"")</f>
        <v>5.5071909525267193E-2</v>
      </c>
      <c r="M1188" s="219">
        <f>IFERROR(Inv_SY!M1189/Inv_SY!$P1189-1,"")</f>
        <v>5.0345265984699461E-2</v>
      </c>
      <c r="N1188" s="219">
        <f>IFERROR(Inv_SY!N1189/Inv_SY!$P1189-1,"")</f>
        <v>2.9005270723600152E-2</v>
      </c>
      <c r="O1188" s="219">
        <f>IFERROR(Inv_SY!O1189/Inv_SY!$P1189-1,"")</f>
        <v>-0.26039082388565449</v>
      </c>
      <c r="P1188" s="219">
        <f>IFERROR(Inv_SY!J1189/Inv_SY!$Q1189-1,"")</f>
        <v>0</v>
      </c>
      <c r="Q1188" s="219">
        <f>IFERROR(Inv_SY!K1189/Inv_SY!$Q1189-1,"")</f>
        <v>-2.3068203512791263E-2</v>
      </c>
      <c r="R1188" s="219">
        <f>IFERROR(Inv_SY!L1189/Inv_SY!$Q1189-1,"")</f>
        <v>-1.8891707211312392E-2</v>
      </c>
      <c r="S1188" s="219">
        <f>IFERROR(Inv_SY!M1189/Inv_SY!$Q1189-1,"")</f>
        <v>-2.3286999259978125E-2</v>
      </c>
      <c r="T1188" s="219">
        <f>IFERROR(Inv_SY!N1189/Inv_SY!$Q1189-1,"")</f>
        <v>-4.3130998640225515E-2</v>
      </c>
      <c r="U1188" s="220">
        <f>IFERROR(Inv_SY!O1189/Inv_SY!$Q1189-1,"")</f>
        <v>-0.31223958333333335</v>
      </c>
    </row>
    <row r="1189" spans="1:21">
      <c r="A1189" s="91" t="s">
        <v>4</v>
      </c>
      <c r="B1189" s="221">
        <v>6</v>
      </c>
      <c r="C1189" s="221">
        <v>2025</v>
      </c>
      <c r="D1189" s="91" t="s">
        <v>211</v>
      </c>
      <c r="E1189" s="91" t="s">
        <v>211</v>
      </c>
      <c r="F1189" s="92">
        <v>45839</v>
      </c>
      <c r="G1189" s="212">
        <f t="shared" si="51"/>
        <v>31</v>
      </c>
      <c r="H1189" s="222">
        <f t="shared" si="50"/>
        <v>45839</v>
      </c>
      <c r="I1189" s="145">
        <f>_xlfn.XLOOKUP(Table5[[#This Row],[Month Year]],'Modelling New'!D:D,'Modelling New'!N:N)</f>
        <v>10.507</v>
      </c>
      <c r="J1189" s="219">
        <f>IFERROR(Inv_SY!J1190/Inv_SY!$P1190-1,"")</f>
        <v>-6.1725099546863782E-2</v>
      </c>
      <c r="K1189" s="219">
        <f>IFERROR(Inv_SY!K1190/Inv_SY!$P1190-1,"")</f>
        <v>-7.1374672082526569E-2</v>
      </c>
      <c r="L1189" s="219">
        <f>IFERROR(Inv_SY!L1190/Inv_SY!$P1190-1,"")</f>
        <v>-5.8612079749465029E-2</v>
      </c>
      <c r="M1189" s="219">
        <f>IFERROR(Inv_SY!M1190/Inv_SY!$P1190-1,"")</f>
        <v>-6.5065328155550217E-2</v>
      </c>
      <c r="N1189" s="219">
        <f>IFERROR(Inv_SY!N1190/Inv_SY!$P1190-1,"")</f>
        <v>-8.9953261822514508E-2</v>
      </c>
      <c r="O1189" s="219">
        <f>IFERROR(Inv_SY!O1190/Inv_SY!$P1190-1,"")</f>
        <v>0.34673044135691988</v>
      </c>
      <c r="P1189" s="219">
        <f>IFERROR(Inv_SY!J1190/Inv_SY!$Q1190-1,"")</f>
        <v>-0.30329420673987129</v>
      </c>
      <c r="Q1189" s="219">
        <f>IFERROR(Inv_SY!K1190/Inv_SY!$Q1190-1,"")</f>
        <v>-0.31045939157518254</v>
      </c>
      <c r="R1189" s="219">
        <f>IFERROR(Inv_SY!L1190/Inv_SY!$Q1190-1,"")</f>
        <v>-0.30098266784403827</v>
      </c>
      <c r="S1189" s="219">
        <f>IFERROR(Inv_SY!M1190/Inv_SY!$Q1190-1,"")</f>
        <v>-0.30577445706028494</v>
      </c>
      <c r="T1189" s="219">
        <f>IFERROR(Inv_SY!N1190/Inv_SY!$Q1190-1,"")</f>
        <v>-0.32425472074385331</v>
      </c>
      <c r="U1189" s="220">
        <f>IFERROR(Inv_SY!O1190/Inv_SY!$Q1190-1,"")</f>
        <v>0</v>
      </c>
    </row>
    <row r="1190" spans="1:21">
      <c r="A1190" s="91" t="s">
        <v>4</v>
      </c>
      <c r="B1190" s="221">
        <v>6</v>
      </c>
      <c r="C1190" s="221">
        <v>2025</v>
      </c>
      <c r="D1190" s="91" t="s">
        <v>211</v>
      </c>
      <c r="E1190" s="91" t="s">
        <v>211</v>
      </c>
      <c r="F1190" s="92">
        <v>45839</v>
      </c>
      <c r="G1190" s="212">
        <f t="shared" si="51"/>
        <v>31</v>
      </c>
      <c r="H1190" s="222">
        <f t="shared" si="50"/>
        <v>45840</v>
      </c>
      <c r="I1190" s="145">
        <f>_xlfn.XLOOKUP(Table5[[#This Row],[Month Year]],'Modelling New'!D:D,'Modelling New'!N:N)</f>
        <v>10.507</v>
      </c>
      <c r="J1190" s="219">
        <f>IFERROR(Inv_SY!J1191/Inv_SY!$P1191-1,"")</f>
        <v>1.7954982334664304E-2</v>
      </c>
      <c r="K1190" s="219">
        <f>IFERROR(Inv_SY!K1191/Inv_SY!$P1191-1,"")</f>
        <v>4.2239519075204512E-4</v>
      </c>
      <c r="L1190" s="219">
        <f>IFERROR(Inv_SY!L1191/Inv_SY!$P1191-1,"")</f>
        <v>6.2936055713853634E-3</v>
      </c>
      <c r="M1190" s="219">
        <f>IFERROR(Inv_SY!M1191/Inv_SY!$P1191-1,"")</f>
        <v>4.7743403222839653E-3</v>
      </c>
      <c r="N1190" s="219">
        <f>IFERROR(Inv_SY!N1191/Inv_SY!$P1191-1,"")</f>
        <v>-2.1481894764417753E-2</v>
      </c>
      <c r="O1190" s="219">
        <f>IFERROR(Inv_SY!O1191/Inv_SY!$P1191-1,"")</f>
        <v>-7.9634286546685917E-3</v>
      </c>
      <c r="P1190" s="219">
        <f>IFERROR(Inv_SY!J1191/Inv_SY!$Q1191-1,"")</f>
        <v>0</v>
      </c>
      <c r="Q1190" s="219">
        <f>IFERROR(Inv_SY!K1191/Inv_SY!$Q1191-1,"")</f>
        <v>-1.7223342336516123E-2</v>
      </c>
      <c r="R1190" s="219">
        <f>IFERROR(Inv_SY!L1191/Inv_SY!$Q1191-1,"")</f>
        <v>-1.1455690050785727E-2</v>
      </c>
      <c r="S1190" s="219">
        <f>IFERROR(Inv_SY!M1191/Inv_SY!$Q1191-1,"")</f>
        <v>-1.294815806309102E-2</v>
      </c>
      <c r="T1190" s="219">
        <f>IFERROR(Inv_SY!N1191/Inv_SY!$Q1191-1,"")</f>
        <v>-3.8741278134553747E-2</v>
      </c>
      <c r="U1190" s="220">
        <f>IFERROR(Inv_SY!O1191/Inv_SY!$Q1191-1,"")</f>
        <v>-2.5461254612546114E-2</v>
      </c>
    </row>
    <row r="1191" spans="1:21">
      <c r="A1191" s="91" t="s">
        <v>4</v>
      </c>
      <c r="B1191" s="221">
        <v>6</v>
      </c>
      <c r="C1191" s="221">
        <v>2025</v>
      </c>
      <c r="D1191" s="91" t="s">
        <v>211</v>
      </c>
      <c r="E1191" s="91" t="s">
        <v>211</v>
      </c>
      <c r="F1191" s="92">
        <v>45839</v>
      </c>
      <c r="G1191" s="230">
        <f t="shared" ref="G1191:G1197" si="52">DAY(EOMONTH(F1191,0))</f>
        <v>31</v>
      </c>
      <c r="H1191" s="222">
        <f t="shared" si="50"/>
        <v>45841</v>
      </c>
      <c r="I1191" s="145">
        <f>_xlfn.XLOOKUP(Table5[[#This Row],[Month Year]],'Modelling New'!D:D,'Modelling New'!N:N)</f>
        <v>10.507</v>
      </c>
      <c r="J1191" s="231">
        <f>IFERROR(Inv_SY!J1192/Inv_SY!$P1192-1,"")</f>
        <v>-2.4383537365045505E-2</v>
      </c>
      <c r="K1191" s="231">
        <f>IFERROR(Inv_SY!K1192/Inv_SY!$P1192-1,"")</f>
        <v>-4.0023754721368765E-2</v>
      </c>
      <c r="L1191" s="231">
        <f>IFERROR(Inv_SY!L1192/Inv_SY!$P1192-1,"")</f>
        <v>-3.1321721319351625E-2</v>
      </c>
      <c r="M1191" s="231">
        <f>IFERROR(Inv_SY!M1192/Inv_SY!$P1192-1,"")</f>
        <v>-3.2985424462510737E-2</v>
      </c>
      <c r="N1191" s="231">
        <f>IFERROR(Inv_SY!N1192/Inv_SY!$P1192-1,"")</f>
        <v>-5.8660252370854926E-2</v>
      </c>
      <c r="O1191" s="231">
        <f>IFERROR(Inv_SY!O1192/Inv_SY!$P1192-1,"")</f>
        <v>0.18737469023913111</v>
      </c>
      <c r="P1191" s="231">
        <f>IFERROR(Inv_SY!J1192/Inv_SY!$Q1192-1,"")</f>
        <v>-0.17834153729647861</v>
      </c>
      <c r="Q1191" s="231">
        <f>IFERROR(Inv_SY!K1192/Inv_SY!$Q1192-1,"")</f>
        <v>-0.19151363662190157</v>
      </c>
      <c r="R1191" s="231">
        <f>IFERROR(Inv_SY!L1192/Inv_SY!$Q1192-1,"")</f>
        <v>-0.18418483512937145</v>
      </c>
      <c r="S1191" s="231">
        <f>IFERROR(Inv_SY!M1192/Inv_SY!$Q1192-1,"")</f>
        <v>-0.18558599615868732</v>
      </c>
      <c r="T1191" s="231">
        <f>IFERROR(Inv_SY!N1192/Inv_SY!$Q1192-1,"")</f>
        <v>-0.2072091856366215</v>
      </c>
      <c r="U1191" s="232">
        <f>IFERROR(Inv_SY!O1192/Inv_SY!$Q1192-1,"")</f>
        <v>0</v>
      </c>
    </row>
    <row r="1192" spans="1:21">
      <c r="A1192" s="91" t="s">
        <v>4</v>
      </c>
      <c r="B1192" s="221">
        <v>6</v>
      </c>
      <c r="C1192" s="221">
        <v>2025</v>
      </c>
      <c r="D1192" s="91" t="s">
        <v>211</v>
      </c>
      <c r="E1192" s="91" t="s">
        <v>211</v>
      </c>
      <c r="F1192" s="92">
        <v>45839</v>
      </c>
      <c r="G1192" s="230">
        <f t="shared" si="52"/>
        <v>31</v>
      </c>
      <c r="H1192" s="222">
        <f t="shared" si="50"/>
        <v>45842</v>
      </c>
      <c r="I1192" s="145">
        <f>_xlfn.XLOOKUP(Table5[[#This Row],[Month Year]],'Modelling New'!D:D,'Modelling New'!N:N)</f>
        <v>10.507</v>
      </c>
      <c r="J1192" s="231">
        <f>IFERROR(Inv_SY!J1193/Inv_SY!$P1193-1,"")</f>
        <v>5.3782899101895598E-2</v>
      </c>
      <c r="K1192" s="231">
        <f>IFERROR(Inv_SY!K1193/Inv_SY!$P1193-1,"")</f>
        <v>3.2324635295910786E-2</v>
      </c>
      <c r="L1192" s="231">
        <f>IFERROR(Inv_SY!L1193/Inv_SY!$P1193-1,"")</f>
        <v>4.1836906100417126E-2</v>
      </c>
      <c r="M1192" s="231">
        <f>IFERROR(Inv_SY!M1193/Inv_SY!$P1193-1,"")</f>
        <v>4.9515018881459261E-2</v>
      </c>
      <c r="N1192" s="231">
        <f>IFERROR(Inv_SY!N1193/Inv_SY!$P1193-1,"")</f>
        <v>-8.4426308622331803E-4</v>
      </c>
      <c r="O1192" s="231">
        <f>IFERROR(Inv_SY!O1193/Inv_SY!$P1193-1,"")</f>
        <v>-0.17661519629345979</v>
      </c>
      <c r="P1192" s="231">
        <f>IFERROR(Inv_SY!J1193/Inv_SY!$Q1193-1,"")</f>
        <v>0</v>
      </c>
      <c r="Q1192" s="231">
        <f>IFERROR(Inv_SY!K1193/Inv_SY!$Q1193-1,"")</f>
        <v>-2.0363078414228464E-2</v>
      </c>
      <c r="R1192" s="231">
        <f>IFERROR(Inv_SY!L1193/Inv_SY!$Q1193-1,"")</f>
        <v>-1.1336294232578426E-2</v>
      </c>
      <c r="S1192" s="231">
        <f>IFERROR(Inv_SY!M1193/Inv_SY!$Q1193-1,"")</f>
        <v>-4.0500564433848529E-3</v>
      </c>
      <c r="T1192" s="231">
        <f>IFERROR(Inv_SY!N1193/Inv_SY!$Q1193-1,"")</f>
        <v>-5.1839104842824724E-2</v>
      </c>
      <c r="U1192" s="232">
        <f>IFERROR(Inv_SY!O1193/Inv_SY!$Q1193-1,"")</f>
        <v>-0.218639053254438</v>
      </c>
    </row>
    <row r="1193" spans="1:21">
      <c r="A1193" s="91" t="s">
        <v>4</v>
      </c>
      <c r="B1193" s="221">
        <v>6</v>
      </c>
      <c r="C1193" s="221">
        <v>2025</v>
      </c>
      <c r="D1193" s="91" t="s">
        <v>211</v>
      </c>
      <c r="E1193" s="91" t="s">
        <v>211</v>
      </c>
      <c r="F1193" s="92">
        <v>45839</v>
      </c>
      <c r="G1193" s="230">
        <f t="shared" si="52"/>
        <v>31</v>
      </c>
      <c r="H1193" s="222">
        <f t="shared" si="50"/>
        <v>45843</v>
      </c>
      <c r="I1193" s="145">
        <f>_xlfn.XLOOKUP(Table5[[#This Row],[Month Year]],'Modelling New'!D:D,'Modelling New'!N:N)</f>
        <v>10.507</v>
      </c>
      <c r="J1193" s="231">
        <f>IFERROR(Inv_SY!J1194/Inv_SY!$P1194-1,"")</f>
        <v>-1.477951832904445E-4</v>
      </c>
      <c r="K1193" s="231">
        <f>IFERROR(Inv_SY!K1194/Inv_SY!$P1194-1,"")</f>
        <v>-8.0999375552063269E-3</v>
      </c>
      <c r="L1193" s="231">
        <f>IFERROR(Inv_SY!L1194/Inv_SY!$P1194-1,"")</f>
        <v>-8.3254216213276555E-3</v>
      </c>
      <c r="M1193" s="231">
        <f>IFERROR(Inv_SY!M1194/Inv_SY!$P1194-1,"")</f>
        <v>-6.6044654873511632E-3</v>
      </c>
      <c r="N1193" s="231">
        <f>IFERROR(Inv_SY!N1194/Inv_SY!$P1194-1,"")</f>
        <v>-2.7393167071832147E-2</v>
      </c>
      <c r="O1193" s="231">
        <f>IFERROR(Inv_SY!O1194/Inv_SY!$P1194-1,"")</f>
        <v>5.0570786919009292E-2</v>
      </c>
      <c r="P1193" s="231">
        <f>IFERROR(Inv_SY!J1194/Inv_SY!$Q1194-1,"")</f>
        <v>-4.8277167739492532E-2</v>
      </c>
      <c r="Q1193" s="231">
        <f>IFERROR(Inv_SY!K1194/Inv_SY!$Q1194-1,"")</f>
        <v>-5.5846521914318714E-2</v>
      </c>
      <c r="R1193" s="231">
        <f>IFERROR(Inv_SY!L1194/Inv_SY!$Q1194-1,"")</f>
        <v>-5.6061151969645673E-2</v>
      </c>
      <c r="S1193" s="231">
        <f>IFERROR(Inv_SY!M1194/Inv_SY!$Q1194-1,"")</f>
        <v>-5.4423036618062914E-2</v>
      </c>
      <c r="T1193" s="231">
        <f>IFERROR(Inv_SY!N1194/Inv_SY!$Q1194-1,"")</f>
        <v>-7.4211043141114708E-2</v>
      </c>
      <c r="U1193" s="232">
        <f>IFERROR(Inv_SY!O1194/Inv_SY!$Q1194-1,"")</f>
        <v>0</v>
      </c>
    </row>
    <row r="1194" spans="1:21">
      <c r="A1194" s="91" t="s">
        <v>4</v>
      </c>
      <c r="B1194" s="221">
        <v>6</v>
      </c>
      <c r="C1194" s="221">
        <v>2025</v>
      </c>
      <c r="D1194" s="91" t="s">
        <v>211</v>
      </c>
      <c r="E1194" s="91" t="s">
        <v>211</v>
      </c>
      <c r="F1194" s="92">
        <v>45839</v>
      </c>
      <c r="G1194" s="230">
        <f t="shared" si="52"/>
        <v>31</v>
      </c>
      <c r="H1194" s="222">
        <f t="shared" si="50"/>
        <v>45844</v>
      </c>
      <c r="I1194" s="145">
        <f>_xlfn.XLOOKUP(Table5[[#This Row],[Month Year]],'Modelling New'!D:D,'Modelling New'!N:N)</f>
        <v>10.507</v>
      </c>
      <c r="J1194" s="231">
        <f>IFERROR(Inv_SY!J1195/Inv_SY!$P1195-1,"")</f>
        <v>3.3020768581730087E-2</v>
      </c>
      <c r="K1194" s="231">
        <f>IFERROR(Inv_SY!K1195/Inv_SY!$P1195-1,"")</f>
        <v>-2.3243345117333503E-2</v>
      </c>
      <c r="L1194" s="231">
        <f>IFERROR(Inv_SY!L1195/Inv_SY!$P1195-1,"")</f>
        <v>2.5186379202972509E-2</v>
      </c>
      <c r="M1194" s="231">
        <f>IFERROR(Inv_SY!M1195/Inv_SY!$P1195-1,"")</f>
        <v>2.9505524730273347E-3</v>
      </c>
      <c r="N1194" s="231">
        <f>IFERROR(Inv_SY!N1195/Inv_SY!$P1195-1,"")</f>
        <v>9.4160436349133292E-5</v>
      </c>
      <c r="O1194" s="231">
        <f>IFERROR(Inv_SY!O1195/Inv_SY!$P1195-1,"")</f>
        <v>-3.8008515576745894E-2</v>
      </c>
      <c r="P1194" s="231">
        <f>IFERROR(Inv_SY!J1195/Inv_SY!$Q1195-1,"")</f>
        <v>0</v>
      </c>
      <c r="Q1194" s="231">
        <f>IFERROR(Inv_SY!K1195/Inv_SY!$Q1195-1,"")</f>
        <v>-5.446561715918885E-2</v>
      </c>
      <c r="R1194" s="231">
        <f>IFERROR(Inv_SY!L1195/Inv_SY!$Q1195-1,"")</f>
        <v>-7.5839611526046236E-3</v>
      </c>
      <c r="S1194" s="231">
        <f>IFERROR(Inv_SY!M1195/Inv_SY!$Q1195-1,"")</f>
        <v>-2.9109014090769159E-2</v>
      </c>
      <c r="T1194" s="231">
        <f>IFERROR(Inv_SY!N1195/Inv_SY!$Q1195-1,"")</f>
        <v>-3.1874100837863018E-2</v>
      </c>
      <c r="U1194" s="232">
        <f>IFERROR(Inv_SY!O1195/Inv_SY!$Q1195-1,"")</f>
        <v>-6.8758815232722204E-2</v>
      </c>
    </row>
    <row r="1195" spans="1:21">
      <c r="A1195" s="91" t="s">
        <v>4</v>
      </c>
      <c r="B1195" s="221">
        <v>6</v>
      </c>
      <c r="C1195" s="221">
        <v>2025</v>
      </c>
      <c r="D1195" s="91" t="s">
        <v>211</v>
      </c>
      <c r="E1195" s="91" t="s">
        <v>211</v>
      </c>
      <c r="F1195" s="92">
        <v>45839</v>
      </c>
      <c r="G1195" s="230">
        <f t="shared" si="52"/>
        <v>31</v>
      </c>
      <c r="H1195" s="222">
        <f t="shared" si="50"/>
        <v>45845</v>
      </c>
      <c r="I1195" s="145">
        <f>_xlfn.XLOOKUP(Table5[[#This Row],[Month Year]],'Modelling New'!D:D,'Modelling New'!N:N)</f>
        <v>10.507</v>
      </c>
      <c r="J1195" s="231">
        <f>IFERROR(Inv_SY!J1196/Inv_SY!$P1196-1,"")</f>
        <v>5.2826318798590455E-2</v>
      </c>
      <c r="K1195" s="231">
        <f>IFERROR(Inv_SY!K1196/Inv_SY!$P1196-1,"")</f>
        <v>3.6063509895170043E-2</v>
      </c>
      <c r="L1195" s="231">
        <f>IFERROR(Inv_SY!L1196/Inv_SY!$P1196-1,"")</f>
        <v>3.7007711706281032E-2</v>
      </c>
      <c r="M1195" s="231">
        <f>IFERROR(Inv_SY!M1196/Inv_SY!$P1196-1,"")</f>
        <v>6.4997958219351393E-2</v>
      </c>
      <c r="N1195" s="231">
        <f>IFERROR(Inv_SY!N1196/Inv_SY!$P1196-1,"")</f>
        <v>-3.080194967305161E-3</v>
      </c>
      <c r="O1195" s="231">
        <f>IFERROR(Inv_SY!O1196/Inv_SY!$P1196-1,"")</f>
        <v>-0.18781530365208787</v>
      </c>
      <c r="P1195" s="231">
        <f>IFERROR(Inv_SY!J1196/Inv_SY!$Q1196-1,"")</f>
        <v>-1.1428791320043152E-2</v>
      </c>
      <c r="Q1195" s="231">
        <f>IFERROR(Inv_SY!K1196/Inv_SY!$Q1196-1,"")</f>
        <v>-2.716854816563119E-2</v>
      </c>
      <c r="R1195" s="231">
        <f>IFERROR(Inv_SY!L1196/Inv_SY!$Q1196-1,"")</f>
        <v>-2.628197199539184E-2</v>
      </c>
      <c r="S1195" s="231">
        <f>IFERROR(Inv_SY!M1196/Inv_SY!$Q1196-1,"")</f>
        <v>0</v>
      </c>
      <c r="T1195" s="231">
        <f>IFERROR(Inv_SY!N1196/Inv_SY!$Q1196-1,"")</f>
        <v>-6.3923271083525357E-2</v>
      </c>
      <c r="U1195" s="232">
        <f>IFERROR(Inv_SY!O1196/Inv_SY!$Q1196-1,"")</f>
        <v>-0.23738379958411981</v>
      </c>
    </row>
    <row r="1196" spans="1:21">
      <c r="A1196" s="91" t="s">
        <v>4</v>
      </c>
      <c r="B1196" s="221">
        <v>6</v>
      </c>
      <c r="C1196" s="221">
        <v>2025</v>
      </c>
      <c r="D1196" s="91" t="s">
        <v>211</v>
      </c>
      <c r="E1196" s="91" t="s">
        <v>211</v>
      </c>
      <c r="F1196" s="92">
        <v>45839</v>
      </c>
      <c r="G1196" s="230">
        <f t="shared" si="52"/>
        <v>31</v>
      </c>
      <c r="H1196" s="222">
        <f t="shared" si="50"/>
        <v>45846</v>
      </c>
      <c r="I1196" s="145">
        <f>_xlfn.XLOOKUP(Table5[[#This Row],[Month Year]],'Modelling New'!D:D,'Modelling New'!N:N)</f>
        <v>10.507</v>
      </c>
      <c r="J1196" s="231">
        <f>IFERROR(Inv_SY!J1197/Inv_SY!$P1197-1,"")</f>
        <v>5.2201267876926583E-2</v>
      </c>
      <c r="K1196" s="231">
        <f>IFERROR(Inv_SY!K1197/Inv_SY!$P1197-1,"")</f>
        <v>2.8707339983417679E-2</v>
      </c>
      <c r="L1196" s="231">
        <f>IFERROR(Inv_SY!L1197/Inv_SY!$P1197-1,"")</f>
        <v>5.3193432272609531E-2</v>
      </c>
      <c r="M1196" s="231">
        <f>IFERROR(Inv_SY!M1197/Inv_SY!$P1197-1,"")</f>
        <v>1.8751959172507826E-2</v>
      </c>
      <c r="N1196" s="231">
        <f>IFERROR(Inv_SY!N1197/Inv_SY!$P1197-1,"")</f>
        <v>-1.2324296101373644E-3</v>
      </c>
      <c r="O1196" s="231">
        <f>IFERROR(Inv_SY!O1197/Inv_SY!$P1197-1,"")</f>
        <v>-0.15162156969532503</v>
      </c>
      <c r="P1196" s="231">
        <f>IFERROR(Inv_SY!J1197/Inv_SY!$Q1197-1,"")</f>
        <v>-9.4205334488473014E-4</v>
      </c>
      <c r="Q1196" s="231">
        <f>IFERROR(Inv_SY!K1197/Inv_SY!$Q1197-1,"")</f>
        <v>-2.3249378071372173E-2</v>
      </c>
      <c r="R1196" s="231">
        <f>IFERROR(Inv_SY!L1197/Inv_SY!$Q1197-1,"")</f>
        <v>0</v>
      </c>
      <c r="S1196" s="231">
        <f>IFERROR(Inv_SY!M1197/Inv_SY!$Q1197-1,"")</f>
        <v>-3.2701944433685792E-2</v>
      </c>
      <c r="T1196" s="231">
        <f>IFERROR(Inv_SY!N1197/Inv_SY!$Q1197-1,"")</f>
        <v>-5.167698564669676E-2</v>
      </c>
      <c r="U1196" s="232">
        <f>IFERROR(Inv_SY!O1197/Inv_SY!$Q1197-1,"")</f>
        <v>-0.19447045119335693</v>
      </c>
    </row>
    <row r="1197" spans="1:21">
      <c r="A1197" s="91" t="s">
        <v>4</v>
      </c>
      <c r="B1197" s="221">
        <v>6</v>
      </c>
      <c r="C1197" s="221">
        <v>2025</v>
      </c>
      <c r="D1197" s="91" t="s">
        <v>211</v>
      </c>
      <c r="E1197" s="91" t="s">
        <v>211</v>
      </c>
      <c r="F1197" s="92">
        <v>45839</v>
      </c>
      <c r="G1197" s="230">
        <f t="shared" si="52"/>
        <v>31</v>
      </c>
      <c r="H1197" s="222">
        <f t="shared" si="50"/>
        <v>45847</v>
      </c>
      <c r="I1197" s="145">
        <f>_xlfn.XLOOKUP(Table5[[#This Row],[Month Year]],'Modelling New'!D:D,'Modelling New'!N:N)</f>
        <v>10.507</v>
      </c>
      <c r="J1197" s="231">
        <f>IFERROR(Inv_SY!J1198/Inv_SY!$P1198-1,"")</f>
        <v>-2.8720939844058657E-2</v>
      </c>
      <c r="K1197" s="231">
        <f>IFERROR(Inv_SY!K1198/Inv_SY!$P1198-1,"")</f>
        <v>-6.1208505738515107E-2</v>
      </c>
      <c r="L1197" s="231">
        <f>IFERROR(Inv_SY!L1198/Inv_SY!$P1198-1,"")</f>
        <v>-2.0911213377542426E-2</v>
      </c>
      <c r="M1197" s="231">
        <f>IFERROR(Inv_SY!M1198/Inv_SY!$P1198-1,"")</f>
        <v>-4.0510346575688083E-2</v>
      </c>
      <c r="N1197" s="231">
        <f>IFERROR(Inv_SY!N1198/Inv_SY!$P1198-1,"")</f>
        <v>-5.322659384050088E-2</v>
      </c>
      <c r="O1197" s="231">
        <f>IFERROR(Inv_SY!O1198/Inv_SY!$P1198-1,"")</f>
        <v>0.2045775993763046</v>
      </c>
      <c r="P1197" s="231">
        <f>IFERROR(Inv_SY!J1198/Inv_SY!$Q1198-1,"")</f>
        <v>-0.19367663763725851</v>
      </c>
      <c r="Q1197" s="231">
        <f>IFERROR(Inv_SY!K1198/Inv_SY!$Q1198-1,"")</f>
        <v>-0.22064672732785018</v>
      </c>
      <c r="R1197" s="231">
        <f>IFERROR(Inv_SY!L1198/Inv_SY!$Q1198-1,"")</f>
        <v>-0.18719326415384008</v>
      </c>
      <c r="S1197" s="231">
        <f>IFERROR(Inv_SY!M1198/Inv_SY!$Q1198-1,"")</f>
        <v>-0.2034638084577467</v>
      </c>
      <c r="T1197" s="231">
        <f>IFERROR(Inv_SY!N1198/Inv_SY!$Q1198-1,"")</f>
        <v>-0.21402041126307603</v>
      </c>
      <c r="U1197" s="232">
        <f>IFERROR(Inv_SY!O1198/Inv_SY!$Q1198-1,"")</f>
        <v>0</v>
      </c>
    </row>
    <row r="1198" spans="1:21">
      <c r="A1198" s="91" t="s">
        <v>4</v>
      </c>
      <c r="B1198" s="221">
        <v>6</v>
      </c>
      <c r="C1198" s="221">
        <v>2025</v>
      </c>
      <c r="D1198" s="91" t="s">
        <v>211</v>
      </c>
      <c r="E1198" s="91" t="s">
        <v>211</v>
      </c>
      <c r="F1198" s="92">
        <v>45839</v>
      </c>
      <c r="G1198" s="91">
        <f>DAY(EOMONTH(F1198,0))</f>
        <v>31</v>
      </c>
      <c r="H1198" s="93">
        <f>H1197+1</f>
        <v>45848</v>
      </c>
      <c r="I1198" s="145">
        <f>_xlfn.XLOOKUP(Table5[[#This Row],[Month Year]],'Modelling New'!D:D,'Modelling New'!N:N)</f>
        <v>10.507</v>
      </c>
      <c r="J1198" s="234">
        <f>IFERROR(Inv_SY!J1199/Inv_SY!$P1199-1,"")</f>
        <v>4.3833346256317629E-2</v>
      </c>
      <c r="K1198" s="234">
        <f>IFERROR(Inv_SY!K1199/Inv_SY!$P1199-1,"")</f>
        <v>2.0977409180276574E-2</v>
      </c>
      <c r="L1198" s="234">
        <f>IFERROR(Inv_SY!L1199/Inv_SY!$P1199-1,"")</f>
        <v>5.7030718644584866E-2</v>
      </c>
      <c r="M1198" s="231">
        <f>IFERROR(Inv_SY!M1199/Inv_SY!$P1199-1,"")</f>
        <v>2.9025775369253104E-2</v>
      </c>
      <c r="N1198" s="231">
        <f>IFERROR(Inv_SY!N1199/Inv_SY!$P1199-1,"")</f>
        <v>9.0401503780204173E-3</v>
      </c>
      <c r="O1198" s="231">
        <f>IFERROR(Inv_SY!O1199/Inv_SY!$P1199-1,"")</f>
        <v>-0.15990739982845192</v>
      </c>
      <c r="P1198" s="231">
        <f>IFERROR(Inv_SY!J1199/Inv_SY!$Q1199-1,"")</f>
        <v>-1.2485325313146944E-2</v>
      </c>
      <c r="Q1198" s="231">
        <f>IFERROR(Inv_SY!K1199/Inv_SY!$Q1199-1,"")</f>
        <v>-3.4108100009183184E-2</v>
      </c>
      <c r="R1198" s="231">
        <f>IFERROR(Inv_SY!L1199/Inv_SY!$Q1199-1,"")</f>
        <v>0</v>
      </c>
      <c r="S1198" s="231">
        <f>IFERROR(Inv_SY!M1199/Inv_SY!$Q1199-1,"")</f>
        <v>-2.6493972957798428E-2</v>
      </c>
      <c r="T1198" s="231">
        <f>IFERROR(Inv_SY!N1199/Inv_SY!$Q1199-1,"")</f>
        <v>-4.5401299527134009E-2</v>
      </c>
      <c r="U1198" s="232">
        <f>IFERROR(Inv_SY!O1199/Inv_SY!$Q1199-1,"")</f>
        <v>-0.20523350423648368</v>
      </c>
    </row>
    <row r="1199" spans="1:21">
      <c r="A1199" s="91" t="s">
        <v>4</v>
      </c>
      <c r="B1199" s="221">
        <v>6</v>
      </c>
      <c r="C1199" s="221">
        <v>2025</v>
      </c>
      <c r="D1199" s="91" t="s">
        <v>211</v>
      </c>
      <c r="E1199" s="91" t="s">
        <v>211</v>
      </c>
      <c r="F1199" s="92">
        <v>45839</v>
      </c>
      <c r="G1199" s="242">
        <f t="shared" ref="G1199:G1208" si="53">DAY(EOMONTH(F1199,0))</f>
        <v>31</v>
      </c>
      <c r="H1199" s="93">
        <f t="shared" ref="H1199:H1224" si="54">H1198+1</f>
        <v>45849</v>
      </c>
      <c r="I1199" s="145">
        <f>_xlfn.XLOOKUP(Table5[[#This Row],[Month Year]],'Modelling New'!D:D,'Modelling New'!N:N)</f>
        <v>10.507</v>
      </c>
      <c r="J1199" s="243">
        <f>IFERROR(Inv_SY!J1200/Inv_SY!$P1200-1,"")</f>
        <v>2.434726508839935E-2</v>
      </c>
      <c r="K1199" s="243">
        <f>IFERROR(Inv_SY!K1200/Inv_SY!$P1200-1,"")</f>
        <v>2.4973204613095046E-2</v>
      </c>
      <c r="L1199" s="243">
        <f>IFERROR(Inv_SY!L1200/Inv_SY!$P1200-1,"")</f>
        <v>2.7010930248346998E-2</v>
      </c>
      <c r="M1199" s="231">
        <f>IFERROR(Inv_SY!M1200/Inv_SY!$P1200-1,"")</f>
        <v>-1.0305128500205929E-2</v>
      </c>
      <c r="N1199" s="231">
        <f>IFERROR(Inv_SY!N1200/Inv_SY!$P1200-1,"")</f>
        <v>-2.1794201885410702E-2</v>
      </c>
      <c r="O1199" s="231">
        <f>IFERROR(Inv_SY!O1200/Inv_SY!$P1200-1,"")</f>
        <v>-4.423206956422443E-2</v>
      </c>
      <c r="P1199" s="231">
        <f>IFERROR(Inv_SY!J1200/Inv_SY!$Q1200-1,"")</f>
        <v>-2.5936093584745246E-3</v>
      </c>
      <c r="Q1199" s="231">
        <f>IFERROR(Inv_SY!K1200/Inv_SY!$Q1200-1,"")</f>
        <v>-1.9841323740920069E-3</v>
      </c>
      <c r="R1199" s="231">
        <f>IFERROR(Inv_SY!L1200/Inv_SY!$Q1200-1,"")</f>
        <v>0</v>
      </c>
      <c r="S1199" s="231">
        <f>IFERROR(Inv_SY!M1200/Inv_SY!$Q1200-1,"")</f>
        <v>-3.6334626681655102E-2</v>
      </c>
      <c r="T1199" s="231">
        <f>IFERROR(Inv_SY!N1200/Inv_SY!$Q1200-1,"")</f>
        <v>-4.7521531364769332E-2</v>
      </c>
      <c r="U1199" s="232">
        <f>IFERROR(Inv_SY!O1200/Inv_SY!$Q1200-1,"")</f>
        <v>-6.9369271265052546E-2</v>
      </c>
    </row>
    <row r="1200" spans="1:21">
      <c r="A1200" s="91" t="s">
        <v>4</v>
      </c>
      <c r="B1200" s="221">
        <v>6</v>
      </c>
      <c r="C1200" s="221">
        <v>2025</v>
      </c>
      <c r="D1200" s="91" t="s">
        <v>211</v>
      </c>
      <c r="E1200" s="91" t="s">
        <v>211</v>
      </c>
      <c r="F1200" s="92">
        <v>45839</v>
      </c>
      <c r="G1200" s="242">
        <f t="shared" si="53"/>
        <v>31</v>
      </c>
      <c r="H1200" s="93">
        <f t="shared" si="54"/>
        <v>45850</v>
      </c>
      <c r="I1200" s="145">
        <f>_xlfn.XLOOKUP(Table5[[#This Row],[Month Year]],'Modelling New'!D:D,'Modelling New'!N:N)</f>
        <v>10.507</v>
      </c>
      <c r="J1200" s="243">
        <f>IFERROR(Inv_SY!J1201/Inv_SY!$P1201-1,"")</f>
        <v>3.7845754052256986E-3</v>
      </c>
      <c r="K1200" s="243">
        <f>IFERROR(Inv_SY!K1201/Inv_SY!$P1201-1,"")</f>
        <v>1.4803627448371826E-2</v>
      </c>
      <c r="L1200" s="243">
        <f>IFERROR(Inv_SY!L1201/Inv_SY!$P1201-1,"")</f>
        <v>2.8199187081211941E-2</v>
      </c>
      <c r="M1200" s="231">
        <f>IFERROR(Inv_SY!M1201/Inv_SY!$P1201-1,"")</f>
        <v>1.3167182270908073E-2</v>
      </c>
      <c r="N1200" s="231">
        <f>IFERROR(Inv_SY!N1201/Inv_SY!$P1201-1,"")</f>
        <v>-1.8723130486080208E-2</v>
      </c>
      <c r="O1200" s="231">
        <f>IFERROR(Inv_SY!O1201/Inv_SY!$P1201-1,"")</f>
        <v>-4.1231441719637885E-2</v>
      </c>
      <c r="P1200" s="231">
        <f>IFERROR(Inv_SY!J1201/Inv_SY!$Q1201-1,"")</f>
        <v>-2.3745021375958242E-2</v>
      </c>
      <c r="Q1200" s="231">
        <f>IFERROR(Inv_SY!K1201/Inv_SY!$Q1201-1,"")</f>
        <v>-1.3028175669800635E-2</v>
      </c>
      <c r="R1200" s="231">
        <f>IFERROR(Inv_SY!L1201/Inv_SY!$Q1201-1,"")</f>
        <v>0</v>
      </c>
      <c r="S1200" s="231">
        <f>IFERROR(Inv_SY!M1201/Inv_SY!$Q1201-1,"")</f>
        <v>-1.461974002622568E-2</v>
      </c>
      <c r="T1200" s="231">
        <f>IFERROR(Inv_SY!N1201/Inv_SY!$Q1201-1,"")</f>
        <v>-4.5635435387273882E-2</v>
      </c>
      <c r="U1200" s="232">
        <f>IFERROR(Inv_SY!O1201/Inv_SY!$Q1201-1,"")</f>
        <v>-6.7526438138844735E-2</v>
      </c>
    </row>
    <row r="1201" spans="1:21">
      <c r="A1201" s="91" t="s">
        <v>4</v>
      </c>
      <c r="B1201" s="221">
        <v>6</v>
      </c>
      <c r="C1201" s="221">
        <v>2025</v>
      </c>
      <c r="D1201" s="91" t="s">
        <v>211</v>
      </c>
      <c r="E1201" s="91" t="s">
        <v>211</v>
      </c>
      <c r="F1201" s="92">
        <v>45839</v>
      </c>
      <c r="G1201" s="242">
        <f t="shared" si="53"/>
        <v>31</v>
      </c>
      <c r="H1201" s="93">
        <f t="shared" si="54"/>
        <v>45851</v>
      </c>
      <c r="I1201" s="145">
        <f>_xlfn.XLOOKUP(Table5[[#This Row],[Month Year]],'Modelling New'!D:D,'Modelling New'!N:N)</f>
        <v>10.507</v>
      </c>
      <c r="J1201" s="243">
        <f>IFERROR(Inv_SY!J1202/Inv_SY!$P1202-1,"")</f>
        <v>-3.1182443826639483E-3</v>
      </c>
      <c r="K1201" s="243">
        <f>IFERROR(Inv_SY!K1202/Inv_SY!$P1202-1,"")</f>
        <v>3.5587967798180742E-2</v>
      </c>
      <c r="L1201" s="243">
        <f>IFERROR(Inv_SY!L1202/Inv_SY!$P1202-1,"")</f>
        <v>4.3896651254925478E-2</v>
      </c>
      <c r="M1201" s="231">
        <f>IFERROR(Inv_SY!M1202/Inv_SY!$P1202-1,"")</f>
        <v>3.2932100398131769E-2</v>
      </c>
      <c r="N1201" s="231">
        <f>IFERROR(Inv_SY!N1202/Inv_SY!$P1202-1,"")</f>
        <v>-1.402861822506285E-2</v>
      </c>
      <c r="O1201" s="231">
        <f>IFERROR(Inv_SY!O1202/Inv_SY!$P1202-1,"")</f>
        <v>-9.5269856843510414E-2</v>
      </c>
      <c r="P1201" s="231">
        <f>IFERROR(Inv_SY!J1202/Inv_SY!$Q1202-1,"")</f>
        <v>-4.5037883377698651E-2</v>
      </c>
      <c r="Q1201" s="231">
        <f>IFERROR(Inv_SY!K1202/Inv_SY!$Q1202-1,"")</f>
        <v>-7.9592969732745766E-3</v>
      </c>
      <c r="R1201" s="231">
        <f>IFERROR(Inv_SY!L1202/Inv_SY!$Q1202-1,"")</f>
        <v>0</v>
      </c>
      <c r="S1201" s="231">
        <f>IFERROR(Inv_SY!M1202/Inv_SY!$Q1202-1,"")</f>
        <v>-1.0503483121257817E-2</v>
      </c>
      <c r="T1201" s="231">
        <f>IFERROR(Inv_SY!N1202/Inv_SY!$Q1202-1,"")</f>
        <v>-5.5489467669384007E-2</v>
      </c>
      <c r="U1201" s="232">
        <f>IFERROR(Inv_SY!O1202/Inv_SY!$Q1202-1,"")</f>
        <v>-0.13331445017199373</v>
      </c>
    </row>
    <row r="1202" spans="1:21">
      <c r="A1202" s="91" t="s">
        <v>4</v>
      </c>
      <c r="B1202" s="221">
        <v>6</v>
      </c>
      <c r="C1202" s="221">
        <v>2025</v>
      </c>
      <c r="D1202" s="91" t="s">
        <v>211</v>
      </c>
      <c r="E1202" s="91" t="s">
        <v>211</v>
      </c>
      <c r="F1202" s="92">
        <v>45839</v>
      </c>
      <c r="G1202" s="242">
        <f t="shared" si="53"/>
        <v>31</v>
      </c>
      <c r="H1202" s="93">
        <f t="shared" si="54"/>
        <v>45852</v>
      </c>
      <c r="I1202" s="145">
        <f>_xlfn.XLOOKUP(Table5[[#This Row],[Month Year]],'Modelling New'!D:D,'Modelling New'!N:N)</f>
        <v>10.507</v>
      </c>
      <c r="J1202" s="243">
        <f>IFERROR(Inv_SY!J1203/Inv_SY!$P1203-1,"")</f>
        <v>-1.3658620429463308E-2</v>
      </c>
      <c r="K1202" s="243">
        <f>IFERROR(Inv_SY!K1203/Inv_SY!$P1203-1,"")</f>
        <v>-2.9063394748580329E-2</v>
      </c>
      <c r="L1202" s="243">
        <f>IFERROR(Inv_SY!L1203/Inv_SY!$P1203-1,"")</f>
        <v>-1.4716827658301623E-2</v>
      </c>
      <c r="M1202" s="231">
        <f>IFERROR(Inv_SY!M1203/Inv_SY!$P1203-1,"")</f>
        <v>-1.9913223773833977E-2</v>
      </c>
      <c r="N1202" s="231">
        <f>IFERROR(Inv_SY!N1203/Inv_SY!$P1203-1,"")</f>
        <v>-5.8434976531651195E-2</v>
      </c>
      <c r="O1202" s="231">
        <f>IFERROR(Inv_SY!O1203/Inv_SY!$P1203-1,"")</f>
        <v>0.13578704314182999</v>
      </c>
      <c r="P1202" s="231">
        <f>IFERROR(Inv_SY!J1203/Inv_SY!$Q1203-1,"")</f>
        <v>-0.13157894736842102</v>
      </c>
      <c r="Q1202" s="231">
        <f>IFERROR(Inv_SY!K1203/Inv_SY!$Q1203-1,"")</f>
        <v>-0.1451420307053326</v>
      </c>
      <c r="R1202" s="231">
        <f>IFERROR(Inv_SY!L1203/Inv_SY!$Q1203-1,"")</f>
        <v>-0.13251064247379141</v>
      </c>
      <c r="S1202" s="231">
        <f>IFERROR(Inv_SY!M1203/Inv_SY!$Q1203-1,"")</f>
        <v>-0.13708579249589226</v>
      </c>
      <c r="T1202" s="231">
        <f>IFERROR(Inv_SY!N1203/Inv_SY!$Q1203-1,"")</f>
        <v>-0.17100214414862636</v>
      </c>
      <c r="U1202" s="232">
        <f>IFERROR(Inv_SY!O1203/Inv_SY!$Q1203-1,"")</f>
        <v>0</v>
      </c>
    </row>
    <row r="1203" spans="1:21">
      <c r="A1203" s="91" t="s">
        <v>4</v>
      </c>
      <c r="B1203" s="221">
        <v>6</v>
      </c>
      <c r="C1203" s="221">
        <v>2025</v>
      </c>
      <c r="D1203" s="91" t="s">
        <v>211</v>
      </c>
      <c r="E1203" s="91" t="s">
        <v>211</v>
      </c>
      <c r="F1203" s="92">
        <v>45839</v>
      </c>
      <c r="G1203" s="242">
        <f t="shared" si="53"/>
        <v>31</v>
      </c>
      <c r="H1203" s="93">
        <f t="shared" si="54"/>
        <v>45853</v>
      </c>
      <c r="I1203" s="145">
        <f>_xlfn.XLOOKUP(Table5[[#This Row],[Month Year]],'Modelling New'!D:D,'Modelling New'!N:N)</f>
        <v>10.507</v>
      </c>
      <c r="J1203" s="243">
        <f>IFERROR(Inv_SY!J1204/Inv_SY!$P1204-1,"")</f>
        <v>9.9411973853456015E-3</v>
      </c>
      <c r="K1203" s="243">
        <f>IFERROR(Inv_SY!K1204/Inv_SY!$P1204-1,"")</f>
        <v>1.0686783912060793E-2</v>
      </c>
      <c r="L1203" s="243">
        <f>IFERROR(Inv_SY!L1204/Inv_SY!$P1204-1,"")</f>
        <v>9.3252566547117333E-3</v>
      </c>
      <c r="M1203" s="243">
        <f>IFERROR(Inv_SY!M1204/Inv_SY!$P1204-1,"")</f>
        <v>-1.4790796836943398E-2</v>
      </c>
      <c r="N1203" s="243">
        <f>IFERROR(Inv_SY!N1204/Inv_SY!$P1204-1,"")</f>
        <v>-5.7465959010718271E-2</v>
      </c>
      <c r="O1203" s="243">
        <f>IFERROR(Inv_SY!O1204/Inv_SY!$P1204-1,"")</f>
        <v>4.2303517895544207E-2</v>
      </c>
      <c r="P1203" s="243">
        <f>IFERROR(Inv_SY!J1204/Inv_SY!$Q1204-1,"")</f>
        <v>-3.1048845134418745E-2</v>
      </c>
      <c r="Q1203" s="243">
        <f>IFERROR(Inv_SY!K1204/Inv_SY!$Q1204-1,"")</f>
        <v>-3.0333519402600539E-2</v>
      </c>
      <c r="R1203" s="243">
        <f>IFERROR(Inv_SY!L1204/Inv_SY!$Q1204-1,"")</f>
        <v>-3.1639786947488036E-2</v>
      </c>
      <c r="S1203" s="243">
        <f>IFERROR(Inv_SY!M1204/Inv_SY!$Q1204-1,"")</f>
        <v>-5.4777052703192775E-2</v>
      </c>
      <c r="T1203" s="243">
        <f>IFERROR(Inv_SY!N1204/Inv_SY!$Q1204-1,"")</f>
        <v>-9.5720176698339543E-2</v>
      </c>
      <c r="U1203" s="244">
        <f>IFERROR(Inv_SY!O1204/Inv_SY!$Q1204-1,"")</f>
        <v>0</v>
      </c>
    </row>
    <row r="1204" spans="1:21">
      <c r="A1204" s="91" t="s">
        <v>4</v>
      </c>
      <c r="B1204" s="221">
        <v>6</v>
      </c>
      <c r="C1204" s="221">
        <v>2025</v>
      </c>
      <c r="D1204" s="91" t="s">
        <v>211</v>
      </c>
      <c r="E1204" s="91" t="s">
        <v>211</v>
      </c>
      <c r="F1204" s="92">
        <v>45839</v>
      </c>
      <c r="G1204" s="242">
        <f t="shared" si="53"/>
        <v>31</v>
      </c>
      <c r="H1204" s="93">
        <f t="shared" si="54"/>
        <v>45854</v>
      </c>
      <c r="I1204" s="145">
        <f>_xlfn.XLOOKUP(Table5[[#This Row],[Month Year]],'Modelling New'!D:D,'Modelling New'!N:N)</f>
        <v>10.507</v>
      </c>
      <c r="J1204" s="243">
        <f>IFERROR(Inv_SY!J1205/Inv_SY!$P1205-1,"")</f>
        <v>5.2819114678628765E-2</v>
      </c>
      <c r="K1204" s="243">
        <f>IFERROR(Inv_SY!K1205/Inv_SY!$P1205-1,"")</f>
        <v>-1.6922085396062769E-3</v>
      </c>
      <c r="L1204" s="243">
        <f>IFERROR(Inv_SY!L1205/Inv_SY!$P1205-1,"")</f>
        <v>3.0828253989880761E-2</v>
      </c>
      <c r="M1204" s="243">
        <f>IFERROR(Inv_SY!M1205/Inv_SY!$P1205-1,"")</f>
        <v>2.6427631293507003E-2</v>
      </c>
      <c r="N1204" s="243">
        <f>IFERROR(Inv_SY!N1205/Inv_SY!$P1205-1,"")</f>
        <v>4.5453093584814752E-2</v>
      </c>
      <c r="O1204" s="243">
        <f>IFERROR(Inv_SY!O1205/Inv_SY!$P1205-1,"")</f>
        <v>-0.15383588500722511</v>
      </c>
      <c r="P1204" s="243">
        <f>IFERROR(Inv_SY!J1205/Inv_SY!$Q1205-1,"")</f>
        <v>0</v>
      </c>
      <c r="Q1204" s="243">
        <f>IFERROR(Inv_SY!K1205/Inv_SY!$Q1205-1,"")</f>
        <v>-5.1776532604914216E-2</v>
      </c>
      <c r="R1204" s="243">
        <f>IFERROR(Inv_SY!L1205/Inv_SY!$Q1205-1,"")</f>
        <v>-2.0887596342188841E-2</v>
      </c>
      <c r="S1204" s="243">
        <f>IFERROR(Inv_SY!M1205/Inv_SY!$Q1205-1,"")</f>
        <v>-2.5067443226634123E-2</v>
      </c>
      <c r="T1204" s="243">
        <f>IFERROR(Inv_SY!N1205/Inv_SY!$Q1205-1,"")</f>
        <v>-6.9964735547780599E-3</v>
      </c>
      <c r="U1204" s="244">
        <f>IFERROR(Inv_SY!O1205/Inv_SY!$Q1205-1,"")</f>
        <v>-0.19628727936701151</v>
      </c>
    </row>
    <row r="1205" spans="1:21">
      <c r="A1205" s="91" t="s">
        <v>4</v>
      </c>
      <c r="B1205" s="221">
        <v>6</v>
      </c>
      <c r="C1205" s="221">
        <v>2025</v>
      </c>
      <c r="D1205" s="91" t="s">
        <v>211</v>
      </c>
      <c r="E1205" s="91" t="s">
        <v>211</v>
      </c>
      <c r="F1205" s="92">
        <v>45839</v>
      </c>
      <c r="G1205" s="242">
        <f t="shared" si="53"/>
        <v>31</v>
      </c>
      <c r="H1205" s="93">
        <f t="shared" si="54"/>
        <v>45855</v>
      </c>
      <c r="I1205" s="145">
        <f>_xlfn.XLOOKUP(Table5[[#This Row],[Month Year]],'Modelling New'!D:D,'Modelling New'!N:N)</f>
        <v>10.507</v>
      </c>
      <c r="J1205" s="243">
        <f>IFERROR(Inv_SY!J1206/Inv_SY!$P1206-1,"")</f>
        <v>-6.8974145033259271E-3</v>
      </c>
      <c r="K1205" s="243">
        <f>IFERROR(Inv_SY!K1206/Inv_SY!$P1206-1,"")</f>
        <v>4.9477896104406227E-3</v>
      </c>
      <c r="L1205" s="243">
        <f>IFERROR(Inv_SY!L1206/Inv_SY!$P1206-1,"")</f>
        <v>6.3595350446203902E-3</v>
      </c>
      <c r="M1205" s="243">
        <f>IFERROR(Inv_SY!M1206/Inv_SY!$P1206-1,"")</f>
        <v>-5.0533072617670038E-3</v>
      </c>
      <c r="N1205" s="243">
        <f>IFERROR(Inv_SY!N1206/Inv_SY!$P1206-1,"")</f>
        <v>-2.7697684362901431E-2</v>
      </c>
      <c r="O1205" s="243">
        <f>IFERROR(Inv_SY!O1206/Inv_SY!$P1206-1,"")</f>
        <v>2.8341081472933016E-2</v>
      </c>
      <c r="P1205" s="243">
        <f>IFERROR(Inv_SY!J1206/Inv_SY!$Q1206-1,"")</f>
        <v>-3.4267322983718262E-2</v>
      </c>
      <c r="Q1205" s="243">
        <f>IFERROR(Inv_SY!K1206/Inv_SY!$Q1206-1,"")</f>
        <v>-2.2748572709927473E-2</v>
      </c>
      <c r="R1205" s="243">
        <f>IFERROR(Inv_SY!L1206/Inv_SY!$Q1206-1,"")</f>
        <v>-2.1375734981653793E-2</v>
      </c>
      <c r="S1205" s="243">
        <f>IFERROR(Inv_SY!M1206/Inv_SY!$Q1206-1,"")</f>
        <v>-3.2474039340009697E-2</v>
      </c>
      <c r="T1205" s="243">
        <f>IFERROR(Inv_SY!N1206/Inv_SY!$Q1206-1,"")</f>
        <v>-5.4494337380325275E-2</v>
      </c>
      <c r="U1205" s="244">
        <f>IFERROR(Inv_SY!O1206/Inv_SY!$Q1206-1,"")</f>
        <v>0</v>
      </c>
    </row>
    <row r="1206" spans="1:21">
      <c r="A1206" s="91" t="s">
        <v>4</v>
      </c>
      <c r="B1206" s="221">
        <v>6</v>
      </c>
      <c r="C1206" s="221">
        <v>2025</v>
      </c>
      <c r="D1206" s="91" t="s">
        <v>211</v>
      </c>
      <c r="E1206" s="91" t="s">
        <v>211</v>
      </c>
      <c r="F1206" s="92">
        <v>45839</v>
      </c>
      <c r="G1206" s="242">
        <f t="shared" si="53"/>
        <v>31</v>
      </c>
      <c r="H1206" s="93">
        <f t="shared" si="54"/>
        <v>45856</v>
      </c>
      <c r="I1206" s="145">
        <f>_xlfn.XLOOKUP(Table5[[#This Row],[Month Year]],'Modelling New'!D:D,'Modelling New'!N:N)</f>
        <v>10.507</v>
      </c>
      <c r="J1206" s="243">
        <f>IFERROR(Inv_SY!J1207/Inv_SY!$P1207-1,"")</f>
        <v>-0.11127723771394249</v>
      </c>
      <c r="K1206" s="243">
        <f>IFERROR(Inv_SY!K1207/Inv_SY!$P1207-1,"")</f>
        <v>-0.10453171652317383</v>
      </c>
      <c r="L1206" s="243">
        <f>IFERROR(Inv_SY!L1207/Inv_SY!$P1207-1,"")</f>
        <v>-8.9533429326841829E-2</v>
      </c>
      <c r="M1206" s="243">
        <f>IFERROR(Inv_SY!M1207/Inv_SY!$P1207-1,"")</f>
        <v>-0.10692226281954553</v>
      </c>
      <c r="N1206" s="243">
        <f>IFERROR(Inv_SY!N1207/Inv_SY!$P1207-1,"")</f>
        <v>-0.14160282478331432</v>
      </c>
      <c r="O1206" s="243">
        <f>IFERROR(Inv_SY!O1207/Inv_SY!$P1207-1,"")</f>
        <v>0.55386747116681745</v>
      </c>
      <c r="P1206" s="243">
        <f>IFERROR(Inv_SY!J1207/Inv_SY!$Q1207-1,"")</f>
        <v>-0.42805755395683454</v>
      </c>
      <c r="Q1206" s="243">
        <f>IFERROR(Inv_SY!K1207/Inv_SY!$Q1207-1,"")</f>
        <v>-0.42371643650895885</v>
      </c>
      <c r="R1206" s="243">
        <f>IFERROR(Inv_SY!L1207/Inv_SY!$Q1207-1,"")</f>
        <v>-0.41406420588142057</v>
      </c>
      <c r="S1206" s="243">
        <f>IFERROR(Inv_SY!M1207/Inv_SY!$Q1207-1,"")</f>
        <v>-0.42525488579162296</v>
      </c>
      <c r="T1206" s="243">
        <f>IFERROR(Inv_SY!N1207/Inv_SY!$Q1207-1,"")</f>
        <v>-0.44757375313860903</v>
      </c>
      <c r="U1206" s="244">
        <f>IFERROR(Inv_SY!O1207/Inv_SY!$Q1207-1,"")</f>
        <v>0</v>
      </c>
    </row>
    <row r="1207" spans="1:21">
      <c r="A1207" s="91" t="s">
        <v>4</v>
      </c>
      <c r="B1207" s="221">
        <v>6</v>
      </c>
      <c r="C1207" s="221">
        <v>2025</v>
      </c>
      <c r="D1207" s="91" t="s">
        <v>211</v>
      </c>
      <c r="E1207" s="91" t="s">
        <v>211</v>
      </c>
      <c r="F1207" s="92">
        <v>45839</v>
      </c>
      <c r="G1207" s="242">
        <f t="shared" si="53"/>
        <v>31</v>
      </c>
      <c r="H1207" s="93">
        <f t="shared" si="54"/>
        <v>45857</v>
      </c>
      <c r="I1207" s="145">
        <f>_xlfn.XLOOKUP(Table5[[#This Row],[Month Year]],'Modelling New'!D:D,'Modelling New'!N:N)</f>
        <v>10.507</v>
      </c>
      <c r="J1207" s="243">
        <f>IFERROR(Inv_SY!J1208/Inv_SY!$P1208-1,"")</f>
        <v>-4.6528658469875972E-2</v>
      </c>
      <c r="K1207" s="243">
        <f>IFERROR(Inv_SY!K1208/Inv_SY!$P1208-1,"")</f>
        <v>1.5718758870635785E-2</v>
      </c>
      <c r="L1207" s="243">
        <f>IFERROR(Inv_SY!L1208/Inv_SY!$P1208-1,"")</f>
        <v>1.9479865306197386E-2</v>
      </c>
      <c r="M1207" s="243">
        <f>IFERROR(Inv_SY!M1208/Inv_SY!$P1208-1,"")</f>
        <v>6.9114363486897368E-3</v>
      </c>
      <c r="N1207" s="243">
        <f>IFERROR(Inv_SY!N1208/Inv_SY!$P1208-1,"")</f>
        <v>-2.9291505906654414E-2</v>
      </c>
      <c r="O1207" s="243">
        <f>IFERROR(Inv_SY!O1208/Inv_SY!$P1208-1,"")</f>
        <v>3.371010385100881E-2</v>
      </c>
      <c r="P1207" s="243">
        <f>IFERROR(Inv_SY!J1208/Inv_SY!$Q1208-1,"")</f>
        <v>-7.7622112836046919E-2</v>
      </c>
      <c r="Q1207" s="243">
        <f>IFERROR(Inv_SY!K1208/Inv_SY!$Q1208-1,"")</f>
        <v>-1.7404632994635238E-2</v>
      </c>
      <c r="R1207" s="243">
        <f>IFERROR(Inv_SY!L1208/Inv_SY!$Q1208-1,"")</f>
        <v>-1.3766179213879903E-2</v>
      </c>
      <c r="S1207" s="243">
        <f>IFERROR(Inv_SY!M1208/Inv_SY!$Q1208-1,"")</f>
        <v>-2.5924741765106729E-2</v>
      </c>
      <c r="T1207" s="243">
        <f>IFERROR(Inv_SY!N1208/Inv_SY!$Q1208-1,"")</f>
        <v>-6.0947077447492726E-2</v>
      </c>
      <c r="U1207" s="244">
        <f>IFERROR(Inv_SY!O1208/Inv_SY!$Q1208-1,"")</f>
        <v>0</v>
      </c>
    </row>
    <row r="1208" spans="1:21">
      <c r="A1208" s="91" t="s">
        <v>4</v>
      </c>
      <c r="B1208" s="221">
        <v>6</v>
      </c>
      <c r="C1208" s="221">
        <v>2025</v>
      </c>
      <c r="D1208" s="91" t="s">
        <v>211</v>
      </c>
      <c r="E1208" s="91" t="s">
        <v>211</v>
      </c>
      <c r="F1208" s="92">
        <v>45839</v>
      </c>
      <c r="G1208" s="242">
        <f t="shared" si="53"/>
        <v>31</v>
      </c>
      <c r="H1208" s="93">
        <f t="shared" si="54"/>
        <v>45858</v>
      </c>
      <c r="I1208" s="145">
        <f>_xlfn.XLOOKUP(Table5[[#This Row],[Month Year]],'Modelling New'!D:D,'Modelling New'!N:N)</f>
        <v>10.507</v>
      </c>
      <c r="J1208" s="243">
        <f>IFERROR(Inv_SY!J1209/Inv_SY!$P1209-1,"")</f>
        <v>-8.6942115932813202E-3</v>
      </c>
      <c r="K1208" s="243">
        <f>IFERROR(Inv_SY!K1209/Inv_SY!$P1209-1,"")</f>
        <v>-5.1728193597301408E-2</v>
      </c>
      <c r="L1208" s="243">
        <f>IFERROR(Inv_SY!L1209/Inv_SY!$P1209-1,"")</f>
        <v>1.0653402201604267E-2</v>
      </c>
      <c r="M1208" s="243">
        <f>IFERROR(Inv_SY!M1209/Inv_SY!$P1209-1,"")</f>
        <v>-4.6044060639175433E-3</v>
      </c>
      <c r="N1208" s="243">
        <f>IFERROR(Inv_SY!N1209/Inv_SY!$P1209-1,"")</f>
        <v>-3.9895592904112154E-2</v>
      </c>
      <c r="O1208" s="243">
        <f>IFERROR(Inv_SY!O1209/Inv_SY!$P1209-1,"")</f>
        <v>9.4269001957008935E-2</v>
      </c>
      <c r="P1208" s="243">
        <f>IFERROR(Inv_SY!J1209/Inv_SY!$Q1209-1,"")</f>
        <v>-9.4093146535403238E-2</v>
      </c>
      <c r="Q1208" s="243">
        <f>IFERROR(Inv_SY!K1209/Inv_SY!$Q1209-1,"")</f>
        <v>-0.13341984036211074</v>
      </c>
      <c r="R1208" s="243">
        <f>IFERROR(Inv_SY!L1209/Inv_SY!$Q1209-1,"")</f>
        <v>-7.6412289488110408E-2</v>
      </c>
      <c r="S1208" s="243">
        <f>IFERROR(Inv_SY!M1209/Inv_SY!$Q1209-1,"")</f>
        <v>-9.0355669258746829E-2</v>
      </c>
      <c r="T1208" s="243">
        <f>IFERROR(Inv_SY!N1209/Inv_SY!$Q1209-1,"")</f>
        <v>-0.12260659364487048</v>
      </c>
      <c r="U1208" s="244">
        <f>IFERROR(Inv_SY!O1209/Inv_SY!$Q1209-1,"")</f>
        <v>0</v>
      </c>
    </row>
    <row r="1209" spans="1:21">
      <c r="A1209" s="91" t="s">
        <v>4</v>
      </c>
      <c r="B1209" s="221">
        <v>6</v>
      </c>
      <c r="C1209" s="221">
        <v>2025</v>
      </c>
      <c r="D1209" s="91" t="s">
        <v>211</v>
      </c>
      <c r="E1209" s="91" t="s">
        <v>211</v>
      </c>
      <c r="F1209" s="92">
        <v>45839</v>
      </c>
      <c r="G1209" s="242">
        <f t="shared" ref="G1209:G1224" si="55">DAY(EOMONTH(F1209,0))</f>
        <v>31</v>
      </c>
      <c r="H1209" s="93">
        <f t="shared" si="54"/>
        <v>45859</v>
      </c>
      <c r="I1209" s="145">
        <f>_xlfn.XLOOKUP(Table5[[#This Row],[Month Year]],'Modelling New'!D:D,'Modelling New'!N:N)</f>
        <v>10.507</v>
      </c>
      <c r="J1209" s="243">
        <f>IFERROR(Inv_SY!J1210/Inv_SY!$P1210-1,"")</f>
        <v>4.9602691815244793E-3</v>
      </c>
      <c r="K1209" s="243">
        <f>IFERROR(Inv_SY!K1210/Inv_SY!$P1210-1,"")</f>
        <v>6.6683700587515382E-3</v>
      </c>
      <c r="L1209" s="243">
        <f>IFERROR(Inv_SY!L1210/Inv_SY!$P1210-1,"")</f>
        <v>1.7900595283784959E-2</v>
      </c>
      <c r="M1209" s="243">
        <f>IFERROR(Inv_SY!M1210/Inv_SY!$P1210-1,"")</f>
        <v>-4.222442862229836E-3</v>
      </c>
      <c r="N1209" s="243">
        <f>IFERROR(Inv_SY!N1210/Inv_SY!$P1210-1,"")</f>
        <v>-1.1488298929067442E-2</v>
      </c>
      <c r="O1209" s="243">
        <f>IFERROR(Inv_SY!O1210/Inv_SY!$P1210-1,"")</f>
        <v>-1.3818492732764365E-2</v>
      </c>
      <c r="P1209" s="243">
        <f>IFERROR(Inv_SY!J1210/Inv_SY!$Q1210-1,"")</f>
        <v>-1.2712760128264611E-2</v>
      </c>
      <c r="Q1209" s="243">
        <f>IFERROR(Inv_SY!K1210/Inv_SY!$Q1210-1,"")</f>
        <v>-1.1034697569758278E-2</v>
      </c>
      <c r="R1209" s="243">
        <f>IFERROR(Inv_SY!L1210/Inv_SY!$Q1210-1,"")</f>
        <v>0</v>
      </c>
      <c r="S1209" s="243">
        <f>IFERROR(Inv_SY!M1210/Inv_SY!$Q1210-1,"")</f>
        <v>-2.1733986843624042E-2</v>
      </c>
      <c r="T1209" s="243">
        <f>IFERROR(Inv_SY!N1210/Inv_SY!$Q1210-1,"")</f>
        <v>-2.8872067026013526E-2</v>
      </c>
      <c r="U1209" s="244">
        <f>IFERROR(Inv_SY!O1210/Inv_SY!$Q1210-1,"")</f>
        <v>-3.1161282509817534E-2</v>
      </c>
    </row>
    <row r="1210" spans="1:21">
      <c r="A1210" s="91" t="s">
        <v>4</v>
      </c>
      <c r="B1210" s="221">
        <v>6</v>
      </c>
      <c r="C1210" s="221">
        <v>2025</v>
      </c>
      <c r="D1210" s="91" t="s">
        <v>211</v>
      </c>
      <c r="E1210" s="91" t="s">
        <v>211</v>
      </c>
      <c r="F1210" s="92">
        <v>45839</v>
      </c>
      <c r="G1210" s="242">
        <f t="shared" si="55"/>
        <v>31</v>
      </c>
      <c r="H1210" s="93">
        <f t="shared" si="54"/>
        <v>45860</v>
      </c>
      <c r="I1210" s="145">
        <f>_xlfn.XLOOKUP(Table5[[#This Row],[Month Year]],'Modelling New'!D:D,'Modelling New'!N:N)</f>
        <v>10.507</v>
      </c>
      <c r="J1210" s="243">
        <f>IFERROR(Inv_SY!J1211/Inv_SY!$P1211-1,"")</f>
        <v>-1.7053896992361817E-2</v>
      </c>
      <c r="K1210" s="243">
        <f>IFERROR(Inv_SY!K1211/Inv_SY!$P1211-1,"")</f>
        <v>3.8330583995553003E-2</v>
      </c>
      <c r="L1210" s="243">
        <f>IFERROR(Inv_SY!L1211/Inv_SY!$P1211-1,"")</f>
        <v>4.9916090528154156E-2</v>
      </c>
      <c r="M1210" s="243">
        <f>IFERROR(Inv_SY!M1211/Inv_SY!$P1211-1,"")</f>
        <v>2.7097228029705933E-2</v>
      </c>
      <c r="N1210" s="243">
        <f>IFERROR(Inv_SY!N1211/Inv_SY!$P1211-1,"")</f>
        <v>-4.7186741382985842E-2</v>
      </c>
      <c r="O1210" s="243">
        <f>IFERROR(Inv_SY!O1211/Inv_SY!$P1211-1,"")</f>
        <v>-5.1103264178065211E-2</v>
      </c>
      <c r="P1210" s="243">
        <f>IFERROR(Inv_SY!J1211/Inv_SY!$Q1211-1,"")</f>
        <v>-6.3786037879300483E-2</v>
      </c>
      <c r="Q1210" s="243">
        <f>IFERROR(Inv_SY!K1211/Inv_SY!$Q1211-1,"")</f>
        <v>-1.1034697569758278E-2</v>
      </c>
      <c r="R1210" s="243">
        <f>IFERROR(Inv_SY!L1211/Inv_SY!$Q1211-1,"")</f>
        <v>0</v>
      </c>
      <c r="S1210" s="243">
        <f>IFERROR(Inv_SY!M1211/Inv_SY!$Q1211-1,"")</f>
        <v>-2.1733986843624042E-2</v>
      </c>
      <c r="T1210" s="243">
        <f>IFERROR(Inv_SY!N1211/Inv_SY!$Q1211-1,"")</f>
        <v>-9.2486278462779792E-2</v>
      </c>
      <c r="U1210" s="244">
        <f>IFERROR(Inv_SY!O1211/Inv_SY!$Q1211-1,"")</f>
        <v>-9.6216598276346099E-2</v>
      </c>
    </row>
    <row r="1211" spans="1:21">
      <c r="A1211" s="91" t="s">
        <v>4</v>
      </c>
      <c r="B1211" s="221">
        <v>6</v>
      </c>
      <c r="C1211" s="221">
        <v>2025</v>
      </c>
      <c r="D1211" s="91" t="s">
        <v>211</v>
      </c>
      <c r="E1211" s="91" t="s">
        <v>211</v>
      </c>
      <c r="F1211" s="92">
        <v>45839</v>
      </c>
      <c r="G1211" s="242">
        <f t="shared" si="55"/>
        <v>31</v>
      </c>
      <c r="H1211" s="93">
        <f t="shared" si="54"/>
        <v>45861</v>
      </c>
      <c r="I1211" s="145">
        <f>_xlfn.XLOOKUP(Table5[[#This Row],[Month Year]],'Modelling New'!D:D,'Modelling New'!N:N)</f>
        <v>10.507</v>
      </c>
      <c r="J1211" s="243">
        <f>IFERROR(Inv_SY!J1212/Inv_SY!$P1212-1,"")</f>
        <v>-8.5984482397041262E-3</v>
      </c>
      <c r="K1211" s="243">
        <f>IFERROR(Inv_SY!K1212/Inv_SY!$P1212-1,"")</f>
        <v>1.9336543704165488E-2</v>
      </c>
      <c r="L1211" s="243">
        <f>IFERROR(Inv_SY!L1212/Inv_SY!$P1212-1,"")</f>
        <v>2.0496612773327039E-2</v>
      </c>
      <c r="M1211" s="243">
        <f>IFERROR(Inv_SY!M1212/Inv_SY!$P1212-1,"")</f>
        <v>1.2392162112057736E-2</v>
      </c>
      <c r="N1211" s="243">
        <f>IFERROR(Inv_SY!N1212/Inv_SY!$P1212-1,"")</f>
        <v>-1.5248634459450239E-2</v>
      </c>
      <c r="O1211" s="243">
        <f>IFERROR(Inv_SY!O1212/Inv_SY!$P1212-1,"")</f>
        <v>-2.837823589039612E-2</v>
      </c>
      <c r="P1211" s="243">
        <f>IFERROR(Inv_SY!J1212/Inv_SY!$Q1212-1,"")</f>
        <v>-2.8510688471529155E-2</v>
      </c>
      <c r="Q1211" s="243">
        <f>IFERROR(Inv_SY!K1212/Inv_SY!$Q1212-1,"")</f>
        <v>-1.1367691520395296E-3</v>
      </c>
      <c r="R1211" s="243">
        <f>IFERROR(Inv_SY!L1212/Inv_SY!$Q1212-1,"")</f>
        <v>0</v>
      </c>
      <c r="S1211" s="243">
        <f>IFERROR(Inv_SY!M1212/Inv_SY!$Q1212-1,"")</f>
        <v>-7.9416732596930828E-3</v>
      </c>
      <c r="T1211" s="243">
        <f>IFERROR(Inv_SY!N1212/Inv_SY!$Q1212-1,"")</f>
        <v>-3.5027306103089351E-2</v>
      </c>
      <c r="U1211" s="244">
        <f>IFERROR(Inv_SY!O1212/Inv_SY!$Q1212-1,"")</f>
        <v>-4.7893200283046111E-2</v>
      </c>
    </row>
    <row r="1212" spans="1:21">
      <c r="A1212" s="91" t="s">
        <v>4</v>
      </c>
      <c r="B1212" s="221">
        <v>6</v>
      </c>
      <c r="C1212" s="221">
        <v>2025</v>
      </c>
      <c r="D1212" s="91" t="s">
        <v>211</v>
      </c>
      <c r="E1212" s="91" t="s">
        <v>211</v>
      </c>
      <c r="F1212" s="92">
        <v>45839</v>
      </c>
      <c r="G1212" s="242">
        <f t="shared" si="55"/>
        <v>31</v>
      </c>
      <c r="H1212" s="93">
        <f t="shared" si="54"/>
        <v>45862</v>
      </c>
      <c r="I1212" s="145">
        <f>_xlfn.XLOOKUP(Table5[[#This Row],[Month Year]],'Modelling New'!D:D,'Modelling New'!N:N)</f>
        <v>10.507</v>
      </c>
      <c r="J1212" s="243">
        <f>IFERROR(Inv_SY!J1213/Inv_SY!$P1213-1,"")</f>
        <v>1.0608158999748873E-2</v>
      </c>
      <c r="K1212" s="243">
        <f>IFERROR(Inv_SY!K1213/Inv_SY!$P1213-1,"")</f>
        <v>1.1245220569735981E-2</v>
      </c>
      <c r="L1212" s="243">
        <f>IFERROR(Inv_SY!L1213/Inv_SY!$P1213-1,"")</f>
        <v>8.1836310501590681E-3</v>
      </c>
      <c r="M1212" s="243">
        <f>IFERROR(Inv_SY!M1213/Inv_SY!$P1213-1,"")</f>
        <v>1.4742139399737786E-2</v>
      </c>
      <c r="N1212" s="243">
        <f>IFERROR(Inv_SY!N1213/Inv_SY!$P1213-1,"")</f>
        <v>-1.6244035255055689E-2</v>
      </c>
      <c r="O1212" s="243">
        <f>IFERROR(Inv_SY!O1213/Inv_SY!$P1213-1,"")</f>
        <v>-2.8535114764325908E-2</v>
      </c>
      <c r="P1212" s="243">
        <f>IFERROR(Inv_SY!J1213/Inv_SY!$Q1213-1,"")</f>
        <v>-4.0739220728868153E-3</v>
      </c>
      <c r="Q1212" s="243">
        <f>IFERROR(Inv_SY!K1213/Inv_SY!$Q1213-1,"")</f>
        <v>-3.4461157117908758E-3</v>
      </c>
      <c r="R1212" s="243">
        <f>IFERROR(Inv_SY!L1213/Inv_SY!$Q1213-1,"")</f>
        <v>-6.4632265626205498E-3</v>
      </c>
      <c r="S1212" s="243">
        <f>IFERROR(Inv_SY!M1213/Inv_SY!$Q1213-1,"")</f>
        <v>0</v>
      </c>
      <c r="T1212" s="243">
        <f>IFERROR(Inv_SY!N1213/Inv_SY!$Q1213-1,"")</f>
        <v>-3.0536008559891914E-2</v>
      </c>
      <c r="U1212" s="244">
        <f>IFERROR(Inv_SY!O1213/Inv_SY!$Q1213-1,"")</f>
        <v>-4.2648523682739747E-2</v>
      </c>
    </row>
    <row r="1213" spans="1:21">
      <c r="A1213" s="91" t="s">
        <v>4</v>
      </c>
      <c r="B1213" s="221">
        <v>6</v>
      </c>
      <c r="C1213" s="221">
        <v>2025</v>
      </c>
      <c r="D1213" s="91" t="s">
        <v>211</v>
      </c>
      <c r="E1213" s="91" t="s">
        <v>211</v>
      </c>
      <c r="F1213" s="92">
        <v>45839</v>
      </c>
      <c r="G1213" s="242">
        <f t="shared" si="55"/>
        <v>31</v>
      </c>
      <c r="H1213" s="93">
        <f t="shared" si="54"/>
        <v>45863</v>
      </c>
      <c r="I1213" s="145">
        <f>_xlfn.XLOOKUP(Table5[[#This Row],[Month Year]],'Modelling New'!D:D,'Modelling New'!N:N)</f>
        <v>10.507</v>
      </c>
      <c r="J1213" s="243">
        <f>IFERROR(Inv_SY!J1214/Inv_SY!$P1214-1,"")</f>
        <v>1.7559883374486329E-2</v>
      </c>
      <c r="K1213" s="243">
        <f>IFERROR(Inv_SY!K1214/Inv_SY!$P1214-1,"")</f>
        <v>8.5299227515218679E-3</v>
      </c>
      <c r="L1213" s="243">
        <f>IFERROR(Inv_SY!L1214/Inv_SY!$P1214-1,"")</f>
        <v>1.2976986550279568E-2</v>
      </c>
      <c r="M1213" s="243">
        <f>IFERROR(Inv_SY!M1214/Inv_SY!$P1214-1,"")</f>
        <v>9.7214322217140658E-3</v>
      </c>
      <c r="N1213" s="243">
        <f>IFERROR(Inv_SY!N1214/Inv_SY!$P1214-1,"")</f>
        <v>-1.2910332538902836E-2</v>
      </c>
      <c r="O1213" s="243">
        <f>IFERROR(Inv_SY!O1214/Inv_SY!$P1214-1,"")</f>
        <v>-3.5877892359098329E-2</v>
      </c>
      <c r="P1213" s="243">
        <f>IFERROR(Inv_SY!J1214/Inv_SY!$Q1214-1,"")</f>
        <v>0</v>
      </c>
      <c r="Q1213" s="243">
        <f>IFERROR(Inv_SY!K1214/Inv_SY!$Q1214-1,"")</f>
        <v>-8.8741319017204834E-3</v>
      </c>
      <c r="R1213" s="243">
        <f>IFERROR(Inv_SY!L1214/Inv_SY!$Q1214-1,"")</f>
        <v>-4.5038104381718291E-3</v>
      </c>
      <c r="S1213" s="243">
        <f>IFERROR(Inv_SY!M1214/Inv_SY!$Q1214-1,"")</f>
        <v>-7.7031841377022126E-3</v>
      </c>
      <c r="T1213" s="243">
        <f>IFERROR(Inv_SY!N1214/Inv_SY!$Q1214-1,"")</f>
        <v>-2.9944395815155622E-2</v>
      </c>
      <c r="U1213" s="244">
        <f>IFERROR(Inv_SY!O1214/Inv_SY!$Q1214-1,"")</f>
        <v>-5.2515607785530549E-2</v>
      </c>
    </row>
    <row r="1214" spans="1:21">
      <c r="A1214" s="91" t="s">
        <v>4</v>
      </c>
      <c r="B1214" s="221">
        <v>6</v>
      </c>
      <c r="C1214" s="221">
        <v>2025</v>
      </c>
      <c r="D1214" s="91" t="s">
        <v>211</v>
      </c>
      <c r="E1214" s="91" t="s">
        <v>211</v>
      </c>
      <c r="F1214" s="92">
        <v>45839</v>
      </c>
      <c r="G1214" s="242">
        <f t="shared" si="55"/>
        <v>31</v>
      </c>
      <c r="H1214" s="93">
        <f t="shared" si="54"/>
        <v>45864</v>
      </c>
      <c r="I1214" s="145">
        <f>_xlfn.XLOOKUP(Table5[[#This Row],[Month Year]],'Modelling New'!D:D,'Modelling New'!N:N)</f>
        <v>10.507</v>
      </c>
      <c r="J1214" s="243">
        <f>IFERROR(Inv_SY!J1215/Inv_SY!$P1215-1,"")</f>
        <v>1.9867138017871211E-2</v>
      </c>
      <c r="K1214" s="243">
        <f>IFERROR(Inv_SY!K1215/Inv_SY!$P1215-1,"")</f>
        <v>-3.856189299331847E-3</v>
      </c>
      <c r="L1214" s="243">
        <f>IFERROR(Inv_SY!L1215/Inv_SY!$P1215-1,"")</f>
        <v>2.7348111508813222E-2</v>
      </c>
      <c r="M1214" s="243">
        <f>IFERROR(Inv_SY!M1215/Inv_SY!$P1215-1,"")</f>
        <v>6.2950379237158849E-3</v>
      </c>
      <c r="N1214" s="243">
        <f>IFERROR(Inv_SY!N1215/Inv_SY!$P1215-1,"")</f>
        <v>-2.2450445183499035E-2</v>
      </c>
      <c r="O1214" s="243">
        <f>IFERROR(Inv_SY!O1215/Inv_SY!$P1215-1,"")</f>
        <v>-2.7203652967569214E-2</v>
      </c>
      <c r="P1214" s="243">
        <f>IFERROR(Inv_SY!J1215/Inv_SY!$Q1215-1,"")</f>
        <v>-7.2818292136199725E-3</v>
      </c>
      <c r="Q1214" s="243">
        <f>IFERROR(Inv_SY!K1215/Inv_SY!$Q1215-1,"")</f>
        <v>-3.0373639138068786E-2</v>
      </c>
      <c r="R1214" s="243">
        <f>IFERROR(Inv_SY!L1215/Inv_SY!$Q1215-1,"")</f>
        <v>0</v>
      </c>
      <c r="S1214" s="243">
        <f>IFERROR(Inv_SY!M1215/Inv_SY!$Q1215-1,"")</f>
        <v>-2.0492638619034165E-2</v>
      </c>
      <c r="T1214" s="243">
        <f>IFERROR(Inv_SY!N1215/Inv_SY!$Q1215-1,"")</f>
        <v>-4.8472914034149328E-2</v>
      </c>
      <c r="U1214" s="244">
        <f>IFERROR(Inv_SY!O1215/Inv_SY!$Q1215-1,"")</f>
        <v>-5.3099590942222274E-2</v>
      </c>
    </row>
    <row r="1215" spans="1:21">
      <c r="A1215" s="91" t="s">
        <v>4</v>
      </c>
      <c r="B1215" s="221">
        <v>6</v>
      </c>
      <c r="C1215" s="221">
        <v>2025</v>
      </c>
      <c r="D1215" s="91" t="s">
        <v>211</v>
      </c>
      <c r="E1215" s="91" t="s">
        <v>211</v>
      </c>
      <c r="F1215" s="92">
        <v>45839</v>
      </c>
      <c r="G1215" s="242">
        <f t="shared" si="55"/>
        <v>31</v>
      </c>
      <c r="H1215" s="93">
        <f t="shared" si="54"/>
        <v>45865</v>
      </c>
      <c r="I1215" s="145">
        <f>_xlfn.XLOOKUP(Table5[[#This Row],[Month Year]],'Modelling New'!D:D,'Modelling New'!N:N)</f>
        <v>10.507</v>
      </c>
      <c r="J1215" s="243">
        <f>IFERROR(Inv_SY!J1216/Inv_SY!$P1216-1,"")</f>
        <v>1.3417792517366856E-2</v>
      </c>
      <c r="K1215" s="243">
        <f>IFERROR(Inv_SY!K1216/Inv_SY!$P1216-1,"")</f>
        <v>1.921655599505856E-2</v>
      </c>
      <c r="L1215" s="243">
        <f>IFERROR(Inv_SY!L1216/Inv_SY!$P1216-1,"")</f>
        <v>1.3677809303106914E-2</v>
      </c>
      <c r="M1215" s="243">
        <f>IFERROR(Inv_SY!M1216/Inv_SY!$P1216-1,"")</f>
        <v>1.5065923794892466E-3</v>
      </c>
      <c r="N1215" s="243">
        <f>IFERROR(Inv_SY!N1216/Inv_SY!$P1216-1,"")</f>
        <v>-1.773061274014176E-2</v>
      </c>
      <c r="O1215" s="243">
        <f>IFERROR(Inv_SY!O1216/Inv_SY!$P1216-1,"")</f>
        <v>-3.0088137454880037E-2</v>
      </c>
      <c r="P1215" s="243">
        <f>IFERROR(Inv_SY!J1216/Inv_SY!$Q1216-1,"")</f>
        <v>-5.6894321855186503E-3</v>
      </c>
      <c r="Q1215" s="243">
        <f>IFERROR(Inv_SY!K1216/Inv_SY!$Q1216-1,"")</f>
        <v>0</v>
      </c>
      <c r="R1215" s="243">
        <f>IFERROR(Inv_SY!L1216/Inv_SY!$Q1216-1,"")</f>
        <v>-5.434317819282497E-3</v>
      </c>
      <c r="S1215" s="243">
        <f>IFERROR(Inv_SY!M1216/Inv_SY!$Q1216-1,"")</f>
        <v>-1.7376055668835821E-2</v>
      </c>
      <c r="T1215" s="243">
        <f>IFERROR(Inv_SY!N1216/Inv_SY!$Q1216-1,"")</f>
        <v>-3.6250557860227128E-2</v>
      </c>
      <c r="U1215" s="244">
        <f>IFERROR(Inv_SY!O1216/Inv_SY!$Q1216-1,"")</f>
        <v>-4.8375090808648213E-2</v>
      </c>
    </row>
    <row r="1216" spans="1:21">
      <c r="A1216" s="91" t="s">
        <v>4</v>
      </c>
      <c r="B1216" s="221">
        <v>6</v>
      </c>
      <c r="C1216" s="221">
        <v>2025</v>
      </c>
      <c r="D1216" s="91" t="s">
        <v>211</v>
      </c>
      <c r="E1216" s="91" t="s">
        <v>211</v>
      </c>
      <c r="F1216" s="92">
        <v>45839</v>
      </c>
      <c r="G1216" s="242">
        <f t="shared" si="55"/>
        <v>31</v>
      </c>
      <c r="H1216" s="93">
        <f t="shared" si="54"/>
        <v>45866</v>
      </c>
      <c r="I1216" s="145">
        <f>_xlfn.XLOOKUP(Table5[[#This Row],[Month Year]],'Modelling New'!D:D,'Modelling New'!N:N)</f>
        <v>10.507</v>
      </c>
      <c r="J1216" s="243">
        <f>IFERROR(Inv_SY!J1217/Inv_SY!$P1217-1,"")</f>
        <v>8.3625971405829613E-3</v>
      </c>
      <c r="K1216" s="243">
        <f>IFERROR(Inv_SY!K1217/Inv_SY!$P1217-1,"")</f>
        <v>1.6769255066173772E-2</v>
      </c>
      <c r="L1216" s="243">
        <f>IFERROR(Inv_SY!L1217/Inv_SY!$P1217-1,"")</f>
        <v>2.005225688160639E-2</v>
      </c>
      <c r="M1216" s="243">
        <f>IFERROR(Inv_SY!M1217/Inv_SY!$P1217-1,"")</f>
        <v>-8.3293405540219023E-4</v>
      </c>
      <c r="N1216" s="243">
        <f>IFERROR(Inv_SY!N1217/Inv_SY!$P1217-1,"")</f>
        <v>-1.3499671173632932E-2</v>
      </c>
      <c r="O1216" s="243">
        <f>IFERROR(Inv_SY!O1217/Inv_SY!$P1217-1,"")</f>
        <v>-3.0851503859328444E-2</v>
      </c>
      <c r="P1216" s="243">
        <f>IFERROR(Inv_SY!J1217/Inv_SY!$Q1217-1,"")</f>
        <v>-1.1459863612046428E-2</v>
      </c>
      <c r="Q1216" s="243">
        <f>IFERROR(Inv_SY!K1217/Inv_SY!$Q1217-1,"")</f>
        <v>-3.2184643416888203E-3</v>
      </c>
      <c r="R1216" s="243">
        <f>IFERROR(Inv_SY!L1217/Inv_SY!$Q1217-1,"")</f>
        <v>0</v>
      </c>
      <c r="S1216" s="243">
        <f>IFERROR(Inv_SY!M1217/Inv_SY!$Q1217-1,"")</f>
        <v>-2.0474628428210684E-2</v>
      </c>
      <c r="T1216" s="243">
        <f>IFERROR(Inv_SY!N1217/Inv_SY!$Q1217-1,"")</f>
        <v>-3.2892361963700378E-2</v>
      </c>
      <c r="U1216" s="244">
        <f>IFERROR(Inv_SY!O1217/Inv_SY!$Q1217-1,"")</f>
        <v>-4.9903091138244648E-2</v>
      </c>
    </row>
    <row r="1217" spans="1:21">
      <c r="A1217" s="91" t="s">
        <v>4</v>
      </c>
      <c r="B1217" s="221">
        <v>6</v>
      </c>
      <c r="C1217" s="221">
        <v>2025</v>
      </c>
      <c r="D1217" s="91" t="s">
        <v>211</v>
      </c>
      <c r="E1217" s="91" t="s">
        <v>211</v>
      </c>
      <c r="F1217" s="92">
        <v>45839</v>
      </c>
      <c r="G1217" s="242">
        <f t="shared" si="55"/>
        <v>31</v>
      </c>
      <c r="H1217" s="93">
        <f t="shared" si="54"/>
        <v>45867</v>
      </c>
      <c r="I1217" s="145">
        <f>_xlfn.XLOOKUP(Table5[[#This Row],[Month Year]],'Modelling New'!D:D,'Modelling New'!N:N)</f>
        <v>10.507</v>
      </c>
      <c r="J1217" s="243">
        <f>IFERROR(Inv_SY!J1218/Inv_SY!$P1218-1,"")</f>
        <v>1.4720490199146008E-2</v>
      </c>
      <c r="K1217" s="243">
        <f>IFERROR(Inv_SY!K1218/Inv_SY!$P1218-1,"")</f>
        <v>2.4022233668941073E-3</v>
      </c>
      <c r="L1217" s="243">
        <f>IFERROR(Inv_SY!L1218/Inv_SY!$P1218-1,"")</f>
        <v>1.2878833169165382E-2</v>
      </c>
      <c r="M1217" s="243">
        <f>IFERROR(Inv_SY!M1218/Inv_SY!$P1218-1,"")</f>
        <v>5.0337204080663778E-3</v>
      </c>
      <c r="N1217" s="243">
        <f>IFERROR(Inv_SY!N1218/Inv_SY!$P1218-1,"")</f>
        <v>-1.2290928110412658E-2</v>
      </c>
      <c r="O1217" s="243">
        <f>IFERROR(Inv_SY!O1218/Inv_SY!$P1218-1,"")</f>
        <v>-2.2744339032858885E-2</v>
      </c>
      <c r="P1217" s="243">
        <f>IFERROR(Inv_SY!J1218/Inv_SY!$Q1218-1,"")</f>
        <v>0</v>
      </c>
      <c r="Q1217" s="243">
        <f>IFERROR(Inv_SY!K1218/Inv_SY!$Q1218-1,"")</f>
        <v>-1.2139566463109763E-2</v>
      </c>
      <c r="R1217" s="243">
        <f>IFERROR(Inv_SY!L1218/Inv_SY!$Q1218-1,"")</f>
        <v>-1.8149402202563003E-3</v>
      </c>
      <c r="S1217" s="243">
        <f>IFERROR(Inv_SY!M1218/Inv_SY!$Q1218-1,"")</f>
        <v>-9.5462443940385056E-3</v>
      </c>
      <c r="T1217" s="243">
        <f>IFERROR(Inv_SY!N1218/Inv_SY!$Q1218-1,"")</f>
        <v>-2.661956526004261E-2</v>
      </c>
      <c r="U1217" s="244">
        <f>IFERROR(Inv_SY!O1218/Inv_SY!$Q1218-1,"")</f>
        <v>-3.692132916785007E-2</v>
      </c>
    </row>
    <row r="1218" spans="1:21">
      <c r="A1218" s="91" t="s">
        <v>4</v>
      </c>
      <c r="B1218" s="221">
        <v>6</v>
      </c>
      <c r="C1218" s="221">
        <v>2025</v>
      </c>
      <c r="D1218" s="91" t="s">
        <v>211</v>
      </c>
      <c r="E1218" s="91" t="s">
        <v>211</v>
      </c>
      <c r="F1218" s="92">
        <v>45839</v>
      </c>
      <c r="G1218" s="242">
        <f t="shared" si="55"/>
        <v>31</v>
      </c>
      <c r="H1218" s="93">
        <f t="shared" si="54"/>
        <v>45868</v>
      </c>
      <c r="I1218" s="145">
        <f>_xlfn.XLOOKUP(Table5[[#This Row],[Month Year]],'Modelling New'!D:D,'Modelling New'!N:N)</f>
        <v>10.507</v>
      </c>
      <c r="J1218" s="243">
        <f>IFERROR(Inv_SY!J1219/Inv_SY!$P1219-1,"")</f>
        <v>1.5468554245229971E-2</v>
      </c>
      <c r="K1218" s="243">
        <f>IFERROR(Inv_SY!K1219/Inv_SY!$P1219-1,"")</f>
        <v>1.1851678632192719E-2</v>
      </c>
      <c r="L1218" s="243">
        <f>IFERROR(Inv_SY!L1219/Inv_SY!$P1219-1,"")</f>
        <v>3.3170576522730588E-2</v>
      </c>
      <c r="M1218" s="243">
        <f>IFERROR(Inv_SY!M1219/Inv_SY!$P1219-1,"")</f>
        <v>-1.0773173549846637E-2</v>
      </c>
      <c r="N1218" s="243">
        <f>IFERROR(Inv_SY!N1219/Inv_SY!$P1219-1,"")</f>
        <v>-1.6222297542832331E-2</v>
      </c>
      <c r="O1218" s="243">
        <f>IFERROR(Inv_SY!O1219/Inv_SY!$P1219-1,"")</f>
        <v>-3.3495338307475198E-2</v>
      </c>
      <c r="P1218" s="243">
        <f>IFERROR(Inv_SY!J1219/Inv_SY!$Q1219-1,"")</f>
        <v>-1.7133687969588807E-2</v>
      </c>
      <c r="Q1218" s="243">
        <f>IFERROR(Inv_SY!K1219/Inv_SY!$Q1219-1,"")</f>
        <v>-2.0634441567518591E-2</v>
      </c>
      <c r="R1218" s="243">
        <f>IFERROR(Inv_SY!L1219/Inv_SY!$Q1219-1,"")</f>
        <v>0</v>
      </c>
      <c r="S1218" s="243">
        <f>IFERROR(Inv_SY!M1219/Inv_SY!$Q1219-1,"")</f>
        <v>-4.2532908961147142E-2</v>
      </c>
      <c r="T1218" s="243">
        <f>IFERROR(Inv_SY!N1219/Inv_SY!$Q1219-1,"")</f>
        <v>-4.7807085478373645E-2</v>
      </c>
      <c r="U1218" s="244">
        <f>IFERROR(Inv_SY!O1219/Inv_SY!$Q1219-1,"")</f>
        <v>-6.452556465030046E-2</v>
      </c>
    </row>
    <row r="1219" spans="1:21">
      <c r="A1219" s="91" t="s">
        <v>4</v>
      </c>
      <c r="B1219" s="221">
        <v>6</v>
      </c>
      <c r="C1219" s="221">
        <v>2025</v>
      </c>
      <c r="D1219" s="91" t="s">
        <v>211</v>
      </c>
      <c r="E1219" s="91" t="s">
        <v>211</v>
      </c>
      <c r="F1219" s="92">
        <v>45839</v>
      </c>
      <c r="G1219" s="242">
        <f t="shared" si="55"/>
        <v>31</v>
      </c>
      <c r="H1219" s="93">
        <f t="shared" si="54"/>
        <v>45869</v>
      </c>
      <c r="I1219" s="145">
        <f>_xlfn.XLOOKUP(Table5[[#This Row],[Month Year]],'Modelling New'!D:D,'Modelling New'!N:N)</f>
        <v>10.507</v>
      </c>
      <c r="J1219" s="243">
        <f>IFERROR(Inv_SY!J1220/Inv_SY!$P1220-1,"")</f>
        <v>-1.9375566856630333E-2</v>
      </c>
      <c r="K1219" s="243">
        <f>IFERROR(Inv_SY!K1220/Inv_SY!$P1220-1,"")</f>
        <v>8.1172098230555267E-3</v>
      </c>
      <c r="L1219" s="243">
        <f>IFERROR(Inv_SY!L1220/Inv_SY!$P1220-1,"")</f>
        <v>2.2696133711455069E-2</v>
      </c>
      <c r="M1219" s="243">
        <f>IFERROR(Inv_SY!M1220/Inv_SY!$P1220-1,"")</f>
        <v>-4.9253779286754229E-3</v>
      </c>
      <c r="N1219" s="243">
        <f>IFERROR(Inv_SY!N1220/Inv_SY!$P1220-1,"")</f>
        <v>3.4679639575478927E-3</v>
      </c>
      <c r="O1219" s="243">
        <f>IFERROR(Inv_SY!O1220/Inv_SY!$P1220-1,"")</f>
        <v>-9.9803627067537315E-3</v>
      </c>
      <c r="P1219" s="243">
        <f>IFERROR(Inv_SY!J1220/Inv_SY!$Q1220-1,"")</f>
        <v>-4.1138026419835327E-2</v>
      </c>
      <c r="Q1219" s="243">
        <f>IFERROR(Inv_SY!K1220/Inv_SY!$Q1220-1,"")</f>
        <v>-1.4255381836138725E-2</v>
      </c>
      <c r="R1219" s="243">
        <f>IFERROR(Inv_SY!L1220/Inv_SY!$Q1220-1,"")</f>
        <v>0</v>
      </c>
      <c r="S1219" s="243">
        <f>IFERROR(Inv_SY!M1220/Inv_SY!$Q1220-1,"")</f>
        <v>-2.70085225998552E-2</v>
      </c>
      <c r="T1219" s="243">
        <f>IFERROR(Inv_SY!N1220/Inv_SY!$Q1220-1,"")</f>
        <v>-1.8801449541151816E-2</v>
      </c>
      <c r="U1219" s="244">
        <f>IFERROR(Inv_SY!O1220/Inv_SY!$Q1220-1,"")</f>
        <v>-3.1951324876552278E-2</v>
      </c>
    </row>
    <row r="1220" spans="1:21">
      <c r="A1220" s="91" t="s">
        <v>4</v>
      </c>
      <c r="B1220" s="221">
        <v>6</v>
      </c>
      <c r="C1220" s="221">
        <v>2025</v>
      </c>
      <c r="D1220" s="91" t="s">
        <v>211</v>
      </c>
      <c r="E1220" s="91" t="s">
        <v>211</v>
      </c>
      <c r="F1220" s="92">
        <v>45870</v>
      </c>
      <c r="G1220" s="242">
        <f t="shared" si="55"/>
        <v>31</v>
      </c>
      <c r="H1220" s="93">
        <f t="shared" si="54"/>
        <v>45870</v>
      </c>
      <c r="I1220" s="145">
        <f>_xlfn.XLOOKUP(Table5[[#This Row],[Month Year]],'Modelling New'!D:D,'Modelling New'!N:N)</f>
        <v>10.507</v>
      </c>
      <c r="J1220" s="243">
        <f>IFERROR(Inv_SY!J1221/Inv_SY!$P1221-1,"")</f>
        <v>3.3918555774157921E-2</v>
      </c>
      <c r="K1220" s="243">
        <f>IFERROR(Inv_SY!K1221/Inv_SY!$P1221-1,"")</f>
        <v>-6.1147916886256315E-2</v>
      </c>
      <c r="L1220" s="243">
        <f>IFERROR(Inv_SY!L1221/Inv_SY!$P1221-1,"")</f>
        <v>1.294944599993908E-2</v>
      </c>
      <c r="M1220" s="243">
        <f>IFERROR(Inv_SY!M1221/Inv_SY!$P1221-1,"")</f>
        <v>-6.9374567740805304E-3</v>
      </c>
      <c r="N1220" s="243">
        <f>IFERROR(Inv_SY!N1221/Inv_SY!$P1221-1,"")</f>
        <v>1.729304042635027E-2</v>
      </c>
      <c r="O1220" s="243">
        <f>IFERROR(Inv_SY!O1221/Inv_SY!$P1221-1,"")</f>
        <v>3.9243314598904622E-3</v>
      </c>
      <c r="P1220" s="243">
        <f>IFERROR(Inv_SY!J1221/Inv_SY!$Q1221-1,"")</f>
        <v>0</v>
      </c>
      <c r="Q1220" s="243">
        <f>IFERROR(Inv_SY!K1221/Inv_SY!$Q1221-1,"")</f>
        <v>-9.1947738174823823E-2</v>
      </c>
      <c r="R1220" s="243">
        <f>IFERROR(Inv_SY!L1221/Inv_SY!$Q1221-1,"")</f>
        <v>-2.0281200735891458E-2</v>
      </c>
      <c r="S1220" s="243">
        <f>IFERROR(Inv_SY!M1221/Inv_SY!$Q1221-1,"")</f>
        <v>-3.9515697169828834E-2</v>
      </c>
      <c r="T1220" s="243">
        <f>IFERROR(Inv_SY!N1221/Inv_SY!$Q1221-1,"")</f>
        <v>-1.6080101527299773E-2</v>
      </c>
      <c r="U1220" s="244">
        <f>IFERROR(Inv_SY!O1221/Inv_SY!$Q1221-1,"")</f>
        <v>-2.9010238907849817E-2</v>
      </c>
    </row>
    <row r="1221" spans="1:21">
      <c r="A1221" s="91" t="s">
        <v>4</v>
      </c>
      <c r="B1221" s="221">
        <v>6</v>
      </c>
      <c r="C1221" s="221">
        <v>2025</v>
      </c>
      <c r="D1221" s="91" t="s">
        <v>211</v>
      </c>
      <c r="E1221" s="91" t="s">
        <v>211</v>
      </c>
      <c r="F1221" s="92">
        <v>45870</v>
      </c>
      <c r="G1221" s="242">
        <f t="shared" si="55"/>
        <v>31</v>
      </c>
      <c r="H1221" s="93">
        <f t="shared" si="54"/>
        <v>45871</v>
      </c>
      <c r="I1221" s="145">
        <f>_xlfn.XLOOKUP(Table5[[#This Row],[Month Year]],'Modelling New'!D:D,'Modelling New'!N:N)</f>
        <v>10.507</v>
      </c>
      <c r="J1221" s="243" t="str">
        <f>IFERROR(Inv_SY!J1222/Inv_SY!$P1222-1,"")</f>
        <v/>
      </c>
      <c r="K1221" s="243" t="str">
        <f>IFERROR(Inv_SY!K1222/Inv_SY!$P1222-1,"")</f>
        <v/>
      </c>
      <c r="L1221" s="243" t="str">
        <f>IFERROR(Inv_SY!L1222/Inv_SY!$P1222-1,"")</f>
        <v/>
      </c>
      <c r="M1221" s="243" t="str">
        <f>IFERROR(Inv_SY!M1222/Inv_SY!$P1222-1,"")</f>
        <v/>
      </c>
      <c r="N1221" s="243" t="str">
        <f>IFERROR(Inv_SY!N1222/Inv_SY!$P1222-1,"")</f>
        <v/>
      </c>
      <c r="O1221" s="243" t="str">
        <f>IFERROR(Inv_SY!O1222/Inv_SY!$P1222-1,"")</f>
        <v/>
      </c>
      <c r="P1221" s="243" t="str">
        <f>IFERROR(Inv_SY!J1222/Inv_SY!$Q1222-1,"")</f>
        <v/>
      </c>
      <c r="Q1221" s="243" t="str">
        <f>IFERROR(Inv_SY!K1222/Inv_SY!$Q1222-1,"")</f>
        <v/>
      </c>
      <c r="R1221" s="243" t="str">
        <f>IFERROR(Inv_SY!L1222/Inv_SY!$Q1222-1,"")</f>
        <v/>
      </c>
      <c r="S1221" s="243" t="str">
        <f>IFERROR(Inv_SY!M1222/Inv_SY!$Q1222-1,"")</f>
        <v/>
      </c>
      <c r="T1221" s="243" t="str">
        <f>IFERROR(Inv_SY!N1222/Inv_SY!$Q1222-1,"")</f>
        <v/>
      </c>
      <c r="U1221" s="244" t="str">
        <f>IFERROR(Inv_SY!O1222/Inv_SY!$Q1222-1,"")</f>
        <v/>
      </c>
    </row>
    <row r="1222" spans="1:21">
      <c r="A1222" s="91" t="s">
        <v>4</v>
      </c>
      <c r="B1222" s="221">
        <v>6</v>
      </c>
      <c r="C1222" s="221">
        <v>2025</v>
      </c>
      <c r="D1222" s="91" t="s">
        <v>211</v>
      </c>
      <c r="E1222" s="91" t="s">
        <v>211</v>
      </c>
      <c r="F1222" s="92">
        <v>45870</v>
      </c>
      <c r="G1222" s="242">
        <f t="shared" si="55"/>
        <v>31</v>
      </c>
      <c r="H1222" s="93">
        <f t="shared" si="54"/>
        <v>45872</v>
      </c>
      <c r="I1222" s="145">
        <f>_xlfn.XLOOKUP(Table5[[#This Row],[Month Year]],'Modelling New'!D:D,'Modelling New'!N:N)</f>
        <v>10.507</v>
      </c>
      <c r="J1222" s="243" t="str">
        <f>IFERROR(Inv_SY!J1223/Inv_SY!$P1223-1,"")</f>
        <v/>
      </c>
      <c r="K1222" s="243" t="str">
        <f>IFERROR(Inv_SY!K1223/Inv_SY!$P1223-1,"")</f>
        <v/>
      </c>
      <c r="L1222" s="243" t="str">
        <f>IFERROR(Inv_SY!L1223/Inv_SY!$P1223-1,"")</f>
        <v/>
      </c>
      <c r="M1222" s="243" t="str">
        <f>IFERROR(Inv_SY!M1223/Inv_SY!$P1223-1,"")</f>
        <v/>
      </c>
      <c r="N1222" s="243" t="str">
        <f>IFERROR(Inv_SY!N1223/Inv_SY!$P1223-1,"")</f>
        <v/>
      </c>
      <c r="O1222" s="243" t="str">
        <f>IFERROR(Inv_SY!O1223/Inv_SY!$P1223-1,"")</f>
        <v/>
      </c>
      <c r="P1222" s="243" t="str">
        <f>IFERROR(Inv_SY!J1223/Inv_SY!$Q1223-1,"")</f>
        <v/>
      </c>
      <c r="Q1222" s="243" t="str">
        <f>IFERROR(Inv_SY!K1223/Inv_SY!$Q1223-1,"")</f>
        <v/>
      </c>
      <c r="R1222" s="243" t="str">
        <f>IFERROR(Inv_SY!L1223/Inv_SY!$Q1223-1,"")</f>
        <v/>
      </c>
      <c r="S1222" s="243" t="str">
        <f>IFERROR(Inv_SY!M1223/Inv_SY!$Q1223-1,"")</f>
        <v/>
      </c>
      <c r="T1222" s="243" t="str">
        <f>IFERROR(Inv_SY!N1223/Inv_SY!$Q1223-1,"")</f>
        <v/>
      </c>
      <c r="U1222" s="244" t="str">
        <f>IFERROR(Inv_SY!O1223/Inv_SY!$Q1223-1,"")</f>
        <v/>
      </c>
    </row>
    <row r="1223" spans="1:21">
      <c r="A1223" s="91" t="s">
        <v>4</v>
      </c>
      <c r="B1223" s="221">
        <v>6</v>
      </c>
      <c r="C1223" s="221">
        <v>2025</v>
      </c>
      <c r="D1223" s="91" t="s">
        <v>211</v>
      </c>
      <c r="E1223" s="91" t="s">
        <v>211</v>
      </c>
      <c r="F1223" s="92">
        <v>45870</v>
      </c>
      <c r="G1223" s="242">
        <f t="shared" si="55"/>
        <v>31</v>
      </c>
      <c r="H1223" s="93">
        <f t="shared" si="54"/>
        <v>45873</v>
      </c>
      <c r="I1223" s="145">
        <f>_xlfn.XLOOKUP(Table5[[#This Row],[Month Year]],'Modelling New'!D:D,'Modelling New'!N:N)</f>
        <v>10.507</v>
      </c>
      <c r="J1223" s="243" t="str">
        <f>IFERROR(Inv_SY!J1224/Inv_SY!$P1224-1,"")</f>
        <v/>
      </c>
      <c r="K1223" s="243" t="str">
        <f>IFERROR(Inv_SY!K1224/Inv_SY!$P1224-1,"")</f>
        <v/>
      </c>
      <c r="L1223" s="243" t="str">
        <f>IFERROR(Inv_SY!L1224/Inv_SY!$P1224-1,"")</f>
        <v/>
      </c>
      <c r="M1223" s="243" t="str">
        <f>IFERROR(Inv_SY!M1224/Inv_SY!$P1224-1,"")</f>
        <v/>
      </c>
      <c r="N1223" s="243" t="str">
        <f>IFERROR(Inv_SY!N1224/Inv_SY!$P1224-1,"")</f>
        <v/>
      </c>
      <c r="O1223" s="243" t="str">
        <f>IFERROR(Inv_SY!O1224/Inv_SY!$P1224-1,"")</f>
        <v/>
      </c>
      <c r="P1223" s="243" t="str">
        <f>IFERROR(Inv_SY!J1224/Inv_SY!$Q1224-1,"")</f>
        <v/>
      </c>
      <c r="Q1223" s="243" t="str">
        <f>IFERROR(Inv_SY!K1224/Inv_SY!$Q1224-1,"")</f>
        <v/>
      </c>
      <c r="R1223" s="243" t="str">
        <f>IFERROR(Inv_SY!L1224/Inv_SY!$Q1224-1,"")</f>
        <v/>
      </c>
      <c r="S1223" s="243" t="str">
        <f>IFERROR(Inv_SY!M1224/Inv_SY!$Q1224-1,"")</f>
        <v/>
      </c>
      <c r="T1223" s="243" t="str">
        <f>IFERROR(Inv_SY!N1224/Inv_SY!$Q1224-1,"")</f>
        <v/>
      </c>
      <c r="U1223" s="244" t="str">
        <f>IFERROR(Inv_SY!O1224/Inv_SY!$Q1224-1,"")</f>
        <v/>
      </c>
    </row>
    <row r="1224" spans="1:21">
      <c r="A1224" s="91" t="s">
        <v>4</v>
      </c>
      <c r="B1224" s="221">
        <v>6</v>
      </c>
      <c r="C1224" s="221">
        <v>2025</v>
      </c>
      <c r="D1224" s="91" t="s">
        <v>211</v>
      </c>
      <c r="E1224" s="91" t="s">
        <v>211</v>
      </c>
      <c r="F1224" s="92">
        <v>45870</v>
      </c>
      <c r="G1224" s="242">
        <f t="shared" si="55"/>
        <v>31</v>
      </c>
      <c r="H1224" s="93">
        <f t="shared" si="54"/>
        <v>45874</v>
      </c>
      <c r="I1224" s="145">
        <f>_xlfn.XLOOKUP(Table5[[#This Row],[Month Year]],'Modelling New'!D:D,'Modelling New'!N:N)</f>
        <v>10.507</v>
      </c>
      <c r="J1224" s="243" t="str">
        <f>IFERROR(Inv_SY!J1225/Inv_SY!$P1225-1,"")</f>
        <v/>
      </c>
      <c r="K1224" s="243" t="str">
        <f>IFERROR(Inv_SY!K1225/Inv_SY!$P1225-1,"")</f>
        <v/>
      </c>
      <c r="L1224" s="243" t="str">
        <f>IFERROR(Inv_SY!L1225/Inv_SY!$P1225-1,"")</f>
        <v/>
      </c>
      <c r="M1224" s="243" t="str">
        <f>IFERROR(Inv_SY!M1225/Inv_SY!$P1225-1,"")</f>
        <v/>
      </c>
      <c r="N1224" s="243" t="str">
        <f>IFERROR(Inv_SY!N1225/Inv_SY!$P1225-1,"")</f>
        <v/>
      </c>
      <c r="O1224" s="243" t="str">
        <f>IFERROR(Inv_SY!O1225/Inv_SY!$P1225-1,"")</f>
        <v/>
      </c>
      <c r="P1224" s="243" t="str">
        <f>IFERROR(Inv_SY!J1225/Inv_SY!$Q1225-1,"")</f>
        <v/>
      </c>
      <c r="Q1224" s="243" t="str">
        <f>IFERROR(Inv_SY!K1225/Inv_SY!$Q1225-1,"")</f>
        <v/>
      </c>
      <c r="R1224" s="243" t="str">
        <f>IFERROR(Inv_SY!L1225/Inv_SY!$Q1225-1,"")</f>
        <v/>
      </c>
      <c r="S1224" s="243" t="str">
        <f>IFERROR(Inv_SY!M1225/Inv_SY!$Q1225-1,"")</f>
        <v/>
      </c>
      <c r="T1224" s="243" t="str">
        <f>IFERROR(Inv_SY!N1225/Inv_SY!$Q1225-1,"")</f>
        <v/>
      </c>
      <c r="U1224" s="244" t="str">
        <f>IFERROR(Inv_SY!O1225/Inv_SY!$Q1225-1,"")</f>
        <v/>
      </c>
    </row>
    <row r="1225" spans="1:21">
      <c r="A1225" s="91" t="s">
        <v>4</v>
      </c>
      <c r="B1225" s="221">
        <v>6</v>
      </c>
      <c r="C1225" s="221">
        <v>2025</v>
      </c>
      <c r="D1225" s="91" t="s">
        <v>211</v>
      </c>
      <c r="E1225" s="91" t="s">
        <v>211</v>
      </c>
      <c r="F1225" s="92">
        <v>45870</v>
      </c>
      <c r="G1225" s="242">
        <f t="shared" ref="G1225:G1226" si="56">DAY(EOMONTH(F1225,0))</f>
        <v>31</v>
      </c>
      <c r="H1225" s="260">
        <f t="shared" ref="H1225:H1226" si="57">H1224+1</f>
        <v>45875</v>
      </c>
      <c r="I1225" s="145">
        <f>_xlfn.XLOOKUP(Table5[[#This Row],[Month Year]],'Modelling New'!D:D,'Modelling New'!N:N)</f>
        <v>10.507</v>
      </c>
      <c r="J1225" s="243" t="str">
        <f>IFERROR(Inv_SY!J1226/Inv_SY!$P1226-1,"")</f>
        <v/>
      </c>
      <c r="K1225" s="243" t="str">
        <f>IFERROR(Inv_SY!K1226/Inv_SY!$P1226-1,"")</f>
        <v/>
      </c>
      <c r="L1225" s="243" t="str">
        <f>IFERROR(Inv_SY!L1226/Inv_SY!$P1226-1,"")</f>
        <v/>
      </c>
      <c r="M1225" s="243" t="str">
        <f>IFERROR(Inv_SY!M1226/Inv_SY!$P1226-1,"")</f>
        <v/>
      </c>
      <c r="N1225" s="243" t="str">
        <f>IFERROR(Inv_SY!N1226/Inv_SY!$P1226-1,"")</f>
        <v/>
      </c>
      <c r="O1225" s="243" t="str">
        <f>IFERROR(Inv_SY!O1226/Inv_SY!$P1226-1,"")</f>
        <v/>
      </c>
      <c r="P1225" s="243" t="str">
        <f>IFERROR(Inv_SY!J1226/Inv_SY!$Q1226-1,"")</f>
        <v/>
      </c>
      <c r="Q1225" s="243" t="str">
        <f>IFERROR(Inv_SY!K1226/Inv_SY!$Q1226-1,"")</f>
        <v/>
      </c>
      <c r="R1225" s="243" t="str">
        <f>IFERROR(Inv_SY!L1226/Inv_SY!$Q1226-1,"")</f>
        <v/>
      </c>
      <c r="S1225" s="243" t="str">
        <f>IFERROR(Inv_SY!M1226/Inv_SY!$Q1226-1,"")</f>
        <v/>
      </c>
      <c r="T1225" s="243" t="str">
        <f>IFERROR(Inv_SY!N1226/Inv_SY!$Q1226-1,"")</f>
        <v/>
      </c>
      <c r="U1225" s="244" t="str">
        <f>IFERROR(Inv_SY!O1226/Inv_SY!$Q1226-1,"")</f>
        <v/>
      </c>
    </row>
    <row r="1226" spans="1:21">
      <c r="A1226" s="91" t="s">
        <v>4</v>
      </c>
      <c r="B1226" s="221">
        <v>6</v>
      </c>
      <c r="C1226" s="221">
        <v>2025</v>
      </c>
      <c r="D1226" s="91" t="s">
        <v>211</v>
      </c>
      <c r="E1226" s="91" t="s">
        <v>211</v>
      </c>
      <c r="F1226" s="92">
        <v>45870</v>
      </c>
      <c r="G1226" s="242">
        <f t="shared" si="56"/>
        <v>31</v>
      </c>
      <c r="H1226" s="260">
        <f t="shared" si="57"/>
        <v>45876</v>
      </c>
      <c r="I1226" s="145">
        <f>_xlfn.XLOOKUP(Table5[[#This Row],[Month Year]],'Modelling New'!D:D,'Modelling New'!N:N)</f>
        <v>10.507</v>
      </c>
      <c r="J1226" s="243" t="str">
        <f>IFERROR(Inv_SY!J1227/Inv_SY!$P1227-1,"")</f>
        <v/>
      </c>
      <c r="K1226" s="243" t="str">
        <f>IFERROR(Inv_SY!K1227/Inv_SY!$P1227-1,"")</f>
        <v/>
      </c>
      <c r="L1226" s="243" t="str">
        <f>IFERROR(Inv_SY!L1227/Inv_SY!$P1227-1,"")</f>
        <v/>
      </c>
      <c r="M1226" s="243" t="str">
        <f>IFERROR(Inv_SY!M1227/Inv_SY!$P1227-1,"")</f>
        <v/>
      </c>
      <c r="N1226" s="243" t="str">
        <f>IFERROR(Inv_SY!N1227/Inv_SY!$P1227-1,"")</f>
        <v/>
      </c>
      <c r="O1226" s="243" t="str">
        <f>IFERROR(Inv_SY!O1227/Inv_SY!$P1227-1,"")</f>
        <v/>
      </c>
      <c r="P1226" s="243" t="str">
        <f>IFERROR(Inv_SY!J1227/Inv_SY!$Q1227-1,"")</f>
        <v/>
      </c>
      <c r="Q1226" s="243" t="str">
        <f>IFERROR(Inv_SY!K1227/Inv_SY!$Q1227-1,"")</f>
        <v/>
      </c>
      <c r="R1226" s="243" t="str">
        <f>IFERROR(Inv_SY!L1227/Inv_SY!$Q1227-1,"")</f>
        <v/>
      </c>
      <c r="S1226" s="243" t="str">
        <f>IFERROR(Inv_SY!M1227/Inv_SY!$Q1227-1,"")</f>
        <v/>
      </c>
      <c r="T1226" s="243" t="str">
        <f>IFERROR(Inv_SY!N1227/Inv_SY!$Q1227-1,"")</f>
        <v/>
      </c>
      <c r="U1226" s="244" t="str">
        <f>IFERROR(Inv_SY!O1227/Inv_SY!$Q1227-1,"")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08400-32FC-41B7-9363-EC4BF66C10C2}">
  <sheetPr codeName="Sheet16"/>
  <dimension ref="A1:AP42"/>
  <sheetViews>
    <sheetView zoomScale="84" zoomScaleNormal="84" workbookViewId="0">
      <pane xSplit="2" ySplit="1" topLeftCell="C29" activePane="bottomRight" state="frozen"/>
      <selection pane="topRight" activeCell="C1" sqref="C1"/>
      <selection pane="bottomLeft" activeCell="A2" sqref="A2"/>
      <selection pane="bottomRight" activeCell="B40" sqref="B40"/>
    </sheetView>
  </sheetViews>
  <sheetFormatPr defaultColWidth="8.7109375" defaultRowHeight="15"/>
  <cols>
    <col min="1" max="2" width="9" style="310" customWidth="1"/>
    <col min="3" max="3" width="9.85546875" style="277" customWidth="1"/>
    <col min="4" max="8" width="9" style="277" customWidth="1"/>
    <col min="9" max="10" width="10.140625" style="277" customWidth="1"/>
    <col min="11" max="11" width="9.5703125" style="277" bestFit="1" customWidth="1"/>
    <col min="12" max="15" width="9.5703125" style="277" customWidth="1"/>
    <col min="16" max="16" width="16" style="277" bestFit="1" customWidth="1"/>
    <col min="17" max="19" width="9.5703125" style="277" customWidth="1"/>
    <col min="20" max="20" width="18.85546875" style="277" bestFit="1" customWidth="1"/>
    <col min="21" max="21" width="11.140625" style="277" customWidth="1"/>
    <col min="22" max="22" width="15.42578125" style="277" customWidth="1"/>
    <col min="23" max="23" width="15.85546875" style="277" customWidth="1"/>
    <col min="24" max="24" width="43.140625" style="277" customWidth="1"/>
    <col min="25" max="25" width="109.28515625" style="277" bestFit="1" customWidth="1"/>
    <col min="26" max="26" width="44.28515625" style="277" customWidth="1"/>
    <col min="27" max="27" width="11" style="277" bestFit="1" customWidth="1"/>
    <col min="28" max="28" width="10" style="277" bestFit="1" customWidth="1"/>
    <col min="29" max="29" width="11" style="277" customWidth="1"/>
    <col min="30" max="30" width="13.140625" style="310" bestFit="1" customWidth="1"/>
    <col min="31" max="31" width="10.28515625" style="310" customWidth="1"/>
    <col min="32" max="32" width="12.85546875" style="310" bestFit="1" customWidth="1"/>
    <col min="33" max="33" width="10.140625" style="310" customWidth="1"/>
    <col min="34" max="34" width="16.7109375" style="310" bestFit="1" customWidth="1"/>
    <col min="35" max="35" width="78.85546875" style="310" bestFit="1" customWidth="1"/>
    <col min="36" max="36" width="9.85546875" style="310" customWidth="1"/>
    <col min="37" max="37" width="14.7109375" style="310" bestFit="1" customWidth="1"/>
    <col min="38" max="38" width="13.28515625" style="310" customWidth="1"/>
    <col min="39" max="39" width="10" style="277" customWidth="1"/>
    <col min="40" max="40" width="8.7109375" style="277"/>
    <col min="41" max="41" width="10.5703125" style="277" bestFit="1" customWidth="1"/>
    <col min="42" max="16384" width="8.7109375" style="277"/>
  </cols>
  <sheetData>
    <row r="1" spans="1:42" ht="60">
      <c r="A1" s="287" t="s">
        <v>7</v>
      </c>
      <c r="B1" s="288" t="s">
        <v>36</v>
      </c>
      <c r="C1" s="288" t="s">
        <v>64</v>
      </c>
      <c r="D1" s="288" t="s">
        <v>138</v>
      </c>
      <c r="E1" s="288" t="s">
        <v>231</v>
      </c>
      <c r="F1" s="288" t="s">
        <v>180</v>
      </c>
      <c r="G1" s="288" t="s">
        <v>139</v>
      </c>
      <c r="H1" s="288" t="s">
        <v>65</v>
      </c>
      <c r="I1" s="288" t="s">
        <v>182</v>
      </c>
      <c r="J1" s="288" t="s">
        <v>183</v>
      </c>
      <c r="K1" s="288" t="s">
        <v>232</v>
      </c>
      <c r="L1" s="288" t="s">
        <v>1727</v>
      </c>
      <c r="M1" s="288" t="s">
        <v>1728</v>
      </c>
      <c r="N1" s="288" t="s">
        <v>1729</v>
      </c>
      <c r="O1" s="288" t="s">
        <v>1730</v>
      </c>
      <c r="P1" s="288" t="s">
        <v>1731</v>
      </c>
      <c r="Q1" s="288" t="s">
        <v>1732</v>
      </c>
      <c r="R1" s="288" t="s">
        <v>1733</v>
      </c>
      <c r="S1" s="288" t="s">
        <v>1734</v>
      </c>
      <c r="T1" s="288" t="s">
        <v>233</v>
      </c>
      <c r="U1" s="288" t="s">
        <v>1735</v>
      </c>
      <c r="V1" s="288" t="s">
        <v>234</v>
      </c>
      <c r="W1" s="288" t="s">
        <v>1736</v>
      </c>
      <c r="X1" s="288" t="s">
        <v>241</v>
      </c>
      <c r="Y1" s="288" t="s">
        <v>242</v>
      </c>
      <c r="Z1" s="288" t="s">
        <v>243</v>
      </c>
      <c r="AA1" s="288" t="s">
        <v>244</v>
      </c>
      <c r="AB1" s="288" t="s">
        <v>1737</v>
      </c>
      <c r="AC1" s="288" t="s">
        <v>246</v>
      </c>
      <c r="AD1" s="288" t="s">
        <v>247</v>
      </c>
      <c r="AE1" s="288" t="s">
        <v>248</v>
      </c>
      <c r="AF1" s="288" t="s">
        <v>249</v>
      </c>
      <c r="AG1" s="288" t="s">
        <v>250</v>
      </c>
      <c r="AH1" s="288" t="s">
        <v>251</v>
      </c>
      <c r="AI1" s="288" t="s">
        <v>252</v>
      </c>
      <c r="AJ1" s="288" t="s">
        <v>253</v>
      </c>
      <c r="AK1" s="288" t="s">
        <v>256</v>
      </c>
      <c r="AL1" s="288" t="s">
        <v>1738</v>
      </c>
      <c r="AM1" s="288" t="s">
        <v>1739</v>
      </c>
      <c r="AN1" s="288" t="s">
        <v>434</v>
      </c>
      <c r="AO1" s="288" t="s">
        <v>433</v>
      </c>
      <c r="AP1" s="289" t="s">
        <v>1740</v>
      </c>
    </row>
    <row r="2" spans="1:42">
      <c r="A2" s="290">
        <v>1</v>
      </c>
      <c r="B2" s="291">
        <v>45746</v>
      </c>
      <c r="C2" s="292">
        <f>YEAR(Plant_BD[[#This Row],[Date]])+IF(MONTH(Plant_BD[[#This Row],[Date]])&gt;=4,1,0)</f>
        <v>2025</v>
      </c>
      <c r="D2" s="292">
        <f>YEAR(Plant_BD[[#This Row],[Date]])</f>
        <v>2025</v>
      </c>
      <c r="E2" s="293" t="s">
        <v>213</v>
      </c>
      <c r="F2" s="293" t="s">
        <v>213</v>
      </c>
      <c r="G2" s="294">
        <f>Plant_BD[[#This Row],[Date]]-DAY(Plant_BD[[#This Row],[Date]])+1</f>
        <v>45717</v>
      </c>
      <c r="H2" s="279">
        <f>DAY(EOMONTH(Plant_BD[[#This Row],[Month Year]],0))</f>
        <v>31</v>
      </c>
      <c r="I2" s="295">
        <f>_xlfn.XLOOKUP(Plant_BD[[#This Row],[Date]],'Raw Data'!$G:$G,'Raw Data'!$I:$I)</f>
        <v>0.26944444444444443</v>
      </c>
      <c r="J2" s="295">
        <f>_xlfn.XLOOKUP(Plant_BD[[#This Row],[Date]],'Raw Data'!$G:$G,'Raw Data'!$J:$J)</f>
        <v>0.77013888888888893</v>
      </c>
      <c r="K2" s="296">
        <f>IFERROR((Plant_BD[[#This Row],[Sunset Time (POA&lt;20 W/m2)]]-Plant_BD[[#This Row],[Sunrise Time (POA&gt;20 W/m2)]])*24,"")</f>
        <v>12.016666666666669</v>
      </c>
      <c r="L2" s="296"/>
      <c r="M2" s="296"/>
      <c r="N2" s="296"/>
      <c r="O2" s="296"/>
      <c r="P2" s="296"/>
      <c r="Q2" s="296"/>
      <c r="R2" s="296"/>
      <c r="S2" s="296"/>
      <c r="T2" s="297" t="s">
        <v>184</v>
      </c>
      <c r="U2" s="298">
        <f>IFERROR(_xlfn.XLOOKUP(Plant_BD[[#This Row],[Affected Equipment]],'Basic Data'!$A:$A,'Basic Data'!$B:$B),"")</f>
        <v>1669.29</v>
      </c>
      <c r="V2" s="311">
        <f>IFERROR(_xlfn.XLOOKUP(Plant_BD[[#This Row],[Affected Equipment]],'Basic Data'!$A:$A,'Basic Data'!$C:$C),"")</f>
        <v>0.15888466919848093</v>
      </c>
      <c r="W2" s="300" t="s">
        <v>184</v>
      </c>
      <c r="X2" s="300" t="s">
        <v>435</v>
      </c>
      <c r="Y2" s="301" t="s">
        <v>438</v>
      </c>
      <c r="Z2" s="302" t="s">
        <v>438</v>
      </c>
      <c r="AA2" s="303">
        <v>0.55902777777777779</v>
      </c>
      <c r="AB2" s="303">
        <v>0.55902777777777779</v>
      </c>
      <c r="AC2" s="303">
        <v>0.55902777777777779</v>
      </c>
      <c r="AD2" s="303">
        <v>0.5708333333333333</v>
      </c>
      <c r="AE2" s="304">
        <f>IF(Plant_BD[[#This Row],[Acknowledgement Time ]]="NA","",(Plant_BD[[#This Row],[Acknowledgement Time ]]-Plant_BD[[#This Row],[Fault Time]])*24)</f>
        <v>0</v>
      </c>
      <c r="AF2" s="304">
        <f>IF(Plant_BD[[#This Row],[Work Start time on Fault]]="NA","",(Plant_BD[[#This Row],[Work Start time on Fault]]-Plant_BD[[#This Row],[Fault Time]])*24)</f>
        <v>0</v>
      </c>
      <c r="AG2" s="305">
        <f>(Plant_BD[[#This Row],[Work Completion time on fault]]-Plant_BD[[#This Row],[Fault Time]])*24</f>
        <v>0.28333333333333233</v>
      </c>
      <c r="AH2" s="305">
        <f>IFERROR((Plant_BD[[#This Row],[Work Completion time on fault]]-Plant_BD[[#This Row],[Fault Time]])*24,"")</f>
        <v>0.28333333333333233</v>
      </c>
      <c r="AI2" s="306" t="s">
        <v>726</v>
      </c>
      <c r="AJ2" s="307" t="s">
        <v>266</v>
      </c>
      <c r="AK2" s="308">
        <f>IFERROR(Plant_BD[[#This Row],[Breakdown Time]]*Plant_BD[[#This Row],[Plant Equivalent Weightage]],"")</f>
        <v>4.5017322939569435E-2</v>
      </c>
      <c r="AL2" s="307">
        <v>0.26</v>
      </c>
      <c r="AM2" s="304">
        <f>Plant_BD[[#This Row],[Lost PoA(kWh/m2)]]*Plant_BD[[#This Row],[DC Capacity Affected (kW)]]*_xlfn.XLOOKUP(Plant_BD[[#This Row],[Month Year]],'Modelling New'!$D:$D,'Modelling New'!$O:$O)</f>
        <v>304.91779414333064</v>
      </c>
      <c r="AN2" s="307"/>
      <c r="AO2" s="307"/>
      <c r="AP2" s="309"/>
    </row>
    <row r="3" spans="1:42">
      <c r="A3" s="290">
        <f t="shared" ref="A3:A39" si="0">A2+1</f>
        <v>2</v>
      </c>
      <c r="B3" s="291">
        <v>45749</v>
      </c>
      <c r="C3" s="292">
        <f>YEAR(Plant_BD[[#This Row],[Date]])+IF(MONTH(Plant_BD[[#This Row],[Date]])&gt;=4,1,0)</f>
        <v>2026</v>
      </c>
      <c r="D3" s="292">
        <f>YEAR(Plant_BD[[#This Row],[Date]])</f>
        <v>2025</v>
      </c>
      <c r="E3" s="293" t="s">
        <v>213</v>
      </c>
      <c r="F3" s="293" t="s">
        <v>213</v>
      </c>
      <c r="G3" s="294">
        <f>Plant_BD[[#This Row],[Date]]-DAY(Plant_BD[[#This Row],[Date]])+1</f>
        <v>45748</v>
      </c>
      <c r="H3" s="279">
        <f>DAY(EOMONTH(Plant_BD[[#This Row],[Month Year]],0))</f>
        <v>30</v>
      </c>
      <c r="I3" s="295">
        <f>_xlfn.XLOOKUP(Plant_BD[[#This Row],[Date]],'Raw Data'!$G:$G,'Raw Data'!$I:$I)</f>
        <v>0.26597222222222222</v>
      </c>
      <c r="J3" s="295">
        <f>_xlfn.XLOOKUP(Plant_BD[[#This Row],[Date]],'Raw Data'!$G:$G,'Raw Data'!$J:$J)</f>
        <v>0.75972222222222219</v>
      </c>
      <c r="K3" s="296">
        <f>IFERROR((Plant_BD[[#This Row],[Sunset Time (POA&lt;20 W/m2)]]-Plant_BD[[#This Row],[Sunrise Time (POA&gt;20 W/m2)]])*24,"")</f>
        <v>11.85</v>
      </c>
      <c r="L3" s="296"/>
      <c r="M3" s="296"/>
      <c r="N3" s="296"/>
      <c r="O3" s="296"/>
      <c r="P3" s="296"/>
      <c r="Q3" s="296"/>
      <c r="R3" s="296"/>
      <c r="S3" s="296"/>
      <c r="T3" s="297" t="s">
        <v>184</v>
      </c>
      <c r="U3" s="298">
        <f>IFERROR(_xlfn.XLOOKUP(Plant_BD[[#This Row],[Affected Equipment]],'Basic Data'!$A:$A,'Basic Data'!$B:$B),"")</f>
        <v>1669.29</v>
      </c>
      <c r="V3" s="299">
        <f>IFERROR(_xlfn.XLOOKUP(Plant_BD[[#This Row],[Affected Equipment]],'Basic Data'!$A:$A,'Basic Data'!$C:$C),"")</f>
        <v>0.15888466919848093</v>
      </c>
      <c r="W3" s="300" t="s">
        <v>184</v>
      </c>
      <c r="X3" s="300" t="s">
        <v>435</v>
      </c>
      <c r="Y3" s="301" t="s">
        <v>438</v>
      </c>
      <c r="Z3" s="302" t="s">
        <v>438</v>
      </c>
      <c r="AA3" s="303">
        <v>0.46875</v>
      </c>
      <c r="AB3" s="303">
        <v>0.46875</v>
      </c>
      <c r="AC3" s="303">
        <v>0.46875</v>
      </c>
      <c r="AD3" s="303">
        <v>0.47430555555555554</v>
      </c>
      <c r="AE3" s="304">
        <f>IF(Plant_BD[[#This Row],[Acknowledgement Time ]]="NA","",(Plant_BD[[#This Row],[Acknowledgement Time ]]-Plant_BD[[#This Row],[Fault Time]])*24)</f>
        <v>0</v>
      </c>
      <c r="AF3" s="304">
        <f>IF(Plant_BD[[#This Row],[Work Start time on Fault]]="NA","",(Plant_BD[[#This Row],[Work Start time on Fault]]-Plant_BD[[#This Row],[Fault Time]])*24)</f>
        <v>0</v>
      </c>
      <c r="AG3" s="305">
        <f>(Plant_BD[[#This Row],[Work Completion time on fault]]-Plant_BD[[#This Row],[Fault Time]])*24</f>
        <v>0.13333333333333286</v>
      </c>
      <c r="AH3" s="305">
        <f>IFERROR((Plant_BD[[#This Row],[Work Completion time on fault]]-Plant_BD[[#This Row],[Fault Time]])*24,"")</f>
        <v>0.13333333333333286</v>
      </c>
      <c r="AI3" s="306" t="s">
        <v>726</v>
      </c>
      <c r="AJ3" s="307" t="s">
        <v>266</v>
      </c>
      <c r="AK3" s="308">
        <f>IFERROR(Plant_BD[[#This Row],[Breakdown Time]]*Plant_BD[[#This Row],[Plant Equivalent Weightage]],"")</f>
        <v>2.1184622559797382E-2</v>
      </c>
      <c r="AL3" s="307">
        <v>0.11519999999999959</v>
      </c>
      <c r="AM3" s="304">
        <f>Plant_BD[[#This Row],[Lost PoA(kWh/m2)]]*Plant_BD[[#This Row],[DC Capacity Affected (kW)]]*_xlfn.XLOOKUP(Plant_BD[[#This Row],[Month Year]],'Modelling New'!$D:$D,'Modelling New'!$O:$O)</f>
        <v>127.37285908692323</v>
      </c>
      <c r="AN3" s="307"/>
      <c r="AO3" s="307"/>
      <c r="AP3" s="309"/>
    </row>
    <row r="4" spans="1:42">
      <c r="A4" s="290">
        <f t="shared" si="0"/>
        <v>3</v>
      </c>
      <c r="B4" s="291">
        <v>45751</v>
      </c>
      <c r="C4" s="292">
        <f>YEAR(Plant_BD[[#This Row],[Date]])+IF(MONTH(Plant_BD[[#This Row],[Date]])&gt;=4,1,0)</f>
        <v>2026</v>
      </c>
      <c r="D4" s="292">
        <f>YEAR(Plant_BD[[#This Row],[Date]])</f>
        <v>2025</v>
      </c>
      <c r="E4" s="293" t="s">
        <v>213</v>
      </c>
      <c r="F4" s="293" t="s">
        <v>213</v>
      </c>
      <c r="G4" s="294">
        <f>Plant_BD[[#This Row],[Date]]-DAY(Plant_BD[[#This Row],[Date]])+1</f>
        <v>45748</v>
      </c>
      <c r="H4" s="279">
        <f>DAY(EOMONTH(Plant_BD[[#This Row],[Month Year]],0))</f>
        <v>30</v>
      </c>
      <c r="I4" s="295">
        <f>_xlfn.XLOOKUP(Plant_BD[[#This Row],[Date]],'Raw Data'!$G:$G,'Raw Data'!$I:$I)</f>
        <v>0.27152777777777776</v>
      </c>
      <c r="J4" s="295">
        <f>_xlfn.XLOOKUP(Plant_BD[[#This Row],[Date]],'Raw Data'!$G:$G,'Raw Data'!$J:$J)</f>
        <v>0.75972222222222219</v>
      </c>
      <c r="K4" s="296">
        <f>IFERROR((Plant_BD[[#This Row],[Sunset Time (POA&lt;20 W/m2)]]-Plant_BD[[#This Row],[Sunrise Time (POA&gt;20 W/m2)]])*24,"")</f>
        <v>11.716666666666667</v>
      </c>
      <c r="L4" s="296"/>
      <c r="M4" s="296"/>
      <c r="N4" s="296"/>
      <c r="O4" s="296"/>
      <c r="P4" s="296"/>
      <c r="Q4" s="296"/>
      <c r="R4" s="296"/>
      <c r="S4" s="296"/>
      <c r="T4" s="297" t="s">
        <v>187</v>
      </c>
      <c r="U4" s="298">
        <f>IFERROR(_xlfn.XLOOKUP(Plant_BD[[#This Row],[Affected Equipment]],'Basic Data'!$A:$A,'Basic Data'!$B:$B),"")</f>
        <v>1785.42</v>
      </c>
      <c r="V4" s="299">
        <f>IFERROR(_xlfn.XLOOKUP(Plant_BD[[#This Row],[Affected Equipment]],'Basic Data'!$A:$A,'Basic Data'!$C:$C),"")</f>
        <v>0.1699380371776934</v>
      </c>
      <c r="W4" s="300" t="s">
        <v>187</v>
      </c>
      <c r="X4" s="300" t="s">
        <v>435</v>
      </c>
      <c r="Y4" s="301" t="s">
        <v>438</v>
      </c>
      <c r="Z4" s="302" t="s">
        <v>438</v>
      </c>
      <c r="AA4" s="303">
        <v>0.50555555555555554</v>
      </c>
      <c r="AB4" s="303">
        <v>0.50555555555555554</v>
      </c>
      <c r="AC4" s="303">
        <v>0.50555555555555554</v>
      </c>
      <c r="AD4" s="303">
        <v>0.61805555555555558</v>
      </c>
      <c r="AE4" s="304">
        <f>IF(Plant_BD[[#This Row],[Acknowledgement Time ]]="NA","",(Plant_BD[[#This Row],[Acknowledgement Time ]]-Plant_BD[[#This Row],[Fault Time]])*24)</f>
        <v>0</v>
      </c>
      <c r="AF4" s="304">
        <f>IF(Plant_BD[[#This Row],[Work Start time on Fault]]="NA","",(Plant_BD[[#This Row],[Work Start time on Fault]]-Plant_BD[[#This Row],[Fault Time]])*24)</f>
        <v>0</v>
      </c>
      <c r="AG4" s="305">
        <f>(Plant_BD[[#This Row],[Work Completion time on fault]]-Plant_BD[[#This Row],[Fault Time]])*24</f>
        <v>2.7000000000000011</v>
      </c>
      <c r="AH4" s="305">
        <f>IFERROR((Plant_BD[[#This Row],[Work Completion time on fault]]-Plant_BD[[#This Row],[Fault Time]])*24,"")</f>
        <v>2.7000000000000011</v>
      </c>
      <c r="AI4" s="306" t="s">
        <v>894</v>
      </c>
      <c r="AJ4" s="307" t="s">
        <v>266</v>
      </c>
      <c r="AK4" s="308">
        <f>IFERROR(Plant_BD[[#This Row],[Breakdown Time]]*Plant_BD[[#This Row],[Plant Equivalent Weightage]],"")</f>
        <v>0.45883270037977236</v>
      </c>
      <c r="AL4" s="307">
        <v>2.15</v>
      </c>
      <c r="AM4" s="304">
        <f>Plant_BD[[#This Row],[Lost PoA(kWh/m2)]]*Plant_BD[[#This Row],[DC Capacity Affected (kW)]]*_xlfn.XLOOKUP(Plant_BD[[#This Row],[Month Year]],'Modelling New'!$D:$D,'Modelling New'!$O:$O)</f>
        <v>2542.5615895819396</v>
      </c>
      <c r="AN4" s="307"/>
      <c r="AO4" s="307"/>
      <c r="AP4" s="309"/>
    </row>
    <row r="5" spans="1:42">
      <c r="A5" s="290">
        <f t="shared" si="0"/>
        <v>4</v>
      </c>
      <c r="B5" s="291">
        <v>45752</v>
      </c>
      <c r="C5" s="292">
        <f>YEAR(Plant_BD[[#This Row],[Date]])+IF(MONTH(Plant_BD[[#This Row],[Date]])&gt;=4,1,0)</f>
        <v>2026</v>
      </c>
      <c r="D5" s="292">
        <f>YEAR(Plant_BD[[#This Row],[Date]])</f>
        <v>2025</v>
      </c>
      <c r="E5" s="293" t="s">
        <v>213</v>
      </c>
      <c r="F5" s="293" t="s">
        <v>213</v>
      </c>
      <c r="G5" s="294">
        <f>Plant_BD[[#This Row],[Date]]-DAY(Plant_BD[[#This Row],[Date]])+1</f>
        <v>45748</v>
      </c>
      <c r="H5" s="279">
        <f>DAY(EOMONTH(Plant_BD[[#This Row],[Month Year]],0))</f>
        <v>30</v>
      </c>
      <c r="I5" s="295">
        <f>_xlfn.XLOOKUP(Plant_BD[[#This Row],[Date]],'Raw Data'!$G:$G,'Raw Data'!$I:$I)</f>
        <v>0.26458333333333334</v>
      </c>
      <c r="J5" s="295">
        <f>_xlfn.XLOOKUP(Plant_BD[[#This Row],[Date]],'Raw Data'!$G:$G,'Raw Data'!$J:$J)</f>
        <v>0.76597222222222228</v>
      </c>
      <c r="K5" s="296">
        <f>IFERROR((Plant_BD[[#This Row],[Sunset Time (POA&lt;20 W/m2)]]-Plant_BD[[#This Row],[Sunrise Time (POA&gt;20 W/m2)]])*24,"")</f>
        <v>12.033333333333333</v>
      </c>
      <c r="L5" s="296"/>
      <c r="M5" s="296"/>
      <c r="N5" s="296"/>
      <c r="O5" s="296"/>
      <c r="P5" s="296"/>
      <c r="Q5" s="296"/>
      <c r="R5" s="296"/>
      <c r="S5" s="296"/>
      <c r="T5" s="297" t="s">
        <v>187</v>
      </c>
      <c r="U5" s="298">
        <f>IFERROR(_xlfn.XLOOKUP(Plant_BD[[#This Row],[Affected Equipment]],'Basic Data'!$A:$A,'Basic Data'!$B:$B),"")</f>
        <v>1785.42</v>
      </c>
      <c r="V5" s="299">
        <f>IFERROR(_xlfn.XLOOKUP(Plant_BD[[#This Row],[Affected Equipment]],'Basic Data'!$A:$A,'Basic Data'!$C:$C),"")</f>
        <v>0.1699380371776934</v>
      </c>
      <c r="W5" s="300" t="s">
        <v>187</v>
      </c>
      <c r="X5" s="300" t="s">
        <v>435</v>
      </c>
      <c r="Y5" s="301" t="s">
        <v>438</v>
      </c>
      <c r="Z5" s="302" t="s">
        <v>438</v>
      </c>
      <c r="AA5" s="303">
        <v>0.36875000000000002</v>
      </c>
      <c r="AB5" s="303">
        <v>0.36875000000000002</v>
      </c>
      <c r="AC5" s="303">
        <v>0.36875000000000002</v>
      </c>
      <c r="AD5" s="303">
        <v>0.46041666666666664</v>
      </c>
      <c r="AE5" s="304">
        <f>IF(Plant_BD[[#This Row],[Acknowledgement Time ]]="NA","",(Plant_BD[[#This Row],[Acknowledgement Time ]]-Plant_BD[[#This Row],[Fault Time]])*24)</f>
        <v>0</v>
      </c>
      <c r="AF5" s="304">
        <f>IF(Plant_BD[[#This Row],[Work Start time on Fault]]="NA","",(Plant_BD[[#This Row],[Work Start time on Fault]]-Plant_BD[[#This Row],[Fault Time]])*24)</f>
        <v>0</v>
      </c>
      <c r="AG5" s="305">
        <f>(Plant_BD[[#This Row],[Work Completion time on fault]]-Plant_BD[[#This Row],[Fault Time]])*24</f>
        <v>2.1999999999999988</v>
      </c>
      <c r="AH5" s="305">
        <f>IFERROR((Plant_BD[[#This Row],[Work Completion time on fault]]-Plant_BD[[#This Row],[Fault Time]])*24,"")</f>
        <v>2.1999999999999988</v>
      </c>
      <c r="AI5" s="306" t="s">
        <v>895</v>
      </c>
      <c r="AJ5" s="307" t="s">
        <v>266</v>
      </c>
      <c r="AK5" s="308">
        <f>IFERROR(Plant_BD[[#This Row],[Breakdown Time]]*Plant_BD[[#This Row],[Plant Equivalent Weightage]],"")</f>
        <v>0.37386368179092527</v>
      </c>
      <c r="AL5" s="307">
        <v>2.0499999999999998</v>
      </c>
      <c r="AM5" s="304">
        <f>Plant_BD[[#This Row],[Lost PoA(kWh/m2)]]*Plant_BD[[#This Row],[DC Capacity Affected (kW)]]*_xlfn.XLOOKUP(Plant_BD[[#This Row],[Month Year]],'Modelling New'!$D:$D,'Modelling New'!$O:$O)</f>
        <v>2424.3029109967333</v>
      </c>
      <c r="AN5" s="307"/>
      <c r="AO5" s="307"/>
      <c r="AP5" s="309"/>
    </row>
    <row r="6" spans="1:42">
      <c r="A6" s="290">
        <f t="shared" si="0"/>
        <v>5</v>
      </c>
      <c r="B6" s="291">
        <v>45753</v>
      </c>
      <c r="C6" s="292">
        <f>YEAR(Plant_BD[[#This Row],[Date]])+IF(MONTH(Plant_BD[[#This Row],[Date]])&gt;=4,1,0)</f>
        <v>2026</v>
      </c>
      <c r="D6" s="292">
        <f>YEAR(Plant_BD[[#This Row],[Date]])</f>
        <v>2025</v>
      </c>
      <c r="E6" s="293" t="s">
        <v>213</v>
      </c>
      <c r="F6" s="293" t="s">
        <v>213</v>
      </c>
      <c r="G6" s="294">
        <f>Plant_BD[[#This Row],[Date]]-DAY(Plant_BD[[#This Row],[Date]])+1</f>
        <v>45748</v>
      </c>
      <c r="H6" s="279">
        <f>DAY(EOMONTH(Plant_BD[[#This Row],[Month Year]],0))</f>
        <v>30</v>
      </c>
      <c r="I6" s="295">
        <f>_xlfn.XLOOKUP(Plant_BD[[#This Row],[Date]],'Raw Data'!$G:$G,'Raw Data'!$I:$I)</f>
        <v>0.27083333333333331</v>
      </c>
      <c r="J6" s="295">
        <f>_xlfn.XLOOKUP(Plant_BD[[#This Row],[Date]],'Raw Data'!$G:$G,'Raw Data'!$J:$J)</f>
        <v>0.7680555555555556</v>
      </c>
      <c r="K6" s="296">
        <f>IFERROR((Plant_BD[[#This Row],[Sunset Time (POA&lt;20 W/m2)]]-Plant_BD[[#This Row],[Sunrise Time (POA&gt;20 W/m2)]])*24,"")</f>
        <v>11.933333333333335</v>
      </c>
      <c r="L6" s="296"/>
      <c r="M6" s="296"/>
      <c r="N6" s="296"/>
      <c r="O6" s="296"/>
      <c r="P6" s="296"/>
      <c r="Q6" s="296"/>
      <c r="R6" s="296"/>
      <c r="S6" s="296"/>
      <c r="T6" s="297" t="s">
        <v>187</v>
      </c>
      <c r="U6" s="298">
        <f>IFERROR(_xlfn.XLOOKUP(Plant_BD[[#This Row],[Affected Equipment]],'Basic Data'!$A:$A,'Basic Data'!$B:$B),"")</f>
        <v>1785.42</v>
      </c>
      <c r="V6" s="299">
        <f>IFERROR(_xlfn.XLOOKUP(Plant_BD[[#This Row],[Affected Equipment]],'Basic Data'!$A:$A,'Basic Data'!$C:$C),"")</f>
        <v>0.1699380371776934</v>
      </c>
      <c r="W6" s="300" t="s">
        <v>187</v>
      </c>
      <c r="X6" s="300" t="s">
        <v>435</v>
      </c>
      <c r="Y6" s="301" t="s">
        <v>438</v>
      </c>
      <c r="Z6" s="302" t="s">
        <v>438</v>
      </c>
      <c r="AA6" s="303">
        <v>0.3923611111111111</v>
      </c>
      <c r="AB6" s="303">
        <v>0.3923611111111111</v>
      </c>
      <c r="AC6" s="303">
        <v>0.3923611111111111</v>
      </c>
      <c r="AD6" s="303">
        <v>0.43263888888888891</v>
      </c>
      <c r="AE6" s="304">
        <f>IF(Plant_BD[[#This Row],[Acknowledgement Time ]]="NA","",(Plant_BD[[#This Row],[Acknowledgement Time ]]-Plant_BD[[#This Row],[Fault Time]])*24)</f>
        <v>0</v>
      </c>
      <c r="AF6" s="304">
        <f>IF(Plant_BD[[#This Row],[Work Start time on Fault]]="NA","",(Plant_BD[[#This Row],[Work Start time on Fault]]-Plant_BD[[#This Row],[Fault Time]])*24)</f>
        <v>0</v>
      </c>
      <c r="AG6" s="305">
        <f>(Plant_BD[[#This Row],[Work Completion time on fault]]-Plant_BD[[#This Row],[Fault Time]])*24</f>
        <v>0.96666666666666723</v>
      </c>
      <c r="AH6" s="305">
        <f>IFERROR((Plant_BD[[#This Row],[Work Completion time on fault]]-Plant_BD[[#This Row],[Fault Time]])*24,"")</f>
        <v>0.96666666666666723</v>
      </c>
      <c r="AI6" s="306" t="s">
        <v>894</v>
      </c>
      <c r="AJ6" s="307" t="s">
        <v>266</v>
      </c>
      <c r="AK6" s="308">
        <f>IFERROR(Plant_BD[[#This Row],[Breakdown Time]]*Plant_BD[[#This Row],[Plant Equivalent Weightage]],"")</f>
        <v>0.16427343593843705</v>
      </c>
      <c r="AL6" s="307">
        <v>3.02</v>
      </c>
      <c r="AM6" s="304">
        <f>Plant_BD[[#This Row],[Lost PoA(kWh/m2)]]*Plant_BD[[#This Row],[DC Capacity Affected (kW)]]*_xlfn.XLOOKUP(Plant_BD[[#This Row],[Month Year]],'Modelling New'!$D:$D,'Modelling New'!$O:$O)</f>
        <v>3571.4120932732367</v>
      </c>
      <c r="AN6" s="307"/>
      <c r="AO6" s="307"/>
      <c r="AP6" s="309"/>
    </row>
    <row r="7" spans="1:42">
      <c r="A7" s="290">
        <f t="shared" si="0"/>
        <v>6</v>
      </c>
      <c r="B7" s="291">
        <v>45754</v>
      </c>
      <c r="C7" s="292">
        <f>YEAR(Plant_BD[[#This Row],[Date]])+IF(MONTH(Plant_BD[[#This Row],[Date]])&gt;=4,1,0)</f>
        <v>2026</v>
      </c>
      <c r="D7" s="292">
        <f>YEAR(Plant_BD[[#This Row],[Date]])</f>
        <v>2025</v>
      </c>
      <c r="E7" s="293" t="s">
        <v>213</v>
      </c>
      <c r="F7" s="293" t="s">
        <v>213</v>
      </c>
      <c r="G7" s="294">
        <f>Plant_BD[[#This Row],[Date]]-DAY(Plant_BD[[#This Row],[Date]])+1</f>
        <v>45748</v>
      </c>
      <c r="H7" s="279">
        <f>DAY(EOMONTH(Plant_BD[[#This Row],[Month Year]],0))</f>
        <v>30</v>
      </c>
      <c r="I7" s="295">
        <f>_xlfn.XLOOKUP(Plant_BD[[#This Row],[Date]],'Raw Data'!$G:$G,'Raw Data'!$I:$I)</f>
        <v>0.26458333333333334</v>
      </c>
      <c r="J7" s="295">
        <f>_xlfn.XLOOKUP(Plant_BD[[#This Row],[Date]],'Raw Data'!$G:$G,'Raw Data'!$J:$J)</f>
        <v>0.7680555555555556</v>
      </c>
      <c r="K7" s="296">
        <f>IFERROR((Plant_BD[[#This Row],[Sunset Time (POA&lt;20 W/m2)]]-Plant_BD[[#This Row],[Sunrise Time (POA&gt;20 W/m2)]])*24,"")</f>
        <v>12.083333333333336</v>
      </c>
      <c r="L7" s="296"/>
      <c r="M7" s="296"/>
      <c r="N7" s="296"/>
      <c r="O7" s="296"/>
      <c r="P7" s="296"/>
      <c r="Q7" s="296"/>
      <c r="R7" s="296"/>
      <c r="S7" s="296"/>
      <c r="T7" s="297" t="s">
        <v>187</v>
      </c>
      <c r="U7" s="298">
        <f>IFERROR(_xlfn.XLOOKUP(Plant_BD[[#This Row],[Affected Equipment]],'Basic Data'!$A:$A,'Basic Data'!$B:$B),"")</f>
        <v>1785.42</v>
      </c>
      <c r="V7" s="299">
        <f>IFERROR(_xlfn.XLOOKUP(Plant_BD[[#This Row],[Affected Equipment]],'Basic Data'!$A:$A,'Basic Data'!$C:$C),"")</f>
        <v>0.1699380371776934</v>
      </c>
      <c r="W7" s="300" t="s">
        <v>187</v>
      </c>
      <c r="X7" s="300" t="s">
        <v>435</v>
      </c>
      <c r="Y7" s="301" t="s">
        <v>438</v>
      </c>
      <c r="Z7" s="302" t="s">
        <v>438</v>
      </c>
      <c r="AA7" s="303">
        <v>0.36736111111111114</v>
      </c>
      <c r="AB7" s="303">
        <v>0.36736111111111114</v>
      </c>
      <c r="AC7" s="303">
        <v>0.36736111111111114</v>
      </c>
      <c r="AD7" s="303">
        <v>0.46527777777777779</v>
      </c>
      <c r="AE7" s="304">
        <f>IF(Plant_BD[[#This Row],[Acknowledgement Time ]]="NA","",(Plant_BD[[#This Row],[Acknowledgement Time ]]-Plant_BD[[#This Row],[Fault Time]])*24)</f>
        <v>0</v>
      </c>
      <c r="AF7" s="304">
        <f>IF(Plant_BD[[#This Row],[Work Start time on Fault]]="NA","",(Plant_BD[[#This Row],[Work Start time on Fault]]-Plant_BD[[#This Row],[Fault Time]])*24)</f>
        <v>0</v>
      </c>
      <c r="AG7" s="305">
        <f>(Plant_BD[[#This Row],[Work Completion time on fault]]-Plant_BD[[#This Row],[Fault Time]])*24</f>
        <v>2.3499999999999996</v>
      </c>
      <c r="AH7" s="305">
        <f>IFERROR((Plant_BD[[#This Row],[Work Completion time on fault]]-Plant_BD[[#This Row],[Fault Time]])*24,"")</f>
        <v>2.3499999999999996</v>
      </c>
      <c r="AI7" s="306" t="s">
        <v>896</v>
      </c>
      <c r="AJ7" s="307" t="s">
        <v>266</v>
      </c>
      <c r="AK7" s="308">
        <f>IFERROR(Plant_BD[[#This Row],[Breakdown Time]]*Plant_BD[[#This Row],[Plant Equivalent Weightage]],"")</f>
        <v>0.39935438736757944</v>
      </c>
      <c r="AL7" s="307">
        <v>2.1</v>
      </c>
      <c r="AM7" s="304">
        <f>Plant_BD[[#This Row],[Lost PoA(kWh/m2)]]*Plant_BD[[#This Row],[DC Capacity Affected (kW)]]*_xlfn.XLOOKUP(Plant_BD[[#This Row],[Month Year]],'Modelling New'!$D:$D,'Modelling New'!$O:$O)</f>
        <v>2483.4322502893369</v>
      </c>
      <c r="AN7" s="307"/>
      <c r="AO7" s="307"/>
      <c r="AP7" s="309"/>
    </row>
    <row r="8" spans="1:42">
      <c r="A8" s="290">
        <f t="shared" si="0"/>
        <v>7</v>
      </c>
      <c r="B8" s="291">
        <v>45756</v>
      </c>
      <c r="C8" s="292">
        <f>YEAR(Plant_BD[[#This Row],[Date]])+IF(MONTH(Plant_BD[[#This Row],[Date]])&gt;=4,1,0)</f>
        <v>2026</v>
      </c>
      <c r="D8" s="292">
        <f>YEAR(Plant_BD[[#This Row],[Date]])</f>
        <v>2025</v>
      </c>
      <c r="E8" s="293" t="s">
        <v>213</v>
      </c>
      <c r="F8" s="293" t="s">
        <v>213</v>
      </c>
      <c r="G8" s="294">
        <f>Plant_BD[[#This Row],[Date]]-DAY(Plant_BD[[#This Row],[Date]])+1</f>
        <v>45748</v>
      </c>
      <c r="H8" s="279">
        <f>DAY(EOMONTH(Plant_BD[[#This Row],[Month Year]],0))</f>
        <v>30</v>
      </c>
      <c r="I8" s="295">
        <f>_xlfn.XLOOKUP(Plant_BD[[#This Row],[Date]],'Raw Data'!$G:$G,'Raw Data'!$I:$I)</f>
        <v>0.26250000000000001</v>
      </c>
      <c r="J8" s="295">
        <f>_xlfn.XLOOKUP(Plant_BD[[#This Row],[Date]],'Raw Data'!$G:$G,'Raw Data'!$J:$J)</f>
        <v>0.76041666666666663</v>
      </c>
      <c r="K8" s="296">
        <f>IFERROR((Plant_BD[[#This Row],[Sunset Time (POA&lt;20 W/m2)]]-Plant_BD[[#This Row],[Sunrise Time (POA&gt;20 W/m2)]])*24,"")</f>
        <v>11.95</v>
      </c>
      <c r="L8" s="296"/>
      <c r="M8" s="296"/>
      <c r="N8" s="296"/>
      <c r="O8" s="296"/>
      <c r="P8" s="296"/>
      <c r="Q8" s="296"/>
      <c r="R8" s="296"/>
      <c r="S8" s="296"/>
      <c r="T8" s="297" t="s">
        <v>187</v>
      </c>
      <c r="U8" s="298">
        <f>IFERROR(_xlfn.XLOOKUP(Plant_BD[[#This Row],[Affected Equipment]],'Basic Data'!$A:$A,'Basic Data'!$B:$B),"")</f>
        <v>1785.42</v>
      </c>
      <c r="V8" s="299">
        <f>IFERROR(_xlfn.XLOOKUP(Plant_BD[[#This Row],[Affected Equipment]],'Basic Data'!$A:$A,'Basic Data'!$C:$C),"")</f>
        <v>0.1699380371776934</v>
      </c>
      <c r="W8" s="300" t="s">
        <v>187</v>
      </c>
      <c r="X8" s="300" t="s">
        <v>435</v>
      </c>
      <c r="Y8" s="301" t="s">
        <v>438</v>
      </c>
      <c r="Z8" s="302" t="s">
        <v>438</v>
      </c>
      <c r="AA8" s="303">
        <v>0.54305555555555551</v>
      </c>
      <c r="AB8" s="303">
        <v>0.54305555555555551</v>
      </c>
      <c r="AC8" s="303">
        <v>0.54305555555555551</v>
      </c>
      <c r="AD8" s="303">
        <v>0.55208333333333337</v>
      </c>
      <c r="AE8" s="304">
        <f>IF(Plant_BD[[#This Row],[Acknowledgement Time ]]="NA","",(Plant_BD[[#This Row],[Acknowledgement Time ]]-Plant_BD[[#This Row],[Fault Time]])*24)</f>
        <v>0</v>
      </c>
      <c r="AF8" s="304">
        <f>IF(Plant_BD[[#This Row],[Work Start time on Fault]]="NA","",(Plant_BD[[#This Row],[Work Start time on Fault]]-Plant_BD[[#This Row],[Fault Time]])*24)</f>
        <v>0</v>
      </c>
      <c r="AG8" s="305">
        <f>(Plant_BD[[#This Row],[Work Completion time on fault]]-Plant_BD[[#This Row],[Fault Time]])*24</f>
        <v>0.21666666666666856</v>
      </c>
      <c r="AH8" s="305">
        <f>IFERROR((Plant_BD[[#This Row],[Work Completion time on fault]]-Plant_BD[[#This Row],[Fault Time]])*24,"")</f>
        <v>0.21666666666666856</v>
      </c>
      <c r="AI8" s="306" t="s">
        <v>726</v>
      </c>
      <c r="AJ8" s="307" t="s">
        <v>266</v>
      </c>
      <c r="AK8" s="308">
        <f>IFERROR(Plant_BD[[#This Row],[Breakdown Time]]*Plant_BD[[#This Row],[Plant Equivalent Weightage]],"")</f>
        <v>3.6819908055167223E-2</v>
      </c>
      <c r="AL8" s="307">
        <v>0.2</v>
      </c>
      <c r="AM8" s="304">
        <f>Plant_BD[[#This Row],[Lost PoA(kWh/m2)]]*Plant_BD[[#This Row],[DC Capacity Affected (kW)]]*_xlfn.XLOOKUP(Plant_BD[[#This Row],[Month Year]],'Modelling New'!$D:$D,'Modelling New'!$O:$O)</f>
        <v>236.51735717041305</v>
      </c>
      <c r="AN8" s="307"/>
      <c r="AO8" s="307"/>
      <c r="AP8" s="309"/>
    </row>
    <row r="9" spans="1:42">
      <c r="A9" s="290">
        <f t="shared" si="0"/>
        <v>8</v>
      </c>
      <c r="B9" s="291">
        <v>45758</v>
      </c>
      <c r="C9" s="292">
        <f>YEAR(Plant_BD[[#This Row],[Date]])+IF(MONTH(Plant_BD[[#This Row],[Date]])&gt;=4,1,0)</f>
        <v>2026</v>
      </c>
      <c r="D9" s="292">
        <f>YEAR(Plant_BD[[#This Row],[Date]])</f>
        <v>2025</v>
      </c>
      <c r="E9" s="293" t="s">
        <v>213</v>
      </c>
      <c r="F9" s="293" t="s">
        <v>213</v>
      </c>
      <c r="G9" s="294">
        <f>Plant_BD[[#This Row],[Date]]-DAY(Plant_BD[[#This Row],[Date]])+1</f>
        <v>45748</v>
      </c>
      <c r="H9" s="279">
        <f>DAY(EOMONTH(Plant_BD[[#This Row],[Month Year]],0))</f>
        <v>30</v>
      </c>
      <c r="I9" s="295">
        <f>_xlfn.XLOOKUP(Plant_BD[[#This Row],[Date]],'Raw Data'!$G:$G,'Raw Data'!$I:$I)</f>
        <v>0.2638888888888889</v>
      </c>
      <c r="J9" s="295">
        <f>_xlfn.XLOOKUP(Plant_BD[[#This Row],[Date]],'Raw Data'!$G:$G,'Raw Data'!$J:$J)</f>
        <v>0.75902777777777775</v>
      </c>
      <c r="K9" s="296">
        <f>IFERROR((Plant_BD[[#This Row],[Sunset Time (POA&lt;20 W/m2)]]-Plant_BD[[#This Row],[Sunrise Time (POA&gt;20 W/m2)]])*24,"")</f>
        <v>11.883333333333333</v>
      </c>
      <c r="L9" s="296"/>
      <c r="M9" s="296"/>
      <c r="N9" s="296"/>
      <c r="O9" s="296"/>
      <c r="P9" s="296"/>
      <c r="Q9" s="296"/>
      <c r="R9" s="296"/>
      <c r="S9" s="296"/>
      <c r="T9" s="297" t="s">
        <v>184</v>
      </c>
      <c r="U9" s="298">
        <f>IFERROR(_xlfn.XLOOKUP(Plant_BD[[#This Row],[Affected Equipment]],'Basic Data'!$A:$A,'Basic Data'!$B:$B),"")</f>
        <v>1669.29</v>
      </c>
      <c r="V9" s="299">
        <f>IFERROR(_xlfn.XLOOKUP(Plant_BD[[#This Row],[Affected Equipment]],'Basic Data'!$A:$A,'Basic Data'!$C:$C),"")</f>
        <v>0.15888466919848093</v>
      </c>
      <c r="W9" s="300" t="s">
        <v>184</v>
      </c>
      <c r="X9" s="300" t="s">
        <v>435</v>
      </c>
      <c r="Y9" s="301" t="s">
        <v>438</v>
      </c>
      <c r="Z9" s="302" t="s">
        <v>438</v>
      </c>
      <c r="AA9" s="303">
        <v>0.61250000000000004</v>
      </c>
      <c r="AB9" s="303">
        <v>0.61250000000000004</v>
      </c>
      <c r="AC9" s="303">
        <v>0.61250000000000004</v>
      </c>
      <c r="AD9" s="303">
        <v>0.63194444444444442</v>
      </c>
      <c r="AE9" s="304">
        <f>IF(Plant_BD[[#This Row],[Acknowledgement Time ]]="NA","",(Plant_BD[[#This Row],[Acknowledgement Time ]]-Plant_BD[[#This Row],[Fault Time]])*24)</f>
        <v>0</v>
      </c>
      <c r="AF9" s="304">
        <f>IF(Plant_BD[[#This Row],[Work Start time on Fault]]="NA","",(Plant_BD[[#This Row],[Work Start time on Fault]]-Plant_BD[[#This Row],[Fault Time]])*24)</f>
        <v>0</v>
      </c>
      <c r="AG9" s="305">
        <f>(Plant_BD[[#This Row],[Work Completion time on fault]]-Plant_BD[[#This Row],[Fault Time]])*24</f>
        <v>0.46666666666666501</v>
      </c>
      <c r="AH9" s="305">
        <f>IFERROR((Plant_BD[[#This Row],[Work Completion time on fault]]-Plant_BD[[#This Row],[Fault Time]])*24,"")</f>
        <v>0.46666666666666501</v>
      </c>
      <c r="AI9" s="306" t="s">
        <v>726</v>
      </c>
      <c r="AJ9" s="307" t="s">
        <v>266</v>
      </c>
      <c r="AK9" s="308">
        <f>IFERROR(Plant_BD[[#This Row],[Breakdown Time]]*Plant_BD[[#This Row],[Plant Equivalent Weightage]],"")</f>
        <v>7.4146178959290834E-2</v>
      </c>
      <c r="AL9" s="307">
        <v>0.41</v>
      </c>
      <c r="AM9" s="304">
        <f>Plant_BD[[#This Row],[Lost PoA(kWh/m2)]]*Plant_BD[[#This Row],[DC Capacity Affected (kW)]]*_xlfn.XLOOKUP(Plant_BD[[#This Row],[Month Year]],'Modelling New'!$D:$D,'Modelling New'!$O:$O)</f>
        <v>453.3235436253359</v>
      </c>
      <c r="AN9" s="307"/>
      <c r="AO9" s="307"/>
      <c r="AP9" s="309"/>
    </row>
    <row r="10" spans="1:42">
      <c r="A10" s="290">
        <f t="shared" si="0"/>
        <v>9</v>
      </c>
      <c r="B10" s="291">
        <v>45759</v>
      </c>
      <c r="C10" s="292">
        <f>YEAR(Plant_BD[[#This Row],[Date]])+IF(MONTH(Plant_BD[[#This Row],[Date]])&gt;=4,1,0)</f>
        <v>2026</v>
      </c>
      <c r="D10" s="292">
        <f>YEAR(Plant_BD[[#This Row],[Date]])</f>
        <v>2025</v>
      </c>
      <c r="E10" s="293" t="s">
        <v>213</v>
      </c>
      <c r="F10" s="293" t="s">
        <v>213</v>
      </c>
      <c r="G10" s="294">
        <f>Plant_BD[[#This Row],[Date]]-DAY(Plant_BD[[#This Row],[Date]])+1</f>
        <v>45748</v>
      </c>
      <c r="H10" s="279">
        <f>DAY(EOMONTH(Plant_BD[[#This Row],[Month Year]],0))</f>
        <v>30</v>
      </c>
      <c r="I10" s="295">
        <f>_xlfn.XLOOKUP(Plant_BD[[#This Row],[Date]],'Raw Data'!$G:$G,'Raw Data'!$I:$I)</f>
        <v>0.26458333333333334</v>
      </c>
      <c r="J10" s="295">
        <f>_xlfn.XLOOKUP(Plant_BD[[#This Row],[Date]],'Raw Data'!$G:$G,'Raw Data'!$J:$J)</f>
        <v>0.76458333333333328</v>
      </c>
      <c r="K10" s="296">
        <f>IFERROR((Plant_BD[[#This Row],[Sunset Time (POA&lt;20 W/m2)]]-Plant_BD[[#This Row],[Sunrise Time (POA&gt;20 W/m2)]])*24,"")</f>
        <v>11.999999999999998</v>
      </c>
      <c r="L10" s="296"/>
      <c r="M10" s="296"/>
      <c r="N10" s="296"/>
      <c r="O10" s="296"/>
      <c r="P10" s="296"/>
      <c r="Q10" s="296"/>
      <c r="R10" s="296"/>
      <c r="S10" s="296"/>
      <c r="T10" s="297" t="s">
        <v>184</v>
      </c>
      <c r="U10" s="298">
        <f>IFERROR(_xlfn.XLOOKUP(Plant_BD[[#This Row],[Affected Equipment]],'Basic Data'!$A:$A,'Basic Data'!$B:$B),"")</f>
        <v>1669.29</v>
      </c>
      <c r="V10" s="299">
        <f>IFERROR(_xlfn.XLOOKUP(Plant_BD[[#This Row],[Affected Equipment]],'Basic Data'!$A:$A,'Basic Data'!$C:$C),"")</f>
        <v>0.15888466919848093</v>
      </c>
      <c r="W10" s="300" t="s">
        <v>184</v>
      </c>
      <c r="X10" s="300" t="s">
        <v>435</v>
      </c>
      <c r="Y10" s="301" t="s">
        <v>438</v>
      </c>
      <c r="Z10" s="302" t="s">
        <v>438</v>
      </c>
      <c r="AA10" s="303">
        <v>0.40486111111111112</v>
      </c>
      <c r="AB10" s="303">
        <v>0.40486111111111112</v>
      </c>
      <c r="AC10" s="303">
        <v>0.40486111111111112</v>
      </c>
      <c r="AD10" s="303">
        <v>0.40972222222222221</v>
      </c>
      <c r="AE10" s="304">
        <f>IF(Plant_BD[[#This Row],[Acknowledgement Time ]]="NA","",(Plant_BD[[#This Row],[Acknowledgement Time ]]-Plant_BD[[#This Row],[Fault Time]])*24)</f>
        <v>0</v>
      </c>
      <c r="AF10" s="304">
        <f>IF(Plant_BD[[#This Row],[Work Start time on Fault]]="NA","",(Plant_BD[[#This Row],[Work Start time on Fault]]-Plant_BD[[#This Row],[Fault Time]])*24)</f>
        <v>0</v>
      </c>
      <c r="AG10" s="305">
        <f>(Plant_BD[[#This Row],[Work Completion time on fault]]-Plant_BD[[#This Row],[Fault Time]])*24</f>
        <v>0.11666666666666625</v>
      </c>
      <c r="AH10" s="305">
        <f>IFERROR((Plant_BD[[#This Row],[Work Completion time on fault]]-Plant_BD[[#This Row],[Fault Time]])*24,"")</f>
        <v>0.11666666666666625</v>
      </c>
      <c r="AI10" s="306" t="s">
        <v>726</v>
      </c>
      <c r="AJ10" s="307" t="s">
        <v>266</v>
      </c>
      <c r="AK10" s="308">
        <f>IFERROR(Plant_BD[[#This Row],[Breakdown Time]]*Plant_BD[[#This Row],[Plant Equivalent Weightage]],"")</f>
        <v>1.8536544739822709E-2</v>
      </c>
      <c r="AL10" s="307">
        <v>0.1</v>
      </c>
      <c r="AM10" s="304">
        <f>Plant_BD[[#This Row],[Lost PoA(kWh/m2)]]*Plant_BD[[#This Row],[DC Capacity Affected (kW)]]*_xlfn.XLOOKUP(Plant_BD[[#This Row],[Month Year]],'Modelling New'!$D:$D,'Modelling New'!$O:$O)</f>
        <v>110.56671795739902</v>
      </c>
      <c r="AN10" s="307"/>
      <c r="AO10" s="307"/>
      <c r="AP10" s="309"/>
    </row>
    <row r="11" spans="1:42">
      <c r="A11" s="290">
        <f t="shared" si="0"/>
        <v>10</v>
      </c>
      <c r="B11" s="291">
        <v>45760</v>
      </c>
      <c r="C11" s="292">
        <f>YEAR(Plant_BD[[#This Row],[Date]])+IF(MONTH(Plant_BD[[#This Row],[Date]])&gt;=4,1,0)</f>
        <v>2026</v>
      </c>
      <c r="D11" s="292">
        <f>YEAR(Plant_BD[[#This Row],[Date]])</f>
        <v>2025</v>
      </c>
      <c r="E11" s="293" t="s">
        <v>213</v>
      </c>
      <c r="F11" s="293" t="s">
        <v>213</v>
      </c>
      <c r="G11" s="294">
        <f>Plant_BD[[#This Row],[Date]]-DAY(Plant_BD[[#This Row],[Date]])+1</f>
        <v>45748</v>
      </c>
      <c r="H11" s="279">
        <f>DAY(EOMONTH(Plant_BD[[#This Row],[Month Year]],0))</f>
        <v>30</v>
      </c>
      <c r="I11" s="295">
        <f>_xlfn.XLOOKUP(Plant_BD[[#This Row],[Date]],'Raw Data'!$G:$G,'Raw Data'!$I:$I)</f>
        <v>0.2638888888888889</v>
      </c>
      <c r="J11" s="295">
        <f>_xlfn.XLOOKUP(Plant_BD[[#This Row],[Date]],'Raw Data'!$G:$G,'Raw Data'!$J:$J)</f>
        <v>0.76875000000000004</v>
      </c>
      <c r="K11" s="296">
        <f>IFERROR((Plant_BD[[#This Row],[Sunset Time (POA&lt;20 W/m2)]]-Plant_BD[[#This Row],[Sunrise Time (POA&gt;20 W/m2)]])*24,"")</f>
        <v>12.116666666666669</v>
      </c>
      <c r="L11" s="296"/>
      <c r="M11" s="296"/>
      <c r="N11" s="296"/>
      <c r="O11" s="296"/>
      <c r="P11" s="296"/>
      <c r="Q11" s="296"/>
      <c r="R11" s="296"/>
      <c r="S11" s="296"/>
      <c r="T11" s="297" t="s">
        <v>184</v>
      </c>
      <c r="U11" s="298">
        <f>IFERROR(_xlfn.XLOOKUP(Plant_BD[[#This Row],[Affected Equipment]],'Basic Data'!$A:$A,'Basic Data'!$B:$B),"")</f>
        <v>1669.29</v>
      </c>
      <c r="V11" s="299">
        <f>IFERROR(_xlfn.XLOOKUP(Plant_BD[[#This Row],[Affected Equipment]],'Basic Data'!$A:$A,'Basic Data'!$C:$C),"")</f>
        <v>0.15888466919848093</v>
      </c>
      <c r="W11" s="300" t="s">
        <v>184</v>
      </c>
      <c r="X11" s="300" t="s">
        <v>435</v>
      </c>
      <c r="Y11" s="301" t="s">
        <v>438</v>
      </c>
      <c r="Z11" s="302" t="s">
        <v>438</v>
      </c>
      <c r="AA11" s="303">
        <v>0.44166666666666665</v>
      </c>
      <c r="AB11" s="303">
        <v>0.44166666666666665</v>
      </c>
      <c r="AC11" s="303">
        <v>0.44166666666666665</v>
      </c>
      <c r="AD11" s="303">
        <v>0.44791666666666669</v>
      </c>
      <c r="AE11" s="304">
        <f>IF(Plant_BD[[#This Row],[Acknowledgement Time ]]="NA","",(Plant_BD[[#This Row],[Acknowledgement Time ]]-Plant_BD[[#This Row],[Fault Time]])*24)</f>
        <v>0</v>
      </c>
      <c r="AF11" s="304">
        <f>IF(Plant_BD[[#This Row],[Work Start time on Fault]]="NA","",(Plant_BD[[#This Row],[Work Start time on Fault]]-Plant_BD[[#This Row],[Fault Time]])*24)</f>
        <v>0</v>
      </c>
      <c r="AG11" s="305">
        <f>(Plant_BD[[#This Row],[Work Completion time on fault]]-Plant_BD[[#This Row],[Fault Time]])*24</f>
        <v>0.1500000000000008</v>
      </c>
      <c r="AH11" s="305">
        <f>IFERROR((Plant_BD[[#This Row],[Work Completion time on fault]]-Plant_BD[[#This Row],[Fault Time]])*24,"")</f>
        <v>0.1500000000000008</v>
      </c>
      <c r="AI11" s="306" t="s">
        <v>726</v>
      </c>
      <c r="AJ11" s="307" t="s">
        <v>266</v>
      </c>
      <c r="AK11" s="308">
        <f>IFERROR(Plant_BD[[#This Row],[Breakdown Time]]*Plant_BD[[#This Row],[Plant Equivalent Weightage]],"")</f>
        <v>2.3832700379772268E-2</v>
      </c>
      <c r="AL11" s="307">
        <v>0.08</v>
      </c>
      <c r="AM11" s="304">
        <f>Plant_BD[[#This Row],[Lost PoA(kWh/m2)]]*Plant_BD[[#This Row],[DC Capacity Affected (kW)]]*_xlfn.XLOOKUP(Plant_BD[[#This Row],[Month Year]],'Modelling New'!$D:$D,'Modelling New'!$O:$O)</f>
        <v>88.453374365919231</v>
      </c>
      <c r="AN11" s="307"/>
      <c r="AO11" s="307"/>
      <c r="AP11" s="309"/>
    </row>
    <row r="12" spans="1:42">
      <c r="A12" s="290">
        <f t="shared" si="0"/>
        <v>11</v>
      </c>
      <c r="B12" s="291">
        <v>45762</v>
      </c>
      <c r="C12" s="292">
        <f>YEAR(Plant_BD[[#This Row],[Date]])+IF(MONTH(Plant_BD[[#This Row],[Date]])&gt;=4,1,0)</f>
        <v>2026</v>
      </c>
      <c r="D12" s="292">
        <f>YEAR(Plant_BD[[#This Row],[Date]])</f>
        <v>2025</v>
      </c>
      <c r="E12" s="293" t="s">
        <v>213</v>
      </c>
      <c r="F12" s="293" t="s">
        <v>213</v>
      </c>
      <c r="G12" s="294">
        <f>Plant_BD[[#This Row],[Date]]-DAY(Plant_BD[[#This Row],[Date]])+1</f>
        <v>45748</v>
      </c>
      <c r="H12" s="279">
        <f>DAY(EOMONTH(Plant_BD[[#This Row],[Month Year]],0))</f>
        <v>30</v>
      </c>
      <c r="I12" s="295">
        <f>_xlfn.XLOOKUP(Plant_BD[[#This Row],[Date]],'Raw Data'!$G:$G,'Raw Data'!$I:$I)</f>
        <v>0.26527777777777778</v>
      </c>
      <c r="J12" s="295">
        <f>_xlfn.XLOOKUP(Plant_BD[[#This Row],[Date]],'Raw Data'!$G:$G,'Raw Data'!$J:$J)</f>
        <v>0.76458333333333328</v>
      </c>
      <c r="K12" s="296">
        <f>IFERROR((Plant_BD[[#This Row],[Sunset Time (POA&lt;20 W/m2)]]-Plant_BD[[#This Row],[Sunrise Time (POA&gt;20 W/m2)]])*24,"")</f>
        <v>11.983333333333333</v>
      </c>
      <c r="L12" s="296"/>
      <c r="M12" s="296"/>
      <c r="N12" s="296"/>
      <c r="O12" s="296"/>
      <c r="P12" s="296"/>
      <c r="Q12" s="296"/>
      <c r="R12" s="296"/>
      <c r="S12" s="296"/>
      <c r="T12" s="297" t="s">
        <v>187</v>
      </c>
      <c r="U12" s="298">
        <f>IFERROR(_xlfn.XLOOKUP(Plant_BD[[#This Row],[Affected Equipment]],'Basic Data'!$A:$A,'Basic Data'!$B:$B),"")</f>
        <v>1785.42</v>
      </c>
      <c r="V12" s="299">
        <f>IFERROR(_xlfn.XLOOKUP(Plant_BD[[#This Row],[Affected Equipment]],'Basic Data'!$A:$A,'Basic Data'!$C:$C),"")</f>
        <v>0.1699380371776934</v>
      </c>
      <c r="W12" s="300" t="s">
        <v>187</v>
      </c>
      <c r="X12" s="300" t="s">
        <v>435</v>
      </c>
      <c r="Y12" s="301" t="s">
        <v>438</v>
      </c>
      <c r="Z12" s="302" t="s">
        <v>438</v>
      </c>
      <c r="AA12" s="303">
        <v>0.37638888888888888</v>
      </c>
      <c r="AB12" s="303">
        <v>0.37638888888888888</v>
      </c>
      <c r="AC12" s="303">
        <v>0.37638888888888888</v>
      </c>
      <c r="AD12" s="303">
        <v>0.76527777777777772</v>
      </c>
      <c r="AE12" s="304">
        <f>IF(Plant_BD[[#This Row],[Acknowledgement Time ]]="NA","",(Plant_BD[[#This Row],[Acknowledgement Time ]]-Plant_BD[[#This Row],[Fault Time]])*24)</f>
        <v>0</v>
      </c>
      <c r="AF12" s="304">
        <f>IF(Plant_BD[[#This Row],[Work Start time on Fault]]="NA","",(Plant_BD[[#This Row],[Work Start time on Fault]]-Plant_BD[[#This Row],[Fault Time]])*24)</f>
        <v>0</v>
      </c>
      <c r="AG12" s="305">
        <f>(Plant_BD[[#This Row],[Work Completion time on fault]]-Plant_BD[[#This Row],[Fault Time]])*24</f>
        <v>9.3333333333333321</v>
      </c>
      <c r="AH12" s="305">
        <f>IFERROR((Plant_BD[[#This Row],[Work Completion time on fault]]-Plant_BD[[#This Row],[Fault Time]])*24,"")</f>
        <v>9.3333333333333321</v>
      </c>
      <c r="AI12" s="306" t="s">
        <v>894</v>
      </c>
      <c r="AJ12" s="307" t="s">
        <v>266</v>
      </c>
      <c r="AK12" s="308">
        <f>IFERROR(Plant_BD[[#This Row],[Breakdown Time]]*Plant_BD[[#This Row],[Plant Equivalent Weightage]],"")</f>
        <v>1.5860883469918048</v>
      </c>
      <c r="AL12" s="307">
        <v>8</v>
      </c>
      <c r="AM12" s="304">
        <f>Plant_BD[[#This Row],[Lost PoA(kWh/m2)]]*Plant_BD[[#This Row],[DC Capacity Affected (kW)]]*_xlfn.XLOOKUP(Plant_BD[[#This Row],[Month Year]],'Modelling New'!$D:$D,'Modelling New'!$O:$O)</f>
        <v>9460.6942868165206</v>
      </c>
      <c r="AN12" s="307"/>
      <c r="AO12" s="307"/>
      <c r="AP12" s="309"/>
    </row>
    <row r="13" spans="1:42">
      <c r="A13" s="290">
        <f t="shared" si="0"/>
        <v>12</v>
      </c>
      <c r="B13" s="291">
        <v>45764</v>
      </c>
      <c r="C13" s="292">
        <f>YEAR(Plant_BD[[#This Row],[Date]])+IF(MONTH(Plant_BD[[#This Row],[Date]])&gt;=4,1,0)</f>
        <v>2026</v>
      </c>
      <c r="D13" s="292">
        <f>YEAR(Plant_BD[[#This Row],[Date]])</f>
        <v>2025</v>
      </c>
      <c r="E13" s="293" t="s">
        <v>213</v>
      </c>
      <c r="F13" s="293" t="s">
        <v>213</v>
      </c>
      <c r="G13" s="294">
        <f>Plant_BD[[#This Row],[Date]]-DAY(Plant_BD[[#This Row],[Date]])+1</f>
        <v>45748</v>
      </c>
      <c r="H13" s="279">
        <f>DAY(EOMONTH(Plant_BD[[#This Row],[Month Year]],0))</f>
        <v>30</v>
      </c>
      <c r="I13" s="295">
        <f>_xlfn.XLOOKUP(Plant_BD[[#This Row],[Date]],'Raw Data'!$G:$G,'Raw Data'!$I:$I)</f>
        <v>0.2638888888888889</v>
      </c>
      <c r="J13" s="295">
        <f>_xlfn.XLOOKUP(Plant_BD[[#This Row],[Date]],'Raw Data'!$G:$G,'Raw Data'!$J:$J)</f>
        <v>0.76388888888888884</v>
      </c>
      <c r="K13" s="296">
        <f>IFERROR((Plant_BD[[#This Row],[Sunset Time (POA&lt;20 W/m2)]]-Plant_BD[[#This Row],[Sunrise Time (POA&gt;20 W/m2)]])*24,"")</f>
        <v>11.999999999999998</v>
      </c>
      <c r="L13" s="296"/>
      <c r="M13" s="296"/>
      <c r="N13" s="296"/>
      <c r="O13" s="296"/>
      <c r="P13" s="296"/>
      <c r="Q13" s="296"/>
      <c r="R13" s="296"/>
      <c r="S13" s="296"/>
      <c r="T13" s="297" t="s">
        <v>184</v>
      </c>
      <c r="U13" s="298">
        <f>IFERROR(_xlfn.XLOOKUP(Plant_BD[[#This Row],[Affected Equipment]],'Basic Data'!$A:$A,'Basic Data'!$B:$B),"")</f>
        <v>1669.29</v>
      </c>
      <c r="V13" s="299">
        <f>IFERROR(_xlfn.XLOOKUP(Plant_BD[[#This Row],[Affected Equipment]],'Basic Data'!$A:$A,'Basic Data'!$C:$C),"")</f>
        <v>0.15888466919848093</v>
      </c>
      <c r="W13" s="300" t="s">
        <v>184</v>
      </c>
      <c r="X13" s="300" t="s">
        <v>435</v>
      </c>
      <c r="Y13" s="301" t="s">
        <v>438</v>
      </c>
      <c r="Z13" s="302" t="s">
        <v>438</v>
      </c>
      <c r="AA13" s="303">
        <v>0.37361111111111112</v>
      </c>
      <c r="AB13" s="303">
        <v>0.37361111111111112</v>
      </c>
      <c r="AC13" s="303">
        <v>0.37361111111111112</v>
      </c>
      <c r="AD13" s="303">
        <v>0.38750000000000001</v>
      </c>
      <c r="AE13" s="304">
        <f>IF(Plant_BD[[#This Row],[Acknowledgement Time ]]="NA","",(Plant_BD[[#This Row],[Acknowledgement Time ]]-Plant_BD[[#This Row],[Fault Time]])*24)</f>
        <v>0</v>
      </c>
      <c r="AF13" s="304">
        <f>IF(Plant_BD[[#This Row],[Work Start time on Fault]]="NA","",(Plant_BD[[#This Row],[Work Start time on Fault]]-Plant_BD[[#This Row],[Fault Time]])*24)</f>
        <v>0</v>
      </c>
      <c r="AG13" s="305">
        <f>(Plant_BD[[#This Row],[Work Completion time on fault]]-Plant_BD[[#This Row],[Fault Time]])*24</f>
        <v>0.33333333333333348</v>
      </c>
      <c r="AH13" s="305">
        <f>IFERROR((Plant_BD[[#This Row],[Work Completion time on fault]]-Plant_BD[[#This Row],[Fault Time]])*24,"")</f>
        <v>0.33333333333333348</v>
      </c>
      <c r="AI13" s="306" t="s">
        <v>726</v>
      </c>
      <c r="AJ13" s="307" t="s">
        <v>266</v>
      </c>
      <c r="AK13" s="308">
        <f>IFERROR(Plant_BD[[#This Row],[Breakdown Time]]*Plant_BD[[#This Row],[Plant Equivalent Weightage]],"")</f>
        <v>5.2961556399493667E-2</v>
      </c>
      <c r="AL13" s="307">
        <v>0.2</v>
      </c>
      <c r="AM13" s="304">
        <f>Plant_BD[[#This Row],[Lost PoA(kWh/m2)]]*Plant_BD[[#This Row],[DC Capacity Affected (kW)]]*_xlfn.XLOOKUP(Plant_BD[[#This Row],[Month Year]],'Modelling New'!$D:$D,'Modelling New'!$O:$O)</f>
        <v>221.13343591479804</v>
      </c>
      <c r="AN13" s="307"/>
      <c r="AO13" s="307"/>
      <c r="AP13" s="309"/>
    </row>
    <row r="14" spans="1:42">
      <c r="A14" s="290">
        <f t="shared" si="0"/>
        <v>13</v>
      </c>
      <c r="B14" s="291">
        <v>45768</v>
      </c>
      <c r="C14" s="292">
        <f>YEAR(Plant_BD[[#This Row],[Date]])+IF(MONTH(Plant_BD[[#This Row],[Date]])&gt;=4,1,0)</f>
        <v>2026</v>
      </c>
      <c r="D14" s="292">
        <f>YEAR(Plant_BD[[#This Row],[Date]])</f>
        <v>2025</v>
      </c>
      <c r="E14" s="293" t="s">
        <v>213</v>
      </c>
      <c r="F14" s="293" t="s">
        <v>213</v>
      </c>
      <c r="G14" s="294">
        <f>Plant_BD[[#This Row],[Date]]-DAY(Plant_BD[[#This Row],[Date]])+1</f>
        <v>45748</v>
      </c>
      <c r="H14" s="279">
        <f>DAY(EOMONTH(Plant_BD[[#This Row],[Month Year]],0))</f>
        <v>30</v>
      </c>
      <c r="I14" s="295">
        <f>_xlfn.XLOOKUP(Plant_BD[[#This Row],[Date]],'Raw Data'!$G:$G,'Raw Data'!$I:$I)</f>
        <v>0.26319444444444445</v>
      </c>
      <c r="J14" s="295">
        <f>_xlfn.XLOOKUP(Plant_BD[[#This Row],[Date]],'Raw Data'!$G:$G,'Raw Data'!$J:$J)</f>
        <v>0.76666666666666672</v>
      </c>
      <c r="K14" s="296">
        <f>IFERROR((Plant_BD[[#This Row],[Sunset Time (POA&lt;20 W/m2)]]-Plant_BD[[#This Row],[Sunrise Time (POA&gt;20 W/m2)]])*24,"")</f>
        <v>12.083333333333336</v>
      </c>
      <c r="L14" s="296"/>
      <c r="M14" s="296"/>
      <c r="N14" s="296"/>
      <c r="O14" s="296"/>
      <c r="P14" s="296"/>
      <c r="Q14" s="296"/>
      <c r="R14" s="296"/>
      <c r="S14" s="296"/>
      <c r="T14" s="297" t="s">
        <v>187</v>
      </c>
      <c r="U14" s="298">
        <f>IFERROR(_xlfn.XLOOKUP(Plant_BD[[#This Row],[Affected Equipment]],'Basic Data'!$A:$A,'Basic Data'!$B:$B),"")</f>
        <v>1785.42</v>
      </c>
      <c r="V14" s="299">
        <f>IFERROR(_xlfn.XLOOKUP(Plant_BD[[#This Row],[Affected Equipment]],'Basic Data'!$A:$A,'Basic Data'!$C:$C),"")</f>
        <v>0.1699380371776934</v>
      </c>
      <c r="W14" s="300" t="s">
        <v>187</v>
      </c>
      <c r="X14" s="300" t="s">
        <v>435</v>
      </c>
      <c r="Y14" s="301" t="s">
        <v>438</v>
      </c>
      <c r="Z14" s="302" t="s">
        <v>438</v>
      </c>
      <c r="AA14" s="303">
        <v>0.44791666666666669</v>
      </c>
      <c r="AB14" s="303">
        <v>0.44791666666666669</v>
      </c>
      <c r="AC14" s="303">
        <v>0.44791666666666669</v>
      </c>
      <c r="AD14" s="303">
        <v>0.6333333333333333</v>
      </c>
      <c r="AE14" s="304">
        <f>IF(Plant_BD[[#This Row],[Acknowledgement Time ]]="NA","",(Plant_BD[[#This Row],[Acknowledgement Time ]]-Plant_BD[[#This Row],[Fault Time]])*24)</f>
        <v>0</v>
      </c>
      <c r="AF14" s="304">
        <f>IF(Plant_BD[[#This Row],[Work Start time on Fault]]="NA","",(Plant_BD[[#This Row],[Work Start time on Fault]]-Plant_BD[[#This Row],[Fault Time]])*24)</f>
        <v>0</v>
      </c>
      <c r="AG14" s="305">
        <f>(Plant_BD[[#This Row],[Work Completion time on fault]]-Plant_BD[[#This Row],[Fault Time]])*24</f>
        <v>4.4499999999999993</v>
      </c>
      <c r="AH14" s="305">
        <f>IFERROR((Plant_BD[[#This Row],[Work Completion time on fault]]-Plant_BD[[#This Row],[Fault Time]])*24,"")</f>
        <v>4.4499999999999993</v>
      </c>
      <c r="AI14" s="306" t="s">
        <v>897</v>
      </c>
      <c r="AJ14" s="307" t="s">
        <v>266</v>
      </c>
      <c r="AK14" s="308">
        <f>IFERROR(Plant_BD[[#This Row],[Breakdown Time]]*Plant_BD[[#This Row],[Plant Equivalent Weightage]],"")</f>
        <v>0.75622426544073551</v>
      </c>
      <c r="AL14" s="307">
        <v>5.34</v>
      </c>
      <c r="AM14" s="304">
        <f>Plant_BD[[#This Row],[Lost PoA(kWh/m2)]]*Plant_BD[[#This Row],[DC Capacity Affected (kW)]]*_xlfn.XLOOKUP(Plant_BD[[#This Row],[Month Year]],'Modelling New'!$D:$D,'Modelling New'!$O:$O)</f>
        <v>6315.0134364500273</v>
      </c>
      <c r="AN14" s="307"/>
      <c r="AO14" s="307"/>
      <c r="AP14" s="309"/>
    </row>
    <row r="15" spans="1:42">
      <c r="A15" s="290">
        <f t="shared" si="0"/>
        <v>14</v>
      </c>
      <c r="B15" s="291">
        <v>45773</v>
      </c>
      <c r="C15" s="292">
        <f>YEAR(Plant_BD[[#This Row],[Date]])+IF(MONTH(Plant_BD[[#This Row],[Date]])&gt;=4,1,0)</f>
        <v>2026</v>
      </c>
      <c r="D15" s="292">
        <f>YEAR(Plant_BD[[#This Row],[Date]])</f>
        <v>2025</v>
      </c>
      <c r="E15" s="293" t="s">
        <v>213</v>
      </c>
      <c r="F15" s="293" t="s">
        <v>213</v>
      </c>
      <c r="G15" s="294">
        <f>Plant_BD[[#This Row],[Date]]-DAY(Plant_BD[[#This Row],[Date]])+1</f>
        <v>45748</v>
      </c>
      <c r="H15" s="279">
        <f>DAY(EOMONTH(Plant_BD[[#This Row],[Month Year]],0))</f>
        <v>30</v>
      </c>
      <c r="I15" s="295">
        <f>_xlfn.XLOOKUP(Plant_BD[[#This Row],[Date]],'Raw Data'!$G:$G,'Raw Data'!$I:$I)</f>
        <v>0.25624999999999998</v>
      </c>
      <c r="J15" s="295">
        <f>_xlfn.XLOOKUP(Plant_BD[[#This Row],[Date]],'Raw Data'!$G:$G,'Raw Data'!$J:$J)</f>
        <v>0.76666666666666672</v>
      </c>
      <c r="K15" s="296">
        <f>IFERROR((Plant_BD[[#This Row],[Sunset Time (POA&lt;20 W/m2)]]-Plant_BD[[#This Row],[Sunrise Time (POA&gt;20 W/m2)]])*24,"")</f>
        <v>12.250000000000002</v>
      </c>
      <c r="L15" s="296"/>
      <c r="M15" s="296"/>
      <c r="N15" s="296"/>
      <c r="O15" s="296"/>
      <c r="P15" s="296"/>
      <c r="Q15" s="296"/>
      <c r="R15" s="296"/>
      <c r="S15" s="296"/>
      <c r="T15" s="297" t="s">
        <v>184</v>
      </c>
      <c r="U15" s="298">
        <f>IFERROR(_xlfn.XLOOKUP(Plant_BD[[#This Row],[Affected Equipment]],'Basic Data'!$A:$A,'Basic Data'!$B:$B),"")</f>
        <v>1669.29</v>
      </c>
      <c r="V15" s="299">
        <f>IFERROR(_xlfn.XLOOKUP(Plant_BD[[#This Row],[Affected Equipment]],'Basic Data'!$A:$A,'Basic Data'!$C:$C),"")</f>
        <v>0.15888466919848093</v>
      </c>
      <c r="W15" s="300" t="s">
        <v>184</v>
      </c>
      <c r="X15" s="300" t="s">
        <v>435</v>
      </c>
      <c r="Y15" s="301" t="s">
        <v>438</v>
      </c>
      <c r="Z15" s="302" t="s">
        <v>438</v>
      </c>
      <c r="AA15" s="303">
        <v>0.41180555555555554</v>
      </c>
      <c r="AB15" s="303">
        <v>0.41180555555555554</v>
      </c>
      <c r="AC15" s="303">
        <v>0.41180555555555554</v>
      </c>
      <c r="AD15" s="303">
        <v>0.41875000000000001</v>
      </c>
      <c r="AE15" s="304">
        <f>IF(Plant_BD[[#This Row],[Acknowledgement Time ]]="NA","",(Plant_BD[[#This Row],[Acknowledgement Time ]]-Plant_BD[[#This Row],[Fault Time]])*24)</f>
        <v>0</v>
      </c>
      <c r="AF15" s="304">
        <f>IF(Plant_BD[[#This Row],[Work Start time on Fault]]="NA","",(Plant_BD[[#This Row],[Work Start time on Fault]]-Plant_BD[[#This Row],[Fault Time]])*24)</f>
        <v>0</v>
      </c>
      <c r="AG15" s="305">
        <f>(Plant_BD[[#This Row],[Work Completion time on fault]]-Plant_BD[[#This Row],[Fault Time]])*24</f>
        <v>0.16666666666666741</v>
      </c>
      <c r="AH15" s="305">
        <f>IFERROR((Plant_BD[[#This Row],[Work Completion time on fault]]-Plant_BD[[#This Row],[Fault Time]])*24,"")</f>
        <v>0.16666666666666741</v>
      </c>
      <c r="AI15" s="306" t="s">
        <v>726</v>
      </c>
      <c r="AJ15" s="307" t="s">
        <v>266</v>
      </c>
      <c r="AK15" s="308">
        <f>IFERROR(Plant_BD[[#This Row],[Breakdown Time]]*Plant_BD[[#This Row],[Plant Equivalent Weightage]],"")</f>
        <v>2.6480778199746941E-2</v>
      </c>
      <c r="AL15" s="307">
        <v>0.16</v>
      </c>
      <c r="AM15" s="304">
        <f>Plant_BD[[#This Row],[Lost PoA(kWh/m2)]]*Plant_BD[[#This Row],[DC Capacity Affected (kW)]]*_xlfn.XLOOKUP(Plant_BD[[#This Row],[Month Year]],'Modelling New'!$D:$D,'Modelling New'!$O:$O)</f>
        <v>176.90674873183846</v>
      </c>
      <c r="AN15" s="307"/>
      <c r="AO15" s="307"/>
      <c r="AP15" s="309"/>
    </row>
    <row r="16" spans="1:42">
      <c r="A16" s="290">
        <f t="shared" si="0"/>
        <v>15</v>
      </c>
      <c r="B16" s="291">
        <v>45788</v>
      </c>
      <c r="C16" s="292">
        <f>YEAR(Plant_BD[[#This Row],[Date]])+IF(MONTH(Plant_BD[[#This Row],[Date]])&gt;=4,1,0)</f>
        <v>2026</v>
      </c>
      <c r="D16" s="292">
        <f>YEAR(Plant_BD[[#This Row],[Date]])</f>
        <v>2025</v>
      </c>
      <c r="E16" s="293" t="s">
        <v>213</v>
      </c>
      <c r="F16" s="293" t="s">
        <v>213</v>
      </c>
      <c r="G16" s="294">
        <f>Plant_BD[[#This Row],[Date]]-DAY(Plant_BD[[#This Row],[Date]])+1</f>
        <v>45778</v>
      </c>
      <c r="H16" s="279">
        <f>DAY(EOMONTH(Plant_BD[[#This Row],[Month Year]],0))</f>
        <v>31</v>
      </c>
      <c r="I16" s="295">
        <f>_xlfn.XLOOKUP(Plant_BD[[#This Row],[Date]],'Raw Data'!$G:$G,'Raw Data'!$I:$I)</f>
        <v>0.25347222222222221</v>
      </c>
      <c r="J16" s="295">
        <f>_xlfn.XLOOKUP(Plant_BD[[#This Row],[Date]],'Raw Data'!$G:$G,'Raw Data'!$J:$J)</f>
        <v>0.7729166666666667</v>
      </c>
      <c r="K16" s="296">
        <f>IFERROR((Plant_BD[[#This Row],[Sunset Time (POA&lt;20 W/m2)]]-Plant_BD[[#This Row],[Sunrise Time (POA&gt;20 W/m2)]])*24,"")</f>
        <v>12.466666666666669</v>
      </c>
      <c r="L16" s="296"/>
      <c r="M16" s="296"/>
      <c r="N16" s="296"/>
      <c r="O16" s="296"/>
      <c r="P16" s="296"/>
      <c r="Q16" s="296"/>
      <c r="R16" s="296"/>
      <c r="S16" s="296"/>
      <c r="T16" s="297" t="s">
        <v>184</v>
      </c>
      <c r="U16" s="298">
        <f>IFERROR(_xlfn.XLOOKUP(Plant_BD[[#This Row],[Affected Equipment]],'Basic Data'!$A:$A,'Basic Data'!$B:$B),"")</f>
        <v>1669.29</v>
      </c>
      <c r="V16" s="299">
        <f>IFERROR(_xlfn.XLOOKUP(Plant_BD[[#This Row],[Affected Equipment]],'Basic Data'!$A:$A,'Basic Data'!$C:$C),"")</f>
        <v>0.15888466919848093</v>
      </c>
      <c r="W16" s="300" t="s">
        <v>184</v>
      </c>
      <c r="X16" s="300" t="s">
        <v>435</v>
      </c>
      <c r="Y16" s="301" t="s">
        <v>438</v>
      </c>
      <c r="Z16" s="302" t="s">
        <v>438</v>
      </c>
      <c r="AA16" s="303">
        <v>0.38541666666666669</v>
      </c>
      <c r="AB16" s="303">
        <v>0.38541666666666669</v>
      </c>
      <c r="AC16" s="303">
        <v>0.38541666666666669</v>
      </c>
      <c r="AD16" s="303">
        <v>0.40416666666666667</v>
      </c>
      <c r="AE16" s="304">
        <f>IF(Plant_BD[[#This Row],[Acknowledgement Time ]]="NA","",(Plant_BD[[#This Row],[Acknowledgement Time ]]-Plant_BD[[#This Row],[Fault Time]])*24)</f>
        <v>0</v>
      </c>
      <c r="AF16" s="304">
        <f>IF(Plant_BD[[#This Row],[Work Start time on Fault]]="NA","",(Plant_BD[[#This Row],[Work Start time on Fault]]-Plant_BD[[#This Row],[Fault Time]])*24)</f>
        <v>0</v>
      </c>
      <c r="AG16" s="305">
        <f>(Plant_BD[[#This Row],[Work Completion time on fault]]-Plant_BD[[#This Row],[Fault Time]])*24</f>
        <v>0.44999999999999973</v>
      </c>
      <c r="AH16" s="305">
        <f>IFERROR((Plant_BD[[#This Row],[Work Completion time on fault]]-Plant_BD[[#This Row],[Fault Time]])*24,"")</f>
        <v>0.44999999999999973</v>
      </c>
      <c r="AI16" s="306" t="s">
        <v>726</v>
      </c>
      <c r="AJ16" s="307" t="s">
        <v>266</v>
      </c>
      <c r="AK16" s="308">
        <f>IFERROR(Plant_BD[[#This Row],[Breakdown Time]]*Plant_BD[[#This Row],[Plant Equivalent Weightage]],"")</f>
        <v>7.1498101139316372E-2</v>
      </c>
      <c r="AL16" s="307">
        <v>0.35</v>
      </c>
      <c r="AM16" s="304">
        <f>Plant_BD[[#This Row],[Lost PoA(kWh/m2)]]*Plant_BD[[#This Row],[DC Capacity Affected (kW)]]*_xlfn.XLOOKUP(Plant_BD[[#This Row],[Month Year]],'Modelling New'!$D:$D,'Modelling New'!$O:$O)</f>
        <v>406.17023428987807</v>
      </c>
      <c r="AN16" s="307"/>
      <c r="AO16" s="307"/>
      <c r="AP16" s="309"/>
    </row>
    <row r="17" spans="1:42">
      <c r="A17" s="290">
        <f t="shared" si="0"/>
        <v>16</v>
      </c>
      <c r="B17" s="291">
        <v>45789</v>
      </c>
      <c r="C17" s="292">
        <f>YEAR(Plant_BD[[#This Row],[Date]])+IF(MONTH(Plant_BD[[#This Row],[Date]])&gt;=4,1,0)</f>
        <v>2026</v>
      </c>
      <c r="D17" s="292">
        <f>YEAR(Plant_BD[[#This Row],[Date]])</f>
        <v>2025</v>
      </c>
      <c r="E17" s="293" t="s">
        <v>213</v>
      </c>
      <c r="F17" s="293" t="s">
        <v>213</v>
      </c>
      <c r="G17" s="294">
        <f>Plant_BD[[#This Row],[Date]]-DAY(Plant_BD[[#This Row],[Date]])+1</f>
        <v>45778</v>
      </c>
      <c r="H17" s="279">
        <f>DAY(EOMONTH(Plant_BD[[#This Row],[Month Year]],0))</f>
        <v>31</v>
      </c>
      <c r="I17" s="295">
        <f>_xlfn.XLOOKUP(Plant_BD[[#This Row],[Date]],'Raw Data'!$G:$G,'Raw Data'!$I:$I)</f>
        <v>0.25138888888888888</v>
      </c>
      <c r="J17" s="295">
        <f>_xlfn.XLOOKUP(Plant_BD[[#This Row],[Date]],'Raw Data'!$G:$G,'Raw Data'!$J:$J)</f>
        <v>0.76180555555555551</v>
      </c>
      <c r="K17" s="296">
        <f>IFERROR((Plant_BD[[#This Row],[Sunset Time (POA&lt;20 W/m2)]]-Plant_BD[[#This Row],[Sunrise Time (POA&gt;20 W/m2)]])*24,"")</f>
        <v>12.25</v>
      </c>
      <c r="L17" s="296"/>
      <c r="M17" s="296"/>
      <c r="N17" s="296"/>
      <c r="O17" s="296"/>
      <c r="P17" s="296"/>
      <c r="Q17" s="296"/>
      <c r="R17" s="296"/>
      <c r="S17" s="296"/>
      <c r="T17" s="297" t="s">
        <v>184</v>
      </c>
      <c r="U17" s="298">
        <f>IFERROR(_xlfn.XLOOKUP(Plant_BD[[#This Row],[Affected Equipment]],'Basic Data'!$A:$A,'Basic Data'!$B:$B),"")</f>
        <v>1669.29</v>
      </c>
      <c r="V17" s="299">
        <f>IFERROR(_xlfn.XLOOKUP(Plant_BD[[#This Row],[Affected Equipment]],'Basic Data'!$A:$A,'Basic Data'!$C:$C),"")</f>
        <v>0.15888466919848093</v>
      </c>
      <c r="W17" s="300" t="s">
        <v>184</v>
      </c>
      <c r="X17" s="300" t="s">
        <v>435</v>
      </c>
      <c r="Y17" s="301" t="s">
        <v>438</v>
      </c>
      <c r="Z17" s="302" t="s">
        <v>438</v>
      </c>
      <c r="AA17" s="303">
        <v>0.49652777777777779</v>
      </c>
      <c r="AB17" s="303">
        <v>0.49652777777777779</v>
      </c>
      <c r="AC17" s="303">
        <v>0.49652777777777779</v>
      </c>
      <c r="AD17" s="303">
        <v>0.50138888888888888</v>
      </c>
      <c r="AE17" s="304">
        <f>IF(Plant_BD[[#This Row],[Acknowledgement Time ]]="NA","",(Plant_BD[[#This Row],[Acknowledgement Time ]]-Plant_BD[[#This Row],[Fault Time]])*24)</f>
        <v>0</v>
      </c>
      <c r="AF17" s="304">
        <f>IF(Plant_BD[[#This Row],[Work Start time on Fault]]="NA","",(Plant_BD[[#This Row],[Work Start time on Fault]]-Plant_BD[[#This Row],[Fault Time]])*24)</f>
        <v>0</v>
      </c>
      <c r="AG17" s="305">
        <f>(Plant_BD[[#This Row],[Work Completion time on fault]]-Plant_BD[[#This Row],[Fault Time]])*24</f>
        <v>0.11666666666666625</v>
      </c>
      <c r="AH17" s="305">
        <f>IFERROR((Plant_BD[[#This Row],[Work Completion time on fault]]-Plant_BD[[#This Row],[Fault Time]])*24,"")</f>
        <v>0.11666666666666625</v>
      </c>
      <c r="AI17" s="306" t="s">
        <v>726</v>
      </c>
      <c r="AJ17" s="307" t="s">
        <v>266</v>
      </c>
      <c r="AK17" s="308">
        <f>IFERROR(Plant_BD[[#This Row],[Breakdown Time]]*Plant_BD[[#This Row],[Plant Equivalent Weightage]],"")</f>
        <v>1.8536544739822709E-2</v>
      </c>
      <c r="AL17" s="307">
        <v>0.13239999999999952</v>
      </c>
      <c r="AM17" s="304">
        <f>Plant_BD[[#This Row],[Lost PoA(kWh/m2)]]*Plant_BD[[#This Row],[DC Capacity Affected (kW)]]*_xlfn.XLOOKUP(Plant_BD[[#This Row],[Month Year]],'Modelling New'!$D:$D,'Modelling New'!$O:$O)</f>
        <v>153.64839719994191</v>
      </c>
      <c r="AN17" s="307"/>
      <c r="AO17" s="307"/>
      <c r="AP17" s="309"/>
    </row>
    <row r="18" spans="1:42">
      <c r="A18" s="290">
        <f t="shared" si="0"/>
        <v>17</v>
      </c>
      <c r="B18" s="291">
        <v>45791</v>
      </c>
      <c r="C18" s="292">
        <f>YEAR(Plant_BD[[#This Row],[Date]])+IF(MONTH(Plant_BD[[#This Row],[Date]])&gt;=4,1,0)</f>
        <v>2026</v>
      </c>
      <c r="D18" s="292">
        <f>YEAR(Plant_BD[[#This Row],[Date]])</f>
        <v>2025</v>
      </c>
      <c r="E18" s="293" t="s">
        <v>213</v>
      </c>
      <c r="F18" s="293" t="s">
        <v>213</v>
      </c>
      <c r="G18" s="294">
        <f>Plant_BD[[#This Row],[Date]]-DAY(Plant_BD[[#This Row],[Date]])+1</f>
        <v>45778</v>
      </c>
      <c r="H18" s="279">
        <f>DAY(EOMONTH(Plant_BD[[#This Row],[Month Year]],0))</f>
        <v>31</v>
      </c>
      <c r="I18" s="295">
        <f>_xlfn.XLOOKUP(Plant_BD[[#This Row],[Date]],'Raw Data'!$G:$G,'Raw Data'!$I:$I)</f>
        <v>0.25208333333333333</v>
      </c>
      <c r="J18" s="295">
        <f>_xlfn.XLOOKUP(Plant_BD[[#This Row],[Date]],'Raw Data'!$G:$G,'Raw Data'!$J:$J)</f>
        <v>0.77222222222222225</v>
      </c>
      <c r="K18" s="296">
        <f>IFERROR((Plant_BD[[#This Row],[Sunset Time (POA&lt;20 W/m2)]]-Plant_BD[[#This Row],[Sunrise Time (POA&gt;20 W/m2)]])*24,"")</f>
        <v>12.483333333333334</v>
      </c>
      <c r="L18" s="296"/>
      <c r="M18" s="296"/>
      <c r="N18" s="296"/>
      <c r="O18" s="296"/>
      <c r="P18" s="296"/>
      <c r="Q18" s="296"/>
      <c r="R18" s="296"/>
      <c r="S18" s="296"/>
      <c r="T18" s="297" t="s">
        <v>184</v>
      </c>
      <c r="U18" s="298">
        <f>IFERROR(_xlfn.XLOOKUP(Plant_BD[[#This Row],[Affected Equipment]],'Basic Data'!$A:$A,'Basic Data'!$B:$B),"")</f>
        <v>1669.29</v>
      </c>
      <c r="V18" s="299">
        <f>IFERROR(_xlfn.XLOOKUP(Plant_BD[[#This Row],[Affected Equipment]],'Basic Data'!$A:$A,'Basic Data'!$C:$C),"")</f>
        <v>0.15888466919848093</v>
      </c>
      <c r="W18" s="300" t="s">
        <v>184</v>
      </c>
      <c r="X18" s="300" t="s">
        <v>435</v>
      </c>
      <c r="Y18" s="301" t="s">
        <v>438</v>
      </c>
      <c r="Z18" s="302" t="s">
        <v>438</v>
      </c>
      <c r="AA18" s="303">
        <v>0.53055555555555556</v>
      </c>
      <c r="AB18" s="303">
        <v>0.53055555555555556</v>
      </c>
      <c r="AC18" s="303">
        <v>0.53055555555555556</v>
      </c>
      <c r="AD18" s="303">
        <v>0.53749999999999998</v>
      </c>
      <c r="AE18" s="304">
        <f>IF(Plant_BD[[#This Row],[Acknowledgement Time ]]="NA","",(Plant_BD[[#This Row],[Acknowledgement Time ]]-Plant_BD[[#This Row],[Fault Time]])*24)</f>
        <v>0</v>
      </c>
      <c r="AF18" s="304">
        <f>IF(Plant_BD[[#This Row],[Work Start time on Fault]]="NA","",(Plant_BD[[#This Row],[Work Start time on Fault]]-Plant_BD[[#This Row],[Fault Time]])*24)</f>
        <v>0</v>
      </c>
      <c r="AG18" s="305">
        <f>(Plant_BD[[#This Row],[Work Completion time on fault]]-Plant_BD[[#This Row],[Fault Time]])*24</f>
        <v>0.16666666666666607</v>
      </c>
      <c r="AH18" s="305">
        <f>IFERROR((Plant_BD[[#This Row],[Work Completion time on fault]]-Plant_BD[[#This Row],[Fault Time]])*24,"")</f>
        <v>0.16666666666666607</v>
      </c>
      <c r="AI18" s="306" t="s">
        <v>726</v>
      </c>
      <c r="AJ18" s="307" t="s">
        <v>266</v>
      </c>
      <c r="AK18" s="308">
        <f>IFERROR(Plant_BD[[#This Row],[Breakdown Time]]*Plant_BD[[#This Row],[Plant Equivalent Weightage]],"")</f>
        <v>2.648077819974673E-2</v>
      </c>
      <c r="AL18" s="307">
        <v>0.12299999999999957</v>
      </c>
      <c r="AM18" s="304">
        <f>Plant_BD[[#This Row],[Lost PoA(kWh/m2)]]*Plant_BD[[#This Row],[DC Capacity Affected (kW)]]*_xlfn.XLOOKUP(Plant_BD[[#This Row],[Month Year]],'Modelling New'!$D:$D,'Modelling New'!$O:$O)</f>
        <v>142.73982519329951</v>
      </c>
      <c r="AN18" s="307"/>
      <c r="AO18" s="307"/>
      <c r="AP18" s="309"/>
    </row>
    <row r="19" spans="1:42">
      <c r="A19" s="290">
        <f t="shared" si="0"/>
        <v>18</v>
      </c>
      <c r="B19" s="291">
        <v>45793</v>
      </c>
      <c r="C19" s="292">
        <f>YEAR(Plant_BD[[#This Row],[Date]])+IF(MONTH(Plant_BD[[#This Row],[Date]])&gt;=4,1,0)</f>
        <v>2026</v>
      </c>
      <c r="D19" s="292">
        <f>YEAR(Plant_BD[[#This Row],[Date]])</f>
        <v>2025</v>
      </c>
      <c r="E19" s="293" t="s">
        <v>213</v>
      </c>
      <c r="F19" s="293" t="s">
        <v>213</v>
      </c>
      <c r="G19" s="294">
        <f>Plant_BD[[#This Row],[Date]]-DAY(Plant_BD[[#This Row],[Date]])+1</f>
        <v>45778</v>
      </c>
      <c r="H19" s="279">
        <f>DAY(EOMONTH(Plant_BD[[#This Row],[Month Year]],0))</f>
        <v>31</v>
      </c>
      <c r="I19" s="295">
        <f>_xlfn.XLOOKUP(Plant_BD[[#This Row],[Date]],'Raw Data'!$G:$G,'Raw Data'!$I:$I)</f>
        <v>0.25347222222222221</v>
      </c>
      <c r="J19" s="295">
        <f>_xlfn.XLOOKUP(Plant_BD[[#This Row],[Date]],'Raw Data'!$G:$G,'Raw Data'!$J:$J)</f>
        <v>0.77152777777777781</v>
      </c>
      <c r="K19" s="296">
        <f>IFERROR((Plant_BD[[#This Row],[Sunset Time (POA&lt;20 W/m2)]]-Plant_BD[[#This Row],[Sunrise Time (POA&gt;20 W/m2)]])*24,"")</f>
        <v>12.433333333333334</v>
      </c>
      <c r="L19" s="296"/>
      <c r="M19" s="296"/>
      <c r="N19" s="296"/>
      <c r="O19" s="296"/>
      <c r="P19" s="296"/>
      <c r="Q19" s="296"/>
      <c r="R19" s="296"/>
      <c r="S19" s="296"/>
      <c r="T19" s="297" t="s">
        <v>184</v>
      </c>
      <c r="U19" s="298">
        <f>IFERROR(_xlfn.XLOOKUP(Plant_BD[[#This Row],[Affected Equipment]],'Basic Data'!$A:$A,'Basic Data'!$B:$B),"")</f>
        <v>1669.29</v>
      </c>
      <c r="V19" s="299">
        <f>IFERROR(_xlfn.XLOOKUP(Plant_BD[[#This Row],[Affected Equipment]],'Basic Data'!$A:$A,'Basic Data'!$C:$C),"")</f>
        <v>0.15888466919848093</v>
      </c>
      <c r="W19" s="300" t="s">
        <v>184</v>
      </c>
      <c r="X19" s="300" t="s">
        <v>435</v>
      </c>
      <c r="Y19" s="301" t="s">
        <v>438</v>
      </c>
      <c r="Z19" s="302" t="s">
        <v>438</v>
      </c>
      <c r="AA19" s="303">
        <v>0.53541666666666665</v>
      </c>
      <c r="AB19" s="303">
        <v>0.53541666666666665</v>
      </c>
      <c r="AC19" s="303">
        <v>0.53541666666666665</v>
      </c>
      <c r="AD19" s="303">
        <v>0.5444444444444444</v>
      </c>
      <c r="AE19" s="304">
        <f>IF(Plant_BD[[#This Row],[Acknowledgement Time ]]="NA","",(Plant_BD[[#This Row],[Acknowledgement Time ]]-Plant_BD[[#This Row],[Fault Time]])*24)</f>
        <v>0</v>
      </c>
      <c r="AF19" s="304">
        <f>IF(Plant_BD[[#This Row],[Work Start time on Fault]]="NA","",(Plant_BD[[#This Row],[Work Start time on Fault]]-Plant_BD[[#This Row],[Fault Time]])*24)</f>
        <v>0</v>
      </c>
      <c r="AG19" s="305">
        <f>(Plant_BD[[#This Row],[Work Completion time on fault]]-Plant_BD[[#This Row],[Fault Time]])*24</f>
        <v>0.2166666666666659</v>
      </c>
      <c r="AH19" s="305">
        <f>IFERROR((Plant_BD[[#This Row],[Work Completion time on fault]]-Plant_BD[[#This Row],[Fault Time]])*24,"")</f>
        <v>0.2166666666666659</v>
      </c>
      <c r="AI19" s="306" t="s">
        <v>726</v>
      </c>
      <c r="AJ19" s="307" t="s">
        <v>266</v>
      </c>
      <c r="AK19" s="308">
        <f>IFERROR(Plant_BD[[#This Row],[Breakdown Time]]*Plant_BD[[#This Row],[Plant Equivalent Weightage]],"")</f>
        <v>3.4425011659670747E-2</v>
      </c>
      <c r="AL19" s="307">
        <v>7.0416666666666419E-2</v>
      </c>
      <c r="AM19" s="304">
        <f>Plant_BD[[#This Row],[Lost PoA(kWh/m2)]]*Plant_BD[[#This Row],[DC Capacity Affected (kW)]]*_xlfn.XLOOKUP(Plant_BD[[#This Row],[Month Year]],'Modelling New'!$D:$D,'Modelling New'!$O:$O)</f>
        <v>81.717582851177568</v>
      </c>
      <c r="AN19" s="307"/>
      <c r="AO19" s="307"/>
      <c r="AP19" s="309"/>
    </row>
    <row r="20" spans="1:42">
      <c r="A20" s="290">
        <f t="shared" si="0"/>
        <v>19</v>
      </c>
      <c r="B20" s="291">
        <v>45793</v>
      </c>
      <c r="C20" s="292">
        <f>YEAR(Plant_BD[[#This Row],[Date]])+IF(MONTH(Plant_BD[[#This Row],[Date]])&gt;=4,1,0)</f>
        <v>2026</v>
      </c>
      <c r="D20" s="292">
        <f>YEAR(Plant_BD[[#This Row],[Date]])</f>
        <v>2025</v>
      </c>
      <c r="E20" s="293" t="s">
        <v>213</v>
      </c>
      <c r="F20" s="293" t="s">
        <v>213</v>
      </c>
      <c r="G20" s="294">
        <f>Plant_BD[[#This Row],[Date]]-DAY(Plant_BD[[#This Row],[Date]])+1</f>
        <v>45778</v>
      </c>
      <c r="H20" s="279">
        <f>DAY(EOMONTH(Plant_BD[[#This Row],[Month Year]],0))</f>
        <v>31</v>
      </c>
      <c r="I20" s="295">
        <f>_xlfn.XLOOKUP(Plant_BD[[#This Row],[Date]],'Raw Data'!$G:$G,'Raw Data'!$I:$I)</f>
        <v>0.25347222222222221</v>
      </c>
      <c r="J20" s="295">
        <f>_xlfn.XLOOKUP(Plant_BD[[#This Row],[Date]],'Raw Data'!$G:$G,'Raw Data'!$J:$J)</f>
        <v>0.77152777777777781</v>
      </c>
      <c r="K20" s="296">
        <f>IFERROR((Plant_BD[[#This Row],[Sunset Time (POA&lt;20 W/m2)]]-Plant_BD[[#This Row],[Sunrise Time (POA&gt;20 W/m2)]])*24,"")</f>
        <v>12.433333333333334</v>
      </c>
      <c r="L20" s="296"/>
      <c r="M20" s="296"/>
      <c r="N20" s="296"/>
      <c r="O20" s="296"/>
      <c r="P20" s="296"/>
      <c r="Q20" s="296"/>
      <c r="R20" s="296"/>
      <c r="S20" s="296"/>
      <c r="T20" s="297" t="s">
        <v>184</v>
      </c>
      <c r="U20" s="298">
        <f>IFERROR(_xlfn.XLOOKUP(Plant_BD[[#This Row],[Affected Equipment]],'Basic Data'!$A:$A,'Basic Data'!$B:$B),"")</f>
        <v>1669.29</v>
      </c>
      <c r="V20" s="299">
        <f>IFERROR(_xlfn.XLOOKUP(Plant_BD[[#This Row],[Affected Equipment]],'Basic Data'!$A:$A,'Basic Data'!$C:$C),"")</f>
        <v>0.15888466919848093</v>
      </c>
      <c r="W20" s="300" t="s">
        <v>184</v>
      </c>
      <c r="X20" s="300" t="s">
        <v>435</v>
      </c>
      <c r="Y20" s="301" t="s">
        <v>438</v>
      </c>
      <c r="Z20" s="302" t="s">
        <v>438</v>
      </c>
      <c r="AA20" s="303">
        <v>0.59861111111111109</v>
      </c>
      <c r="AB20" s="303">
        <v>0.59861111111111109</v>
      </c>
      <c r="AC20" s="303">
        <v>0.59861111111111109</v>
      </c>
      <c r="AD20" s="303">
        <v>0.60486111111111107</v>
      </c>
      <c r="AE20" s="304">
        <f>IF(Plant_BD[[#This Row],[Acknowledgement Time ]]="NA","",(Plant_BD[[#This Row],[Acknowledgement Time ]]-Plant_BD[[#This Row],[Fault Time]])*24)</f>
        <v>0</v>
      </c>
      <c r="AF20" s="304">
        <f>IF(Plant_BD[[#This Row],[Work Start time on Fault]]="NA","",(Plant_BD[[#This Row],[Work Start time on Fault]]-Plant_BD[[#This Row],[Fault Time]])*24)</f>
        <v>0</v>
      </c>
      <c r="AG20" s="305">
        <f>(Plant_BD[[#This Row],[Work Completion time on fault]]-Plant_BD[[#This Row],[Fault Time]])*24</f>
        <v>0.14999999999999947</v>
      </c>
      <c r="AH20" s="305">
        <f>IFERROR((Plant_BD[[#This Row],[Work Completion time on fault]]-Plant_BD[[#This Row],[Fault Time]])*24,"")</f>
        <v>0.14999999999999947</v>
      </c>
      <c r="AI20" s="306" t="s">
        <v>726</v>
      </c>
      <c r="AJ20" s="307" t="s">
        <v>266</v>
      </c>
      <c r="AK20" s="308">
        <f>IFERROR(Plant_BD[[#This Row],[Breakdown Time]]*Plant_BD[[#This Row],[Plant Equivalent Weightage]],"")</f>
        <v>2.3832700379772056E-2</v>
      </c>
      <c r="AL20" s="307">
        <v>0.09</v>
      </c>
      <c r="AM20" s="304">
        <f>Plant_BD[[#This Row],[Lost PoA(kWh/m2)]]*Plant_BD[[#This Row],[DC Capacity Affected (kW)]]*_xlfn.XLOOKUP(Plant_BD[[#This Row],[Month Year]],'Modelling New'!$D:$D,'Modelling New'!$O:$O)</f>
        <v>104.44377453168293</v>
      </c>
      <c r="AN20" s="307"/>
      <c r="AO20" s="307"/>
      <c r="AP20" s="309"/>
    </row>
    <row r="21" spans="1:42">
      <c r="A21" s="290">
        <f t="shared" si="0"/>
        <v>20</v>
      </c>
      <c r="B21" s="291">
        <v>45795</v>
      </c>
      <c r="C21" s="292">
        <f>YEAR(Plant_BD[[#This Row],[Date]])+IF(MONTH(Plant_BD[[#This Row],[Date]])&gt;=4,1,0)</f>
        <v>2026</v>
      </c>
      <c r="D21" s="292">
        <f>YEAR(Plant_BD[[#This Row],[Date]])</f>
        <v>2025</v>
      </c>
      <c r="E21" s="293" t="s">
        <v>213</v>
      </c>
      <c r="F21" s="293" t="s">
        <v>213</v>
      </c>
      <c r="G21" s="294">
        <f>Plant_BD[[#This Row],[Date]]-DAY(Plant_BD[[#This Row],[Date]])+1</f>
        <v>45778</v>
      </c>
      <c r="H21" s="279">
        <f>DAY(EOMONTH(Plant_BD[[#This Row],[Month Year]],0))</f>
        <v>31</v>
      </c>
      <c r="I21" s="295">
        <f>_xlfn.XLOOKUP(Plant_BD[[#This Row],[Date]],'Raw Data'!$G:$G,'Raw Data'!$I:$I)</f>
        <v>0.2590277777777778</v>
      </c>
      <c r="J21" s="295">
        <f>_xlfn.XLOOKUP(Plant_BD[[#This Row],[Date]],'Raw Data'!$G:$G,'Raw Data'!$J:$J)</f>
        <v>0.7729166666666667</v>
      </c>
      <c r="K21" s="296">
        <f>IFERROR((Plant_BD[[#This Row],[Sunset Time (POA&lt;20 W/m2)]]-Plant_BD[[#This Row],[Sunrise Time (POA&gt;20 W/m2)]])*24,"")</f>
        <v>12.333333333333332</v>
      </c>
      <c r="L21" s="296"/>
      <c r="M21" s="296"/>
      <c r="N21" s="296"/>
      <c r="O21" s="296"/>
      <c r="P21" s="296"/>
      <c r="Q21" s="296"/>
      <c r="R21" s="296"/>
      <c r="S21" s="296"/>
      <c r="T21" s="297" t="s">
        <v>184</v>
      </c>
      <c r="U21" s="298">
        <f>IFERROR(_xlfn.XLOOKUP(Plant_BD[[#This Row],[Affected Equipment]],'Basic Data'!$A:$A,'Basic Data'!$B:$B),"")</f>
        <v>1669.29</v>
      </c>
      <c r="V21" s="299">
        <f>IFERROR(_xlfn.XLOOKUP(Plant_BD[[#This Row],[Affected Equipment]],'Basic Data'!$A:$A,'Basic Data'!$C:$C),"")</f>
        <v>0.15888466919848093</v>
      </c>
      <c r="W21" s="300" t="s">
        <v>184</v>
      </c>
      <c r="X21" s="300" t="s">
        <v>435</v>
      </c>
      <c r="Y21" s="301" t="s">
        <v>438</v>
      </c>
      <c r="Z21" s="302" t="s">
        <v>438</v>
      </c>
      <c r="AA21" s="303">
        <v>0.48819444444444443</v>
      </c>
      <c r="AB21" s="303">
        <v>0.48819444444444443</v>
      </c>
      <c r="AC21" s="303">
        <v>0.48819444444444443</v>
      </c>
      <c r="AD21" s="303">
        <v>0.51736111111111116</v>
      </c>
      <c r="AE21" s="304">
        <f>IF(Plant_BD[[#This Row],[Acknowledgement Time ]]="NA","",(Plant_BD[[#This Row],[Acknowledgement Time ]]-Plant_BD[[#This Row],[Fault Time]])*24)</f>
        <v>0</v>
      </c>
      <c r="AF21" s="304">
        <f>IF(Plant_BD[[#This Row],[Work Start time on Fault]]="NA","",(Plant_BD[[#This Row],[Work Start time on Fault]]-Plant_BD[[#This Row],[Fault Time]])*24)</f>
        <v>0</v>
      </c>
      <c r="AG21" s="305">
        <f>(Plant_BD[[#This Row],[Work Completion time on fault]]-Plant_BD[[#This Row],[Fault Time]])*24</f>
        <v>0.70000000000000151</v>
      </c>
      <c r="AH21" s="305">
        <f>IFERROR((Plant_BD[[#This Row],[Work Completion time on fault]]-Plant_BD[[#This Row],[Fault Time]])*24,"")</f>
        <v>0.70000000000000151</v>
      </c>
      <c r="AI21" s="306" t="s">
        <v>726</v>
      </c>
      <c r="AJ21" s="307" t="s">
        <v>266</v>
      </c>
      <c r="AK21" s="308">
        <f>IFERROR(Plant_BD[[#This Row],[Breakdown Time]]*Plant_BD[[#This Row],[Plant Equivalent Weightage]],"")</f>
        <v>0.1112192684389369</v>
      </c>
      <c r="AL21" s="307">
        <v>0.7</v>
      </c>
      <c r="AM21" s="304">
        <f>Plant_BD[[#This Row],[Lost PoA(kWh/m2)]]*Plant_BD[[#This Row],[DC Capacity Affected (kW)]]*_xlfn.XLOOKUP(Plant_BD[[#This Row],[Month Year]],'Modelling New'!$D:$D,'Modelling New'!$O:$O)</f>
        <v>812.34046857975613</v>
      </c>
      <c r="AN21" s="307"/>
      <c r="AO21" s="307"/>
      <c r="AP21" s="309"/>
    </row>
    <row r="22" spans="1:42">
      <c r="A22" s="290">
        <f t="shared" si="0"/>
        <v>21</v>
      </c>
      <c r="B22" s="291">
        <v>45800</v>
      </c>
      <c r="C22" s="292">
        <f>YEAR(Plant_BD[[#This Row],[Date]])+IF(MONTH(Plant_BD[[#This Row],[Date]])&gt;=4,1,0)</f>
        <v>2026</v>
      </c>
      <c r="D22" s="292">
        <f>YEAR(Plant_BD[[#This Row],[Date]])</f>
        <v>2025</v>
      </c>
      <c r="E22" s="293" t="s">
        <v>213</v>
      </c>
      <c r="F22" s="293" t="s">
        <v>213</v>
      </c>
      <c r="G22" s="294">
        <f>Plant_BD[[#This Row],[Date]]-DAY(Plant_BD[[#This Row],[Date]])+1</f>
        <v>45778</v>
      </c>
      <c r="H22" s="279">
        <f>DAY(EOMONTH(Plant_BD[[#This Row],[Month Year]],0))</f>
        <v>31</v>
      </c>
      <c r="I22" s="295">
        <f>_xlfn.XLOOKUP(Plant_BD[[#This Row],[Date]],'Raw Data'!$G:$G,'Raw Data'!$I:$I)</f>
        <v>0.25277777777777777</v>
      </c>
      <c r="J22" s="295">
        <f>_xlfn.XLOOKUP(Plant_BD[[#This Row],[Date]],'Raw Data'!$G:$G,'Raw Data'!$J:$J)</f>
        <v>0.77569444444444446</v>
      </c>
      <c r="K22" s="296">
        <f>IFERROR((Plant_BD[[#This Row],[Sunset Time (POA&lt;20 W/m2)]]-Plant_BD[[#This Row],[Sunrise Time (POA&gt;20 W/m2)]])*24,"")</f>
        <v>12.55</v>
      </c>
      <c r="L22" s="296"/>
      <c r="M22" s="296"/>
      <c r="N22" s="296"/>
      <c r="O22" s="296"/>
      <c r="P22" s="296"/>
      <c r="Q22" s="296"/>
      <c r="R22" s="296"/>
      <c r="S22" s="296"/>
      <c r="T22" s="297" t="s">
        <v>185</v>
      </c>
      <c r="U22" s="298">
        <f>IFERROR(_xlfn.XLOOKUP(Plant_BD[[#This Row],[Affected Equipment]],'Basic Data'!$A:$A,'Basic Data'!$B:$B),"")</f>
        <v>1833.3</v>
      </c>
      <c r="V22" s="299">
        <f>IFERROR(_xlfn.XLOOKUP(Plant_BD[[#This Row],[Affected Equipment]],'Basic Data'!$A:$A,'Basic Data'!$C:$C),"")</f>
        <v>0.17449530281830902</v>
      </c>
      <c r="W22" s="300" t="s">
        <v>185</v>
      </c>
      <c r="X22" s="300" t="s">
        <v>435</v>
      </c>
      <c r="Y22" s="301" t="s">
        <v>725</v>
      </c>
      <c r="Z22" s="302" t="s">
        <v>725</v>
      </c>
      <c r="AA22" s="303">
        <v>0.49791666666666667</v>
      </c>
      <c r="AB22" s="303">
        <v>0.49791666666666667</v>
      </c>
      <c r="AC22" s="303">
        <v>0.49791666666666667</v>
      </c>
      <c r="AD22" s="303">
        <v>0.50763888888888886</v>
      </c>
      <c r="AE22" s="304">
        <f>IF(Plant_BD[[#This Row],[Acknowledgement Time ]]="NA","",(Plant_BD[[#This Row],[Acknowledgement Time ]]-Plant_BD[[#This Row],[Fault Time]])*24)</f>
        <v>0</v>
      </c>
      <c r="AF22" s="304">
        <f>IF(Plant_BD[[#This Row],[Work Start time on Fault]]="NA","",(Plant_BD[[#This Row],[Work Start time on Fault]]-Plant_BD[[#This Row],[Fault Time]])*24)</f>
        <v>0</v>
      </c>
      <c r="AG22" s="305">
        <f>(Plant_BD[[#This Row],[Work Completion time on fault]]-Plant_BD[[#This Row],[Fault Time]])*24</f>
        <v>0.2333333333333325</v>
      </c>
      <c r="AH22" s="305">
        <f>IFERROR((Plant_BD[[#This Row],[Work Completion time on fault]]-Plant_BD[[#This Row],[Fault Time]])*24,"")</f>
        <v>0.2333333333333325</v>
      </c>
      <c r="AI22" s="306" t="s">
        <v>726</v>
      </c>
      <c r="AJ22" s="307" t="s">
        <v>266</v>
      </c>
      <c r="AK22" s="308">
        <f>IFERROR(Plant_BD[[#This Row],[Breakdown Time]]*Plant_BD[[#This Row],[Plant Equivalent Weightage]],"")</f>
        <v>4.0715570657605296E-2</v>
      </c>
      <c r="AL22" s="307">
        <v>0.12</v>
      </c>
      <c r="AM22" s="304">
        <f>Plant_BD[[#This Row],[Lost PoA(kWh/m2)]]*Plant_BD[[#This Row],[DC Capacity Affected (kW)]]*_xlfn.XLOOKUP(Plant_BD[[#This Row],[Month Year]],'Modelling New'!$D:$D,'Modelling New'!$O:$O)</f>
        <v>152.94068883492127</v>
      </c>
      <c r="AN22" s="307"/>
      <c r="AO22" s="307"/>
      <c r="AP22" s="309"/>
    </row>
    <row r="23" spans="1:42">
      <c r="A23" s="290">
        <f t="shared" si="0"/>
        <v>22</v>
      </c>
      <c r="B23" s="291">
        <v>45801</v>
      </c>
      <c r="C23" s="292">
        <f>YEAR(Plant_BD[[#This Row],[Date]])+IF(MONTH(Plant_BD[[#This Row],[Date]])&gt;=4,1,0)</f>
        <v>2026</v>
      </c>
      <c r="D23" s="292">
        <f>YEAR(Plant_BD[[#This Row],[Date]])</f>
        <v>2025</v>
      </c>
      <c r="E23" s="293" t="s">
        <v>213</v>
      </c>
      <c r="F23" s="293" t="s">
        <v>213</v>
      </c>
      <c r="G23" s="294">
        <f>Plant_BD[[#This Row],[Date]]-DAY(Plant_BD[[#This Row],[Date]])+1</f>
        <v>45778</v>
      </c>
      <c r="H23" s="279">
        <f>DAY(EOMONTH(Plant_BD[[#This Row],[Month Year]],0))</f>
        <v>31</v>
      </c>
      <c r="I23" s="295">
        <f>_xlfn.XLOOKUP(Plant_BD[[#This Row],[Date]],'Raw Data'!$G:$G,'Raw Data'!$I:$I)</f>
        <v>0.25277777777777777</v>
      </c>
      <c r="J23" s="295">
        <f>_xlfn.XLOOKUP(Plant_BD[[#This Row],[Date]],'Raw Data'!$G:$G,'Raw Data'!$J:$J)</f>
        <v>0.76388888888888884</v>
      </c>
      <c r="K23" s="296">
        <f>IFERROR((Plant_BD[[#This Row],[Sunset Time (POA&lt;20 W/m2)]]-Plant_BD[[#This Row],[Sunrise Time (POA&gt;20 W/m2)]])*24,"")</f>
        <v>12.266666666666666</v>
      </c>
      <c r="L23" s="296"/>
      <c r="M23" s="296"/>
      <c r="N23" s="296"/>
      <c r="O23" s="296"/>
      <c r="P23" s="296"/>
      <c r="Q23" s="296"/>
      <c r="R23" s="296"/>
      <c r="S23" s="296"/>
      <c r="T23" s="297" t="s">
        <v>187</v>
      </c>
      <c r="U23" s="298">
        <f>IFERROR(_xlfn.XLOOKUP(Plant_BD[[#This Row],[Affected Equipment]],'Basic Data'!$A:$A,'Basic Data'!$B:$B),"")</f>
        <v>1785.42</v>
      </c>
      <c r="V23" s="299">
        <f>IFERROR(_xlfn.XLOOKUP(Plant_BD[[#This Row],[Affected Equipment]],'Basic Data'!$A:$A,'Basic Data'!$C:$C),"")</f>
        <v>0.1699380371776934</v>
      </c>
      <c r="W23" s="300" t="s">
        <v>187</v>
      </c>
      <c r="X23" s="300" t="s">
        <v>435</v>
      </c>
      <c r="Y23" s="301" t="s">
        <v>724</v>
      </c>
      <c r="Z23" s="302" t="s">
        <v>724</v>
      </c>
      <c r="AA23" s="303">
        <v>0.45347222222222222</v>
      </c>
      <c r="AB23" s="303">
        <v>0.45347222222222222</v>
      </c>
      <c r="AC23" s="303">
        <v>0.45347222222222222</v>
      </c>
      <c r="AD23" s="303">
        <v>0.76388888888888884</v>
      </c>
      <c r="AE23" s="304">
        <f>IF(Plant_BD[[#This Row],[Acknowledgement Time ]]="NA","",(Plant_BD[[#This Row],[Acknowledgement Time ]]-Plant_BD[[#This Row],[Fault Time]])*24)</f>
        <v>0</v>
      </c>
      <c r="AF23" s="304">
        <f>IF(Plant_BD[[#This Row],[Work Start time on Fault]]="NA","",(Plant_BD[[#This Row],[Work Start time on Fault]]-Plant_BD[[#This Row],[Fault Time]])*24)</f>
        <v>0</v>
      </c>
      <c r="AG23" s="305">
        <f>(Plant_BD[[#This Row],[Work Completion time on fault]]-Plant_BD[[#This Row],[Fault Time]])*24</f>
        <v>7.4499999999999993</v>
      </c>
      <c r="AH23" s="305">
        <f>IFERROR((Plant_BD[[#This Row],[Work Completion time on fault]]-Plant_BD[[#This Row],[Fault Time]])*24,"")</f>
        <v>7.4499999999999993</v>
      </c>
      <c r="AI23" s="306" t="s">
        <v>1616</v>
      </c>
      <c r="AJ23" s="307" t="s">
        <v>266</v>
      </c>
      <c r="AK23" s="308">
        <f>IFERROR(Plant_BD[[#This Row],[Breakdown Time]]*Plant_BD[[#This Row],[Plant Equivalent Weightage]],"")</f>
        <v>1.2660383769738157</v>
      </c>
      <c r="AL23" s="307">
        <v>3.24</v>
      </c>
      <c r="AM23" s="304">
        <f>Plant_BD[[#This Row],[Lost PoA(kWh/m2)]]*Plant_BD[[#This Row],[DC Capacity Affected (kW)]]*_xlfn.XLOOKUP(Plant_BD[[#This Row],[Month Year]],'Modelling New'!$D:$D,'Modelling New'!$O:$O)</f>
        <v>4021.5517622922716</v>
      </c>
      <c r="AN23" s="307"/>
      <c r="AO23" s="307"/>
      <c r="AP23" s="309"/>
    </row>
    <row r="24" spans="1:42">
      <c r="A24" s="290">
        <f t="shared" si="0"/>
        <v>23</v>
      </c>
      <c r="B24" s="291">
        <v>45802</v>
      </c>
      <c r="C24" s="292">
        <f>YEAR(Plant_BD[[#This Row],[Date]])+IF(MONTH(Plant_BD[[#This Row],[Date]])&gt;=4,1,0)</f>
        <v>2026</v>
      </c>
      <c r="D24" s="292">
        <f>YEAR(Plant_BD[[#This Row],[Date]])</f>
        <v>2025</v>
      </c>
      <c r="E24" s="293" t="s">
        <v>213</v>
      </c>
      <c r="F24" s="293" t="s">
        <v>213</v>
      </c>
      <c r="G24" s="294">
        <f>Plant_BD[[#This Row],[Date]]-DAY(Plant_BD[[#This Row],[Date]])+1</f>
        <v>45778</v>
      </c>
      <c r="H24" s="279">
        <f>DAY(EOMONTH(Plant_BD[[#This Row],[Month Year]],0))</f>
        <v>31</v>
      </c>
      <c r="I24" s="295">
        <f>_xlfn.XLOOKUP(Plant_BD[[#This Row],[Date]],'Raw Data'!$G:$G,'Raw Data'!$I:$I)</f>
        <v>0.25833333333333336</v>
      </c>
      <c r="J24" s="295">
        <f>_xlfn.XLOOKUP(Plant_BD[[#This Row],[Date]],'Raw Data'!$G:$G,'Raw Data'!$J:$J)</f>
        <v>0.77222222222222225</v>
      </c>
      <c r="K24" s="296">
        <f>IFERROR((Plant_BD[[#This Row],[Sunset Time (POA&lt;20 W/m2)]]-Plant_BD[[#This Row],[Sunrise Time (POA&gt;20 W/m2)]])*24,"")</f>
        <v>12.333333333333332</v>
      </c>
      <c r="L24" s="296"/>
      <c r="M24" s="296"/>
      <c r="N24" s="296"/>
      <c r="O24" s="296"/>
      <c r="P24" s="296"/>
      <c r="Q24" s="296"/>
      <c r="R24" s="296"/>
      <c r="S24" s="296"/>
      <c r="T24" s="297" t="s">
        <v>185</v>
      </c>
      <c r="U24" s="298">
        <f>IFERROR(_xlfn.XLOOKUP(Plant_BD[[#This Row],[Affected Equipment]],'Basic Data'!$A:$A,'Basic Data'!$B:$B),"")</f>
        <v>1833.3</v>
      </c>
      <c r="V24" s="299">
        <f>IFERROR(_xlfn.XLOOKUP(Plant_BD[[#This Row],[Affected Equipment]],'Basic Data'!$A:$A,'Basic Data'!$C:$C),"")</f>
        <v>0.17449530281830902</v>
      </c>
      <c r="W24" s="300" t="s">
        <v>185</v>
      </c>
      <c r="X24" s="300" t="s">
        <v>435</v>
      </c>
      <c r="Y24" s="301" t="s">
        <v>725</v>
      </c>
      <c r="Z24" s="302" t="s">
        <v>725</v>
      </c>
      <c r="AA24" s="303">
        <v>0.51944444444444449</v>
      </c>
      <c r="AB24" s="303">
        <v>0.51944444444444449</v>
      </c>
      <c r="AC24" s="303">
        <v>0.51944444444444449</v>
      </c>
      <c r="AD24" s="303">
        <v>0.52986111111111112</v>
      </c>
      <c r="AE24" s="304">
        <f>IF(Plant_BD[[#This Row],[Acknowledgement Time ]]="NA","",(Plant_BD[[#This Row],[Acknowledgement Time ]]-Plant_BD[[#This Row],[Fault Time]])*24)</f>
        <v>0</v>
      </c>
      <c r="AF24" s="304">
        <f>IF(Plant_BD[[#This Row],[Work Start time on Fault]]="NA","",(Plant_BD[[#This Row],[Work Start time on Fault]]-Plant_BD[[#This Row],[Fault Time]])*24)</f>
        <v>0</v>
      </c>
      <c r="AG24" s="305">
        <f>(Plant_BD[[#This Row],[Work Completion time on fault]]-Plant_BD[[#This Row],[Fault Time]])*24</f>
        <v>0.24999999999999911</v>
      </c>
      <c r="AH24" s="305">
        <f>IFERROR((Plant_BD[[#This Row],[Work Completion time on fault]]-Plant_BD[[#This Row],[Fault Time]])*24,"")</f>
        <v>0.24999999999999911</v>
      </c>
      <c r="AI24" s="306" t="s">
        <v>726</v>
      </c>
      <c r="AJ24" s="307" t="s">
        <v>266</v>
      </c>
      <c r="AK24" s="308">
        <f>IFERROR(Plant_BD[[#This Row],[Breakdown Time]]*Plant_BD[[#This Row],[Plant Equivalent Weightage]],"")</f>
        <v>4.3623825704577103E-2</v>
      </c>
      <c r="AL24" s="307">
        <v>0.23</v>
      </c>
      <c r="AM24" s="304">
        <f>Plant_BD[[#This Row],[Lost PoA(kWh/m2)]]*Plant_BD[[#This Row],[DC Capacity Affected (kW)]]*_xlfn.XLOOKUP(Plant_BD[[#This Row],[Month Year]],'Modelling New'!$D:$D,'Modelling New'!$O:$O)</f>
        <v>293.1363202669325</v>
      </c>
      <c r="AN24" s="307"/>
      <c r="AO24" s="307"/>
      <c r="AP24" s="309"/>
    </row>
    <row r="25" spans="1:42">
      <c r="A25" s="290">
        <f t="shared" si="0"/>
        <v>24</v>
      </c>
      <c r="B25" s="291">
        <v>45803</v>
      </c>
      <c r="C25" s="292">
        <f>YEAR(Plant_BD[[#This Row],[Date]])+IF(MONTH(Plant_BD[[#This Row],[Date]])&gt;=4,1,0)</f>
        <v>2026</v>
      </c>
      <c r="D25" s="292">
        <f>YEAR(Plant_BD[[#This Row],[Date]])</f>
        <v>2025</v>
      </c>
      <c r="E25" s="293" t="s">
        <v>213</v>
      </c>
      <c r="F25" s="293" t="s">
        <v>213</v>
      </c>
      <c r="G25" s="294">
        <f>Plant_BD[[#This Row],[Date]]-DAY(Plant_BD[[#This Row],[Date]])+1</f>
        <v>45778</v>
      </c>
      <c r="H25" s="279">
        <f>DAY(EOMONTH(Plant_BD[[#This Row],[Month Year]],0))</f>
        <v>31</v>
      </c>
      <c r="I25" s="295">
        <f>_xlfn.XLOOKUP(Plant_BD[[#This Row],[Date]],'Raw Data'!$G:$G,'Raw Data'!$I:$I)</f>
        <v>0.25694444444444442</v>
      </c>
      <c r="J25" s="295">
        <f>_xlfn.XLOOKUP(Plant_BD[[#This Row],[Date]],'Raw Data'!$G:$G,'Raw Data'!$J:$J)</f>
        <v>0.77152777777777781</v>
      </c>
      <c r="K25" s="296">
        <f>IFERROR((Plant_BD[[#This Row],[Sunset Time (POA&lt;20 W/m2)]]-Plant_BD[[#This Row],[Sunrise Time (POA&gt;20 W/m2)]])*24,"")</f>
        <v>12.350000000000001</v>
      </c>
      <c r="L25" s="296"/>
      <c r="M25" s="296"/>
      <c r="N25" s="296"/>
      <c r="O25" s="296"/>
      <c r="P25" s="296"/>
      <c r="Q25" s="296"/>
      <c r="R25" s="296"/>
      <c r="S25" s="296"/>
      <c r="T25" s="297" t="s">
        <v>184</v>
      </c>
      <c r="U25" s="298">
        <f>IFERROR(_xlfn.XLOOKUP(Plant_BD[[#This Row],[Affected Equipment]],'Basic Data'!$A:$A,'Basic Data'!$B:$B),"")</f>
        <v>1669.29</v>
      </c>
      <c r="V25" s="299">
        <f>IFERROR(_xlfn.XLOOKUP(Plant_BD[[#This Row],[Affected Equipment]],'Basic Data'!$A:$A,'Basic Data'!$C:$C),"")</f>
        <v>0.15888466919848093</v>
      </c>
      <c r="W25" s="300" t="s">
        <v>184</v>
      </c>
      <c r="X25" s="300" t="s">
        <v>435</v>
      </c>
      <c r="Y25" s="301" t="s">
        <v>438</v>
      </c>
      <c r="Z25" s="302" t="s">
        <v>438</v>
      </c>
      <c r="AA25" s="303">
        <v>0.44583333333333336</v>
      </c>
      <c r="AB25" s="303">
        <v>0.44583333333333336</v>
      </c>
      <c r="AC25" s="303">
        <v>0.44583333333333336</v>
      </c>
      <c r="AD25" s="303">
        <v>0.4548611111111111</v>
      </c>
      <c r="AE25" s="304">
        <f>IF(Plant_BD[[#This Row],[Acknowledgement Time ]]="NA","",(Plant_BD[[#This Row],[Acknowledgement Time ]]-Plant_BD[[#This Row],[Fault Time]])*24)</f>
        <v>0</v>
      </c>
      <c r="AF25" s="304">
        <f>IF(Plant_BD[[#This Row],[Work Start time on Fault]]="NA","",(Plant_BD[[#This Row],[Work Start time on Fault]]-Plant_BD[[#This Row],[Fault Time]])*24)</f>
        <v>0</v>
      </c>
      <c r="AG25" s="305">
        <f>(Plant_BD[[#This Row],[Work Completion time on fault]]-Plant_BD[[#This Row],[Fault Time]])*24</f>
        <v>0.2166666666666659</v>
      </c>
      <c r="AH25" s="305">
        <f>IFERROR((Plant_BD[[#This Row],[Work Completion time on fault]]-Plant_BD[[#This Row],[Fault Time]])*24,"")</f>
        <v>0.2166666666666659</v>
      </c>
      <c r="AI25" s="306" t="s">
        <v>726</v>
      </c>
      <c r="AJ25" s="307" t="s">
        <v>266</v>
      </c>
      <c r="AK25" s="308">
        <f>IFERROR(Plant_BD[[#This Row],[Breakdown Time]]*Plant_BD[[#This Row],[Plant Equivalent Weightage]],"")</f>
        <v>3.4425011659670747E-2</v>
      </c>
      <c r="AL25" s="307">
        <v>7.0000000000000007E-2</v>
      </c>
      <c r="AM25" s="304">
        <f>Plant_BD[[#This Row],[Lost PoA(kWh/m2)]]*Plant_BD[[#This Row],[DC Capacity Affected (kW)]]*_xlfn.XLOOKUP(Plant_BD[[#This Row],[Month Year]],'Modelling New'!$D:$D,'Modelling New'!$O:$O)</f>
        <v>81.234046857975628</v>
      </c>
      <c r="AN25" s="307"/>
      <c r="AO25" s="307"/>
      <c r="AP25" s="309"/>
    </row>
    <row r="26" spans="1:42">
      <c r="A26" s="290">
        <f t="shared" si="0"/>
        <v>25</v>
      </c>
      <c r="B26" s="291">
        <v>45805</v>
      </c>
      <c r="C26" s="292">
        <f>YEAR(Plant_BD[[#This Row],[Date]])+IF(MONTH(Plant_BD[[#This Row],[Date]])&gt;=4,1,0)</f>
        <v>2026</v>
      </c>
      <c r="D26" s="292">
        <f>YEAR(Plant_BD[[#This Row],[Date]])</f>
        <v>2025</v>
      </c>
      <c r="E26" s="293" t="s">
        <v>213</v>
      </c>
      <c r="F26" s="293" t="s">
        <v>213</v>
      </c>
      <c r="G26" s="294">
        <f>Plant_BD[[#This Row],[Date]]-DAY(Plant_BD[[#This Row],[Date]])+1</f>
        <v>45778</v>
      </c>
      <c r="H26" s="279">
        <f>DAY(EOMONTH(Plant_BD[[#This Row],[Month Year]],0))</f>
        <v>31</v>
      </c>
      <c r="I26" s="295">
        <f>_xlfn.XLOOKUP(Plant_BD[[#This Row],[Date]],'Raw Data'!$G:$G,'Raw Data'!$I:$I)</f>
        <v>0.25416666666666665</v>
      </c>
      <c r="J26" s="295">
        <f>_xlfn.XLOOKUP(Plant_BD[[#This Row],[Date]],'Raw Data'!$G:$G,'Raw Data'!$J:$J)</f>
        <v>0.75486111111111109</v>
      </c>
      <c r="K26" s="296">
        <f>IFERROR((Plant_BD[[#This Row],[Sunset Time (POA&lt;20 W/m2)]]-Plant_BD[[#This Row],[Sunrise Time (POA&gt;20 W/m2)]])*24,"")</f>
        <v>12.016666666666666</v>
      </c>
      <c r="L26" s="296"/>
      <c r="M26" s="296"/>
      <c r="N26" s="296"/>
      <c r="O26" s="296"/>
      <c r="P26" s="296"/>
      <c r="Q26" s="296"/>
      <c r="R26" s="296"/>
      <c r="S26" s="296"/>
      <c r="T26" s="297" t="s">
        <v>185</v>
      </c>
      <c r="U26" s="298">
        <f>IFERROR(_xlfn.XLOOKUP(Plant_BD[[#This Row],[Affected Equipment]],'Basic Data'!$A:$A,'Basic Data'!$B:$B),"")</f>
        <v>1833.3</v>
      </c>
      <c r="V26" s="299">
        <f>IFERROR(_xlfn.XLOOKUP(Plant_BD[[#This Row],[Affected Equipment]],'Basic Data'!$A:$A,'Basic Data'!$C:$C),"")</f>
        <v>0.17449530281830902</v>
      </c>
      <c r="W26" s="300" t="s">
        <v>185</v>
      </c>
      <c r="X26" s="300" t="s">
        <v>435</v>
      </c>
      <c r="Y26" s="301" t="s">
        <v>725</v>
      </c>
      <c r="Z26" s="302" t="s">
        <v>725</v>
      </c>
      <c r="AA26" s="303">
        <v>0.49375000000000002</v>
      </c>
      <c r="AB26" s="303">
        <v>0.49375000000000002</v>
      </c>
      <c r="AC26" s="303">
        <v>0.49375000000000002</v>
      </c>
      <c r="AD26" s="303">
        <v>0.50069444444444444</v>
      </c>
      <c r="AE26" s="304">
        <f>IF(Plant_BD[[#This Row],[Acknowledgement Time ]]="NA","",(Plant_BD[[#This Row],[Acknowledgement Time ]]-Plant_BD[[#This Row],[Fault Time]])*24)</f>
        <v>0</v>
      </c>
      <c r="AF26" s="304">
        <f>IF(Plant_BD[[#This Row],[Work Start time on Fault]]="NA","",(Plant_BD[[#This Row],[Work Start time on Fault]]-Plant_BD[[#This Row],[Fault Time]])*24)</f>
        <v>0</v>
      </c>
      <c r="AG26" s="305">
        <f>(Plant_BD[[#This Row],[Work Completion time on fault]]-Plant_BD[[#This Row],[Fault Time]])*24</f>
        <v>0.16666666666666607</v>
      </c>
      <c r="AH26" s="305">
        <f>IFERROR((Plant_BD[[#This Row],[Work Completion time on fault]]-Plant_BD[[#This Row],[Fault Time]])*24,"")</f>
        <v>0.16666666666666607</v>
      </c>
      <c r="AI26" s="306" t="s">
        <v>726</v>
      </c>
      <c r="AJ26" s="307" t="s">
        <v>266</v>
      </c>
      <c r="AK26" s="308">
        <f>IFERROR(Plant_BD[[#This Row],[Breakdown Time]]*Plant_BD[[#This Row],[Plant Equivalent Weightage]],"")</f>
        <v>2.9082550469718069E-2</v>
      </c>
      <c r="AL26" s="307">
        <v>0.18</v>
      </c>
      <c r="AM26" s="304">
        <f>Plant_BD[[#This Row],[Lost PoA(kWh/m2)]]*Plant_BD[[#This Row],[DC Capacity Affected (kW)]]*_xlfn.XLOOKUP(Plant_BD[[#This Row],[Month Year]],'Modelling New'!$D:$D,'Modelling New'!$O:$O)</f>
        <v>229.41103325238194</v>
      </c>
      <c r="AN26" s="307"/>
      <c r="AO26" s="307"/>
      <c r="AP26" s="309"/>
    </row>
    <row r="27" spans="1:42">
      <c r="A27" s="290">
        <f t="shared" si="0"/>
        <v>26</v>
      </c>
      <c r="B27" s="291">
        <v>45811</v>
      </c>
      <c r="C27" s="292">
        <f>YEAR(Plant_BD[[#This Row],[Date]])+IF(MONTH(Plant_BD[[#This Row],[Date]])&gt;=4,1,0)</f>
        <v>2026</v>
      </c>
      <c r="D27" s="292">
        <f>YEAR(Plant_BD[[#This Row],[Date]])</f>
        <v>2025</v>
      </c>
      <c r="E27" s="293" t="s">
        <v>213</v>
      </c>
      <c r="F27" s="293" t="s">
        <v>213</v>
      </c>
      <c r="G27" s="294">
        <f>Plant_BD[[#This Row],[Date]]-DAY(Plant_BD[[#This Row],[Date]])+1</f>
        <v>45809</v>
      </c>
      <c r="H27" s="279">
        <f>DAY(EOMONTH(Plant_BD[[#This Row],[Month Year]],0))</f>
        <v>30</v>
      </c>
      <c r="I27" s="295">
        <f>_xlfn.XLOOKUP(Plant_BD[[#This Row],[Date]],'Raw Data'!$G:$G,'Raw Data'!$I:$I)</f>
        <v>0.25138888888888888</v>
      </c>
      <c r="J27" s="295">
        <f>_xlfn.XLOOKUP(Plant_BD[[#This Row],[Date]],'Raw Data'!$G:$G,'Raw Data'!$J:$J)</f>
        <v>0.77430555555555558</v>
      </c>
      <c r="K27" s="296">
        <f>IFERROR((Plant_BD[[#This Row],[Sunset Time (POA&lt;20 W/m2)]]-Plant_BD[[#This Row],[Sunrise Time (POA&gt;20 W/m2)]])*24,"")</f>
        <v>12.55</v>
      </c>
      <c r="L27" s="296"/>
      <c r="M27" s="296"/>
      <c r="N27" s="296"/>
      <c r="O27" s="296"/>
      <c r="P27" s="296"/>
      <c r="Q27" s="296"/>
      <c r="R27" s="296"/>
      <c r="S27" s="296"/>
      <c r="T27" s="297" t="s">
        <v>185</v>
      </c>
      <c r="U27" s="298">
        <f>IFERROR(_xlfn.XLOOKUP(Plant_BD[[#This Row],[Affected Equipment]],'Basic Data'!$A:$A,'Basic Data'!$B:$B),"")</f>
        <v>1833.3</v>
      </c>
      <c r="V27" s="299">
        <f>IFERROR(_xlfn.XLOOKUP(Plant_BD[[#This Row],[Affected Equipment]],'Basic Data'!$A:$A,'Basic Data'!$C:$C),"")</f>
        <v>0.17449530281830902</v>
      </c>
      <c r="W27" s="300" t="s">
        <v>185</v>
      </c>
      <c r="X27" s="300" t="s">
        <v>435</v>
      </c>
      <c r="Y27" s="301" t="s">
        <v>725</v>
      </c>
      <c r="Z27" s="302" t="s">
        <v>725</v>
      </c>
      <c r="AA27" s="303">
        <v>0.47152777777777777</v>
      </c>
      <c r="AB27" s="303">
        <v>0.47152777777777777</v>
      </c>
      <c r="AC27" s="303">
        <v>0.47152777777777777</v>
      </c>
      <c r="AD27" s="303">
        <v>0.48125000000000001</v>
      </c>
      <c r="AE27" s="304">
        <f>IF(Plant_BD[[#This Row],[Acknowledgement Time ]]="NA","",(Plant_BD[[#This Row],[Acknowledgement Time ]]-Plant_BD[[#This Row],[Fault Time]])*24)</f>
        <v>0</v>
      </c>
      <c r="AF27" s="304">
        <f>IF(Plant_BD[[#This Row],[Work Start time on Fault]]="NA","",(Plant_BD[[#This Row],[Work Start time on Fault]]-Plant_BD[[#This Row],[Fault Time]])*24)</f>
        <v>0</v>
      </c>
      <c r="AG27" s="305">
        <f>(Plant_BD[[#This Row],[Work Completion time on fault]]-Plant_BD[[#This Row],[Fault Time]])*24</f>
        <v>0.23333333333333384</v>
      </c>
      <c r="AH27" s="305">
        <f>IFERROR((Plant_BD[[#This Row],[Work Completion time on fault]]-Plant_BD[[#This Row],[Fault Time]])*24,"")</f>
        <v>0.23333333333333384</v>
      </c>
      <c r="AI27" s="306" t="s">
        <v>726</v>
      </c>
      <c r="AJ27" s="307" t="s">
        <v>266</v>
      </c>
      <c r="AK27" s="308">
        <f>IFERROR(Plant_BD[[#This Row],[Breakdown Time]]*Plant_BD[[#This Row],[Plant Equivalent Weightage]],"")</f>
        <v>4.0715570657605525E-2</v>
      </c>
      <c r="AL27" s="307">
        <v>0.15</v>
      </c>
      <c r="AM27" s="304">
        <f>Plant_BD[[#This Row],[Lost PoA(kWh/m2)]]*Plant_BD[[#This Row],[DC Capacity Affected (kW)]]*_xlfn.XLOOKUP(Plant_BD[[#This Row],[Month Year]],'Modelling New'!$D:$D,'Modelling New'!$O:$O)</f>
        <v>186.90189417503103</v>
      </c>
      <c r="AN27" s="307"/>
      <c r="AO27" s="307"/>
      <c r="AP27" s="309"/>
    </row>
    <row r="28" spans="1:42">
      <c r="A28" s="290">
        <f t="shared" si="0"/>
        <v>27</v>
      </c>
      <c r="B28" s="291">
        <v>45814</v>
      </c>
      <c r="C28" s="292">
        <f>YEAR(Plant_BD[[#This Row],[Date]])+IF(MONTH(Plant_BD[[#This Row],[Date]])&gt;=4,1,0)</f>
        <v>2026</v>
      </c>
      <c r="D28" s="292">
        <f>YEAR(Plant_BD[[#This Row],[Date]])</f>
        <v>2025</v>
      </c>
      <c r="E28" s="293" t="s">
        <v>213</v>
      </c>
      <c r="F28" s="293" t="s">
        <v>213</v>
      </c>
      <c r="G28" s="294">
        <f>Plant_BD[[#This Row],[Date]]-DAY(Plant_BD[[#This Row],[Date]])+1</f>
        <v>45809</v>
      </c>
      <c r="H28" s="279">
        <f>DAY(EOMONTH(Plant_BD[[#This Row],[Month Year]],0))</f>
        <v>30</v>
      </c>
      <c r="I28" s="295">
        <f>_xlfn.XLOOKUP(Plant_BD[[#This Row],[Date]],'Raw Data'!$G:$G,'Raw Data'!$I:$I)</f>
        <v>0.25069444444444444</v>
      </c>
      <c r="J28" s="295">
        <f>_xlfn.XLOOKUP(Plant_BD[[#This Row],[Date]],'Raw Data'!$G:$G,'Raw Data'!$J:$J)</f>
        <v>0.77638888888888891</v>
      </c>
      <c r="K28" s="296">
        <f>IFERROR((Plant_BD[[#This Row],[Sunset Time (POA&lt;20 W/m2)]]-Plant_BD[[#This Row],[Sunrise Time (POA&gt;20 W/m2)]])*24,"")</f>
        <v>12.616666666666667</v>
      </c>
      <c r="L28" s="296"/>
      <c r="M28" s="296"/>
      <c r="N28" s="296"/>
      <c r="O28" s="296"/>
      <c r="P28" s="296"/>
      <c r="Q28" s="296"/>
      <c r="R28" s="296"/>
      <c r="S28" s="296"/>
      <c r="T28" s="297" t="s">
        <v>184</v>
      </c>
      <c r="U28" s="298">
        <f>IFERROR(_xlfn.XLOOKUP(Plant_BD[[#This Row],[Affected Equipment]],'Basic Data'!$A:$A,'Basic Data'!$B:$B),"")</f>
        <v>1669.29</v>
      </c>
      <c r="V28" s="299">
        <f>IFERROR(_xlfn.XLOOKUP(Plant_BD[[#This Row],[Affected Equipment]],'Basic Data'!$A:$A,'Basic Data'!$C:$C),"")</f>
        <v>0.15888466919848093</v>
      </c>
      <c r="W28" s="300" t="s">
        <v>184</v>
      </c>
      <c r="X28" s="300" t="s">
        <v>435</v>
      </c>
      <c r="Y28" s="301" t="s">
        <v>438</v>
      </c>
      <c r="Z28" s="302" t="s">
        <v>438</v>
      </c>
      <c r="AA28" s="303">
        <v>0.62569444444444444</v>
      </c>
      <c r="AB28" s="303">
        <v>0.62569444444444444</v>
      </c>
      <c r="AC28" s="303">
        <v>0.62569444444444444</v>
      </c>
      <c r="AD28" s="303">
        <v>0.6381944444444444</v>
      </c>
      <c r="AE28" s="304">
        <f>IF(Plant_BD[[#This Row],[Acknowledgement Time ]]="NA","",(Plant_BD[[#This Row],[Acknowledgement Time ]]-Plant_BD[[#This Row],[Fault Time]])*24)</f>
        <v>0</v>
      </c>
      <c r="AF28" s="304">
        <f>IF(Plant_BD[[#This Row],[Work Start time on Fault]]="NA","",(Plant_BD[[#This Row],[Work Start time on Fault]]-Plant_BD[[#This Row],[Fault Time]])*24)</f>
        <v>0</v>
      </c>
      <c r="AG28" s="305">
        <f>(Plant_BD[[#This Row],[Work Completion time on fault]]-Plant_BD[[#This Row],[Fault Time]])*24</f>
        <v>0.29999999999999893</v>
      </c>
      <c r="AH28" s="305">
        <f>IFERROR((Plant_BD[[#This Row],[Work Completion time on fault]]-Plant_BD[[#This Row],[Fault Time]])*24,"")</f>
        <v>0.29999999999999893</v>
      </c>
      <c r="AI28" s="306" t="s">
        <v>726</v>
      </c>
      <c r="AJ28" s="307" t="s">
        <v>266</v>
      </c>
      <c r="AK28" s="308">
        <f>IFERROR(Plant_BD[[#This Row],[Breakdown Time]]*Plant_BD[[#This Row],[Plant Equivalent Weightage]],"")</f>
        <v>4.7665400759544112E-2</v>
      </c>
      <c r="AL28" s="307">
        <v>0.25</v>
      </c>
      <c r="AM28" s="304">
        <f>Plant_BD[[#This Row],[Lost PoA(kWh/m2)]]*Plant_BD[[#This Row],[DC Capacity Affected (kW)]]*_xlfn.XLOOKUP(Plant_BD[[#This Row],[Month Year]],'Modelling New'!$D:$D,'Modelling New'!$O:$O)</f>
        <v>283.63557785363145</v>
      </c>
      <c r="AN28" s="307"/>
      <c r="AO28" s="307"/>
      <c r="AP28" s="309"/>
    </row>
    <row r="29" spans="1:42">
      <c r="A29" s="290">
        <f t="shared" si="0"/>
        <v>28</v>
      </c>
      <c r="B29" s="291">
        <v>45815</v>
      </c>
      <c r="C29" s="292">
        <f>YEAR(Plant_BD[[#This Row],[Date]])+IF(MONTH(Plant_BD[[#This Row],[Date]])&gt;=4,1,0)</f>
        <v>2026</v>
      </c>
      <c r="D29" s="292">
        <f>YEAR(Plant_BD[[#This Row],[Date]])</f>
        <v>2025</v>
      </c>
      <c r="E29" s="293" t="s">
        <v>213</v>
      </c>
      <c r="F29" s="293" t="s">
        <v>213</v>
      </c>
      <c r="G29" s="294">
        <f>Plant_BD[[#This Row],[Date]]-DAY(Plant_BD[[#This Row],[Date]])+1</f>
        <v>45809</v>
      </c>
      <c r="H29" s="279">
        <f>DAY(EOMONTH(Plant_BD[[#This Row],[Month Year]],0))</f>
        <v>30</v>
      </c>
      <c r="I29" s="295">
        <f>_xlfn.XLOOKUP(Plant_BD[[#This Row],[Date]],'Raw Data'!$G:$G,'Raw Data'!$I:$I)</f>
        <v>0.25069444444444444</v>
      </c>
      <c r="J29" s="295">
        <f>_xlfn.XLOOKUP(Plant_BD[[#This Row],[Date]],'Raw Data'!$G:$G,'Raw Data'!$J:$J)</f>
        <v>0.77847222222222223</v>
      </c>
      <c r="K29" s="296">
        <f>IFERROR((Plant_BD[[#This Row],[Sunset Time (POA&lt;20 W/m2)]]-Plant_BD[[#This Row],[Sunrise Time (POA&gt;20 W/m2)]])*24,"")</f>
        <v>12.666666666666668</v>
      </c>
      <c r="L29" s="296"/>
      <c r="M29" s="296"/>
      <c r="N29" s="296"/>
      <c r="O29" s="296"/>
      <c r="P29" s="296"/>
      <c r="Q29" s="296"/>
      <c r="R29" s="296"/>
      <c r="S29" s="296"/>
      <c r="T29" s="297" t="s">
        <v>184</v>
      </c>
      <c r="U29" s="298">
        <f>IFERROR(_xlfn.XLOOKUP(Plant_BD[[#This Row],[Affected Equipment]],'Basic Data'!$A:$A,'Basic Data'!$B:$B),"")</f>
        <v>1669.29</v>
      </c>
      <c r="V29" s="299">
        <f>IFERROR(_xlfn.XLOOKUP(Plant_BD[[#This Row],[Affected Equipment]],'Basic Data'!$A:$A,'Basic Data'!$C:$C),"")</f>
        <v>0.15888466919848093</v>
      </c>
      <c r="W29" s="300" t="s">
        <v>184</v>
      </c>
      <c r="X29" s="300" t="s">
        <v>435</v>
      </c>
      <c r="Y29" s="301" t="s">
        <v>438</v>
      </c>
      <c r="Z29" s="302" t="s">
        <v>438</v>
      </c>
      <c r="AA29" s="303">
        <v>0.3611111111111111</v>
      </c>
      <c r="AB29" s="303">
        <v>0.3611111111111111</v>
      </c>
      <c r="AC29" s="303">
        <v>0.3611111111111111</v>
      </c>
      <c r="AD29" s="303">
        <v>0.3923611111111111</v>
      </c>
      <c r="AE29" s="304">
        <f>IF(Plant_BD[[#This Row],[Acknowledgement Time ]]="NA","",(Plant_BD[[#This Row],[Acknowledgement Time ]]-Plant_BD[[#This Row],[Fault Time]])*24)</f>
        <v>0</v>
      </c>
      <c r="AF29" s="304">
        <f>IF(Plant_BD[[#This Row],[Work Start time on Fault]]="NA","",(Plant_BD[[#This Row],[Work Start time on Fault]]-Plant_BD[[#This Row],[Fault Time]])*24)</f>
        <v>0</v>
      </c>
      <c r="AG29" s="305">
        <f>(Plant_BD[[#This Row],[Work Completion time on fault]]-Plant_BD[[#This Row],[Fault Time]])*24</f>
        <v>0.75</v>
      </c>
      <c r="AH29" s="305">
        <f>IFERROR((Plant_BD[[#This Row],[Work Completion time on fault]]-Plant_BD[[#This Row],[Fault Time]])*24,"")</f>
        <v>0.75</v>
      </c>
      <c r="AI29" s="306" t="s">
        <v>726</v>
      </c>
      <c r="AJ29" s="307" t="s">
        <v>266</v>
      </c>
      <c r="AK29" s="308">
        <f>IFERROR(Plant_BD[[#This Row],[Breakdown Time]]*Plant_BD[[#This Row],[Plant Equivalent Weightage]],"")</f>
        <v>0.1191635018988607</v>
      </c>
      <c r="AL29" s="307">
        <v>0.58574999999999999</v>
      </c>
      <c r="AM29" s="304">
        <f>Plant_BD[[#This Row],[Lost PoA(kWh/m2)]]*Plant_BD[[#This Row],[DC Capacity Affected (kW)]]*_xlfn.XLOOKUP(Plant_BD[[#This Row],[Month Year]],'Modelling New'!$D:$D,'Modelling New'!$O:$O)</f>
        <v>664.5581589110584</v>
      </c>
      <c r="AN29" s="307"/>
      <c r="AO29" s="307"/>
      <c r="AP29" s="309"/>
    </row>
    <row r="30" spans="1:42">
      <c r="A30" s="290">
        <f t="shared" si="0"/>
        <v>29</v>
      </c>
      <c r="B30" s="291">
        <v>45817</v>
      </c>
      <c r="C30" s="292">
        <f>YEAR(Plant_BD[[#This Row],[Date]])+IF(MONTH(Plant_BD[[#This Row],[Date]])&gt;=4,1,0)</f>
        <v>2026</v>
      </c>
      <c r="D30" s="292">
        <f>YEAR(Plant_BD[[#This Row],[Date]])</f>
        <v>2025</v>
      </c>
      <c r="E30" s="293" t="s">
        <v>213</v>
      </c>
      <c r="F30" s="293" t="s">
        <v>213</v>
      </c>
      <c r="G30" s="294">
        <f>Plant_BD[[#This Row],[Date]]-DAY(Plant_BD[[#This Row],[Date]])+1</f>
        <v>45809</v>
      </c>
      <c r="H30" s="279">
        <f>DAY(EOMONTH(Plant_BD[[#This Row],[Month Year]],0))</f>
        <v>30</v>
      </c>
      <c r="I30" s="295">
        <f>_xlfn.XLOOKUP(Plant_BD[[#This Row],[Date]],'Raw Data'!$G:$G,'Raw Data'!$I:$I)</f>
        <v>0.25069444444444444</v>
      </c>
      <c r="J30" s="295">
        <f>_xlfn.XLOOKUP(Plant_BD[[#This Row],[Date]],'Raw Data'!$G:$G,'Raw Data'!$J:$J)</f>
        <v>0.71666666666666667</v>
      </c>
      <c r="K30" s="296">
        <f>IFERROR((Plant_BD[[#This Row],[Sunset Time (POA&lt;20 W/m2)]]-Plant_BD[[#This Row],[Sunrise Time (POA&gt;20 W/m2)]])*24,"")</f>
        <v>11.183333333333334</v>
      </c>
      <c r="L30" s="296"/>
      <c r="M30" s="296"/>
      <c r="N30" s="296"/>
      <c r="O30" s="296"/>
      <c r="P30" s="296"/>
      <c r="Q30" s="296"/>
      <c r="R30" s="296"/>
      <c r="S30" s="296"/>
      <c r="T30" s="297" t="s">
        <v>184</v>
      </c>
      <c r="U30" s="298">
        <f>IFERROR(_xlfn.XLOOKUP(Plant_BD[[#This Row],[Affected Equipment]],'Basic Data'!$A:$A,'Basic Data'!$B:$B),"")</f>
        <v>1669.29</v>
      </c>
      <c r="V30" s="299">
        <f>IFERROR(_xlfn.XLOOKUP(Plant_BD[[#This Row],[Affected Equipment]],'Basic Data'!$A:$A,'Basic Data'!$C:$C),"")</f>
        <v>0.15888466919848093</v>
      </c>
      <c r="W30" s="300" t="s">
        <v>184</v>
      </c>
      <c r="X30" s="300" t="s">
        <v>435</v>
      </c>
      <c r="Y30" s="301" t="s">
        <v>438</v>
      </c>
      <c r="Z30" s="302" t="s">
        <v>438</v>
      </c>
      <c r="AA30" s="303">
        <v>0.37847222222222221</v>
      </c>
      <c r="AB30" s="303">
        <v>0.37847222222222221</v>
      </c>
      <c r="AC30" s="303">
        <v>0.37847222222222221</v>
      </c>
      <c r="AD30" s="303">
        <v>0.38541666666666669</v>
      </c>
      <c r="AE30" s="304">
        <f>IF(Plant_BD[[#This Row],[Acknowledgement Time ]]="NA","",(Plant_BD[[#This Row],[Acknowledgement Time ]]-Plant_BD[[#This Row],[Fault Time]])*24)</f>
        <v>0</v>
      </c>
      <c r="AF30" s="304">
        <f>IF(Plant_BD[[#This Row],[Work Start time on Fault]]="NA","",(Plant_BD[[#This Row],[Work Start time on Fault]]-Plant_BD[[#This Row],[Fault Time]])*24)</f>
        <v>0</v>
      </c>
      <c r="AG30" s="305">
        <f>(Plant_BD[[#This Row],[Work Completion time on fault]]-Plant_BD[[#This Row],[Fault Time]])*24</f>
        <v>0.16666666666666741</v>
      </c>
      <c r="AH30" s="305">
        <f>IFERROR((Plant_BD[[#This Row],[Work Completion time on fault]]-Plant_BD[[#This Row],[Fault Time]])*24,"")</f>
        <v>0.16666666666666741</v>
      </c>
      <c r="AI30" s="306" t="s">
        <v>726</v>
      </c>
      <c r="AJ30" s="307" t="s">
        <v>266</v>
      </c>
      <c r="AK30" s="308">
        <f>IFERROR(Plant_BD[[#This Row],[Breakdown Time]]*Plant_BD[[#This Row],[Plant Equivalent Weightage]],"")</f>
        <v>2.6480778199746941E-2</v>
      </c>
      <c r="AL30" s="307">
        <v>0.11633333333333384</v>
      </c>
      <c r="AM30" s="304">
        <f>Plant_BD[[#This Row],[Lost PoA(kWh/m2)]]*Plant_BD[[#This Row],[DC Capacity Affected (kW)]]*_xlfn.XLOOKUP(Plant_BD[[#This Row],[Month Year]],'Modelling New'!$D:$D,'Modelling New'!$O:$O)</f>
        <v>131.98508889455707</v>
      </c>
      <c r="AN30" s="307"/>
      <c r="AO30" s="307"/>
      <c r="AP30" s="309"/>
    </row>
    <row r="31" spans="1:42">
      <c r="A31" s="290">
        <f t="shared" si="0"/>
        <v>30</v>
      </c>
      <c r="B31" s="291">
        <v>45822</v>
      </c>
      <c r="C31" s="292">
        <f>YEAR(Plant_BD[[#This Row],[Date]])+IF(MONTH(Plant_BD[[#This Row],[Date]])&gt;=4,1,0)</f>
        <v>2026</v>
      </c>
      <c r="D31" s="292">
        <f>YEAR(Plant_BD[[#This Row],[Date]])</f>
        <v>2025</v>
      </c>
      <c r="E31" s="293" t="s">
        <v>213</v>
      </c>
      <c r="F31" s="293" t="s">
        <v>213</v>
      </c>
      <c r="G31" s="294">
        <f>Plant_BD[[#This Row],[Date]]-DAY(Plant_BD[[#This Row],[Date]])+1</f>
        <v>45809</v>
      </c>
      <c r="H31" s="279">
        <f>DAY(EOMONTH(Plant_BD[[#This Row],[Month Year]],0))</f>
        <v>30</v>
      </c>
      <c r="I31" s="295">
        <f>_xlfn.XLOOKUP(Plant_BD[[#This Row],[Date]],'Raw Data'!$G:$G,'Raw Data'!$I:$I)</f>
        <v>0.25069444444444444</v>
      </c>
      <c r="J31" s="295">
        <f>_xlfn.XLOOKUP(Plant_BD[[#This Row],[Date]],'Raw Data'!$G:$G,'Raw Data'!$J:$J)</f>
        <v>0.74305555555555558</v>
      </c>
      <c r="K31" s="296">
        <f>IFERROR((Plant_BD[[#This Row],[Sunset Time (POA&lt;20 W/m2)]]-Plant_BD[[#This Row],[Sunrise Time (POA&gt;20 W/m2)]])*24,"")</f>
        <v>11.816666666666666</v>
      </c>
      <c r="L31" s="296"/>
      <c r="M31" s="296"/>
      <c r="N31" s="296"/>
      <c r="O31" s="296"/>
      <c r="P31" s="296"/>
      <c r="Q31" s="296"/>
      <c r="R31" s="296"/>
      <c r="S31" s="296"/>
      <c r="T31" s="297" t="s">
        <v>184</v>
      </c>
      <c r="U31" s="298">
        <f>IFERROR(_xlfn.XLOOKUP(Plant_BD[[#This Row],[Affected Equipment]],'Basic Data'!$A:$A,'Basic Data'!$B:$B),"")</f>
        <v>1669.29</v>
      </c>
      <c r="V31" s="299">
        <f>IFERROR(_xlfn.XLOOKUP(Plant_BD[[#This Row],[Affected Equipment]],'Basic Data'!$A:$A,'Basic Data'!$C:$C),"")</f>
        <v>0.15888466919848093</v>
      </c>
      <c r="W31" s="300" t="s">
        <v>184</v>
      </c>
      <c r="X31" s="300" t="s">
        <v>435</v>
      </c>
      <c r="Y31" s="301" t="s">
        <v>438</v>
      </c>
      <c r="Z31" s="302" t="s">
        <v>438</v>
      </c>
      <c r="AA31" s="303">
        <v>0.54791666666666672</v>
      </c>
      <c r="AB31" s="303">
        <v>0.54791666666666672</v>
      </c>
      <c r="AC31" s="303">
        <v>0.54791666666666672</v>
      </c>
      <c r="AD31" s="303">
        <v>0.55486111111111114</v>
      </c>
      <c r="AE31" s="304">
        <f>IF(Plant_BD[[#This Row],[Acknowledgement Time ]]="NA","",(Plant_BD[[#This Row],[Acknowledgement Time ]]-Plant_BD[[#This Row],[Fault Time]])*24)</f>
        <v>0</v>
      </c>
      <c r="AF31" s="304">
        <f>IF(Plant_BD[[#This Row],[Work Start time on Fault]]="NA","",(Plant_BD[[#This Row],[Work Start time on Fault]]-Plant_BD[[#This Row],[Fault Time]])*24)</f>
        <v>0</v>
      </c>
      <c r="AG31" s="305">
        <f>(Plant_BD[[#This Row],[Work Completion time on fault]]-Plant_BD[[#This Row],[Fault Time]])*24</f>
        <v>0.16666666666666607</v>
      </c>
      <c r="AH31" s="305">
        <f>IFERROR((Plant_BD[[#This Row],[Work Completion time on fault]]-Plant_BD[[#This Row],[Fault Time]])*24,"")</f>
        <v>0.16666666666666607</v>
      </c>
      <c r="AI31" s="306" t="s">
        <v>726</v>
      </c>
      <c r="AJ31" s="307" t="s">
        <v>266</v>
      </c>
      <c r="AK31" s="308">
        <f>IFERROR(Plant_BD[[#This Row],[Breakdown Time]]*Plant_BD[[#This Row],[Plant Equivalent Weightage]],"")</f>
        <v>2.648077819974673E-2</v>
      </c>
      <c r="AL31" s="307">
        <v>0.14000000000000001</v>
      </c>
      <c r="AM31" s="304">
        <f>Plant_BD[[#This Row],[Lost PoA(kWh/m2)]]*Plant_BD[[#This Row],[DC Capacity Affected (kW)]]*_xlfn.XLOOKUP(Plant_BD[[#This Row],[Month Year]],'Modelling New'!$D:$D,'Modelling New'!$O:$O)</f>
        <v>158.83592359803362</v>
      </c>
      <c r="AN31" s="307"/>
      <c r="AO31" s="307"/>
      <c r="AP31" s="309"/>
    </row>
    <row r="32" spans="1:42">
      <c r="A32" s="290">
        <f t="shared" si="0"/>
        <v>31</v>
      </c>
      <c r="B32" s="291">
        <v>45824</v>
      </c>
      <c r="C32" s="292">
        <f>YEAR(Plant_BD[[#This Row],[Date]])+IF(MONTH(Plant_BD[[#This Row],[Date]])&gt;=4,1,0)</f>
        <v>2026</v>
      </c>
      <c r="D32" s="292">
        <f>YEAR(Plant_BD[[#This Row],[Date]])</f>
        <v>2025</v>
      </c>
      <c r="E32" s="293" t="s">
        <v>213</v>
      </c>
      <c r="F32" s="293" t="s">
        <v>213</v>
      </c>
      <c r="G32" s="294">
        <f>Plant_BD[[#This Row],[Date]]-DAY(Plant_BD[[#This Row],[Date]])+1</f>
        <v>45809</v>
      </c>
      <c r="H32" s="279">
        <f>DAY(EOMONTH(Plant_BD[[#This Row],[Month Year]],0))</f>
        <v>30</v>
      </c>
      <c r="I32" s="295">
        <f>_xlfn.XLOOKUP(Plant_BD[[#This Row],[Date]],'Raw Data'!$G:$G,'Raw Data'!$I:$I)</f>
        <v>0.25347222222222221</v>
      </c>
      <c r="J32" s="295">
        <f>_xlfn.XLOOKUP(Plant_BD[[#This Row],[Date]],'Raw Data'!$G:$G,'Raw Data'!$J:$J)</f>
        <v>0.77361111111111114</v>
      </c>
      <c r="K32" s="296">
        <f>IFERROR((Plant_BD[[#This Row],[Sunset Time (POA&lt;20 W/m2)]]-Plant_BD[[#This Row],[Sunrise Time (POA&gt;20 W/m2)]])*24,"")</f>
        <v>12.483333333333334</v>
      </c>
      <c r="L32" s="296"/>
      <c r="M32" s="296"/>
      <c r="N32" s="296"/>
      <c r="O32" s="296"/>
      <c r="P32" s="296"/>
      <c r="Q32" s="296"/>
      <c r="R32" s="296"/>
      <c r="S32" s="296"/>
      <c r="T32" s="297" t="s">
        <v>185</v>
      </c>
      <c r="U32" s="298">
        <f>IFERROR(_xlfn.XLOOKUP(Plant_BD[[#This Row],[Affected Equipment]],'Basic Data'!$A:$A,'Basic Data'!$B:$B),"")</f>
        <v>1833.3</v>
      </c>
      <c r="V32" s="299">
        <f>IFERROR(_xlfn.XLOOKUP(Plant_BD[[#This Row],[Affected Equipment]],'Basic Data'!$A:$A,'Basic Data'!$C:$C),"")</f>
        <v>0.17449530281830902</v>
      </c>
      <c r="W32" s="300" t="s">
        <v>185</v>
      </c>
      <c r="X32" s="300" t="s">
        <v>435</v>
      </c>
      <c r="Y32" s="301" t="s">
        <v>725</v>
      </c>
      <c r="Z32" s="302" t="s">
        <v>725</v>
      </c>
      <c r="AA32" s="303">
        <v>0.54236111111111107</v>
      </c>
      <c r="AB32" s="303">
        <v>0.54236111111111107</v>
      </c>
      <c r="AC32" s="303">
        <v>0.54236111111111107</v>
      </c>
      <c r="AD32" s="303">
        <v>0.5493055555555556</v>
      </c>
      <c r="AE32" s="304">
        <f>IF(Plant_BD[[#This Row],[Acknowledgement Time ]]="NA","",(Plant_BD[[#This Row],[Acknowledgement Time ]]-Plant_BD[[#This Row],[Fault Time]])*24)</f>
        <v>0</v>
      </c>
      <c r="AF32" s="304">
        <f>IF(Plant_BD[[#This Row],[Work Start time on Fault]]="NA","",(Plant_BD[[#This Row],[Work Start time on Fault]]-Plant_BD[[#This Row],[Fault Time]])*24)</f>
        <v>0</v>
      </c>
      <c r="AG32" s="305">
        <f>(Plant_BD[[#This Row],[Work Completion time on fault]]-Plant_BD[[#This Row],[Fault Time]])*24</f>
        <v>0.16666666666666874</v>
      </c>
      <c r="AH32" s="305">
        <f>IFERROR((Plant_BD[[#This Row],[Work Completion time on fault]]-Plant_BD[[#This Row],[Fault Time]])*24,"")</f>
        <v>0.16666666666666874</v>
      </c>
      <c r="AI32" s="306" t="s">
        <v>726</v>
      </c>
      <c r="AJ32" s="307" t="s">
        <v>266</v>
      </c>
      <c r="AK32" s="308">
        <f>IFERROR(Plant_BD[[#This Row],[Breakdown Time]]*Plant_BD[[#This Row],[Plant Equivalent Weightage]],"")</f>
        <v>2.9082550469718534E-2</v>
      </c>
      <c r="AL32" s="307">
        <v>8.4333333333334384E-2</v>
      </c>
      <c r="AM32" s="304">
        <f>Plant_BD[[#This Row],[Lost PoA(kWh/m2)]]*Plant_BD[[#This Row],[DC Capacity Affected (kW)]]*_xlfn.XLOOKUP(Plant_BD[[#This Row],[Month Year]],'Modelling New'!$D:$D,'Modelling New'!$O:$O)</f>
        <v>105.08039828062985</v>
      </c>
      <c r="AN32" s="307"/>
      <c r="AO32" s="307"/>
      <c r="AP32" s="309"/>
    </row>
    <row r="33" spans="1:42">
      <c r="A33" s="290">
        <f t="shared" si="0"/>
        <v>32</v>
      </c>
      <c r="B33" s="291">
        <v>45827</v>
      </c>
      <c r="C33" s="292">
        <f>YEAR(Plant_BD[[#This Row],[Date]])+IF(MONTH(Plant_BD[[#This Row],[Date]])&gt;=4,1,0)</f>
        <v>2026</v>
      </c>
      <c r="D33" s="292">
        <f>YEAR(Plant_BD[[#This Row],[Date]])</f>
        <v>2025</v>
      </c>
      <c r="E33" s="293" t="s">
        <v>213</v>
      </c>
      <c r="F33" s="293" t="s">
        <v>213</v>
      </c>
      <c r="G33" s="294">
        <f>Plant_BD[[#This Row],[Date]]-DAY(Plant_BD[[#This Row],[Date]])+1</f>
        <v>45809</v>
      </c>
      <c r="H33" s="279">
        <f>DAY(EOMONTH(Plant_BD[[#This Row],[Month Year]],0))</f>
        <v>30</v>
      </c>
      <c r="I33" s="295">
        <f>_xlfn.XLOOKUP(Plant_BD[[#This Row],[Date]],'Raw Data'!$G:$G,'Raw Data'!$I:$I)</f>
        <v>0.25416666666666665</v>
      </c>
      <c r="J33" s="295">
        <f>_xlfn.XLOOKUP(Plant_BD[[#This Row],[Date]],'Raw Data'!$G:$G,'Raw Data'!$J:$J)</f>
        <v>0.77847222222222223</v>
      </c>
      <c r="K33" s="296">
        <f>IFERROR((Plant_BD[[#This Row],[Sunset Time (POA&lt;20 W/m2)]]-Plant_BD[[#This Row],[Sunrise Time (POA&gt;20 W/m2)]])*24,"")</f>
        <v>12.583333333333334</v>
      </c>
      <c r="L33" s="296"/>
      <c r="M33" s="296"/>
      <c r="N33" s="296"/>
      <c r="O33" s="296"/>
      <c r="P33" s="296"/>
      <c r="Q33" s="296"/>
      <c r="R33" s="296"/>
      <c r="S33" s="296"/>
      <c r="T33" s="297" t="s">
        <v>187</v>
      </c>
      <c r="U33" s="298">
        <f>IFERROR(_xlfn.XLOOKUP(Plant_BD[[#This Row],[Affected Equipment]],'Basic Data'!$A:$A,'Basic Data'!$B:$B),"")</f>
        <v>1785.42</v>
      </c>
      <c r="V33" s="299">
        <f>IFERROR(_xlfn.XLOOKUP(Plant_BD[[#This Row],[Affected Equipment]],'Basic Data'!$A:$A,'Basic Data'!$C:$C),"")</f>
        <v>0.1699380371776934</v>
      </c>
      <c r="W33" s="300" t="s">
        <v>187</v>
      </c>
      <c r="X33" s="300" t="s">
        <v>435</v>
      </c>
      <c r="Y33" s="301" t="s">
        <v>438</v>
      </c>
      <c r="Z33" s="302" t="s">
        <v>438</v>
      </c>
      <c r="AA33" s="303">
        <v>0.36805555555555558</v>
      </c>
      <c r="AB33" s="303">
        <v>0.36805555555555558</v>
      </c>
      <c r="AC33" s="303">
        <v>0.36805555555555558</v>
      </c>
      <c r="AD33" s="303">
        <v>0.39305555555555555</v>
      </c>
      <c r="AE33" s="304">
        <f>IF(Plant_BD[[#This Row],[Acknowledgement Time ]]="NA","",(Plant_BD[[#This Row],[Acknowledgement Time ]]-Plant_BD[[#This Row],[Fault Time]])*24)</f>
        <v>0</v>
      </c>
      <c r="AF33" s="304">
        <f>IF(Plant_BD[[#This Row],[Work Start time on Fault]]="NA","",(Plant_BD[[#This Row],[Work Start time on Fault]]-Plant_BD[[#This Row],[Fault Time]])*24)</f>
        <v>0</v>
      </c>
      <c r="AG33" s="305">
        <f>(Plant_BD[[#This Row],[Work Completion time on fault]]-Plant_BD[[#This Row],[Fault Time]])*24</f>
        <v>0.5999999999999992</v>
      </c>
      <c r="AH33" s="305">
        <f>IFERROR((Plant_BD[[#This Row],[Work Completion time on fault]]-Plant_BD[[#This Row],[Fault Time]])*24,"")</f>
        <v>0.5999999999999992</v>
      </c>
      <c r="AI33" s="306" t="s">
        <v>726</v>
      </c>
      <c r="AJ33" s="307" t="s">
        <v>266</v>
      </c>
      <c r="AK33" s="308">
        <f>IFERROR(Plant_BD[[#This Row],[Breakdown Time]]*Plant_BD[[#This Row],[Plant Equivalent Weightage]],"")</f>
        <v>0.10196282230661591</v>
      </c>
      <c r="AL33" s="307">
        <v>0.38</v>
      </c>
      <c r="AM33" s="304">
        <f>Plant_BD[[#This Row],[Lost PoA(kWh/m2)]]*Plant_BD[[#This Row],[DC Capacity Affected (kW)]]*_xlfn.XLOOKUP(Plant_BD[[#This Row],[Month Year]],'Modelling New'!$D:$D,'Modelling New'!$O:$O)</f>
        <v>461.11887256580621</v>
      </c>
      <c r="AN33" s="307"/>
      <c r="AO33" s="307"/>
      <c r="AP33" s="309"/>
    </row>
    <row r="34" spans="1:42">
      <c r="A34" s="290">
        <f t="shared" si="0"/>
        <v>33</v>
      </c>
      <c r="B34" s="291">
        <v>45842</v>
      </c>
      <c r="C34" s="292">
        <f>YEAR(Plant_BD[[#This Row],[Date]])+IF(MONTH(Plant_BD[[#This Row],[Date]])&gt;=4,1,0)</f>
        <v>2026</v>
      </c>
      <c r="D34" s="292">
        <f>YEAR(Plant_BD[[#This Row],[Date]])</f>
        <v>2025</v>
      </c>
      <c r="E34" s="293" t="s">
        <v>213</v>
      </c>
      <c r="F34" s="293" t="s">
        <v>213</v>
      </c>
      <c r="G34" s="294">
        <f>Plant_BD[[#This Row],[Date]]-DAY(Plant_BD[[#This Row],[Date]])+1</f>
        <v>45839</v>
      </c>
      <c r="H34" s="279">
        <f>DAY(EOMONTH(Plant_BD[[#This Row],[Month Year]],0))</f>
        <v>31</v>
      </c>
      <c r="I34" s="295">
        <f>_xlfn.XLOOKUP(Plant_BD[[#This Row],[Date]],'Raw Data'!$G:$G,'Raw Data'!$I:$I)</f>
        <v>0.25486111111111109</v>
      </c>
      <c r="J34" s="295">
        <f>_xlfn.XLOOKUP(Plant_BD[[#This Row],[Date]],'Raw Data'!$G:$G,'Raw Data'!$J:$J)</f>
        <v>0.77708333333333335</v>
      </c>
      <c r="K34" s="296">
        <f>IFERROR((Plant_BD[[#This Row],[Sunset Time (POA&lt;20 W/m2)]]-Plant_BD[[#This Row],[Sunrise Time (POA&gt;20 W/m2)]])*24,"")</f>
        <v>12.533333333333335</v>
      </c>
      <c r="L34" s="296"/>
      <c r="M34" s="296"/>
      <c r="N34" s="296"/>
      <c r="O34" s="296"/>
      <c r="P34" s="296"/>
      <c r="Q34" s="296"/>
      <c r="R34" s="296"/>
      <c r="S34" s="296"/>
      <c r="T34" s="297" t="s">
        <v>185</v>
      </c>
      <c r="U34" s="298">
        <f>IFERROR(_xlfn.XLOOKUP(Plant_BD[[#This Row],[Affected Equipment]],'Basic Data'!$A:$A,'Basic Data'!$B:$B),"")</f>
        <v>1833.3</v>
      </c>
      <c r="V34" s="299">
        <f>IFERROR(_xlfn.XLOOKUP(Plant_BD[[#This Row],[Affected Equipment]],'Basic Data'!$A:$A,'Basic Data'!$C:$C),"")</f>
        <v>0.17449530281830902</v>
      </c>
      <c r="W34" s="300" t="s">
        <v>185</v>
      </c>
      <c r="X34" s="300" t="s">
        <v>435</v>
      </c>
      <c r="Y34" s="301" t="s">
        <v>725</v>
      </c>
      <c r="Z34" s="302" t="s">
        <v>725</v>
      </c>
      <c r="AA34" s="303">
        <v>0.48402777777777778</v>
      </c>
      <c r="AB34" s="303">
        <v>0.48402777777777778</v>
      </c>
      <c r="AC34" s="303">
        <v>0.48402777777777778</v>
      </c>
      <c r="AD34" s="303">
        <v>0.49305555555555558</v>
      </c>
      <c r="AE34" s="304">
        <f>IF(Plant_BD[[#This Row],[Acknowledgement Time ]]="NA","",(Plant_BD[[#This Row],[Acknowledgement Time ]]-Plant_BD[[#This Row],[Fault Time]])*24)</f>
        <v>0</v>
      </c>
      <c r="AF34" s="304">
        <f>IF(Plant_BD[[#This Row],[Work Start time on Fault]]="NA","",(Plant_BD[[#This Row],[Work Start time on Fault]]-Plant_BD[[#This Row],[Fault Time]])*24)</f>
        <v>0</v>
      </c>
      <c r="AG34" s="305">
        <f>(Plant_BD[[#This Row],[Work Completion time on fault]]-Plant_BD[[#This Row],[Fault Time]])*24</f>
        <v>0.21666666666666723</v>
      </c>
      <c r="AH34" s="305">
        <f>IFERROR((Plant_BD[[#This Row],[Work Completion time on fault]]-Plant_BD[[#This Row],[Fault Time]])*24,"")</f>
        <v>0.21666666666666723</v>
      </c>
      <c r="AI34" s="306" t="s">
        <v>726</v>
      </c>
      <c r="AJ34" s="307" t="s">
        <v>266</v>
      </c>
      <c r="AK34" s="308">
        <f>IFERROR(Plant_BD[[#This Row],[Breakdown Time]]*Plant_BD[[#This Row],[Plant Equivalent Weightage]],"")</f>
        <v>3.7807315610633718E-2</v>
      </c>
      <c r="AL34" s="307">
        <v>0.11</v>
      </c>
      <c r="AM34" s="304">
        <f>Plant_BD[[#This Row],[Lost PoA(kWh/m2)]]*Plant_BD[[#This Row],[DC Capacity Affected (kW)]]*_xlfn.XLOOKUP(Plant_BD[[#This Row],[Month Year]],'Modelling New'!$D:$D,'Modelling New'!$O:$O)</f>
        <v>141.27099755734781</v>
      </c>
      <c r="AN34" s="307"/>
      <c r="AO34" s="307"/>
      <c r="AP34" s="309"/>
    </row>
    <row r="35" spans="1:42">
      <c r="A35" s="290">
        <f t="shared" si="0"/>
        <v>34</v>
      </c>
      <c r="B35" s="291">
        <v>45845</v>
      </c>
      <c r="C35" s="292">
        <f>YEAR(Plant_BD[[#This Row],[Date]])+IF(MONTH(Plant_BD[[#This Row],[Date]])&gt;=4,1,0)</f>
        <v>2026</v>
      </c>
      <c r="D35" s="292">
        <f>YEAR(Plant_BD[[#This Row],[Date]])</f>
        <v>2025</v>
      </c>
      <c r="E35" s="293" t="s">
        <v>213</v>
      </c>
      <c r="F35" s="293" t="s">
        <v>213</v>
      </c>
      <c r="G35" s="294">
        <f>Plant_BD[[#This Row],[Date]]-DAY(Plant_BD[[#This Row],[Date]])+1</f>
        <v>45839</v>
      </c>
      <c r="H35" s="279">
        <f>DAY(EOMONTH(Plant_BD[[#This Row],[Month Year]],0))</f>
        <v>31</v>
      </c>
      <c r="I35" s="295">
        <f>_xlfn.XLOOKUP(Plant_BD[[#This Row],[Date]],'Raw Data'!$G:$G,'Raw Data'!$I:$I)</f>
        <v>0.25694444444444442</v>
      </c>
      <c r="J35" s="295">
        <f>_xlfn.XLOOKUP(Plant_BD[[#This Row],[Date]],'Raw Data'!$G:$G,'Raw Data'!$J:$J)</f>
        <v>0.78333333333333333</v>
      </c>
      <c r="K35" s="296">
        <f>IFERROR((Plant_BD[[#This Row],[Sunset Time (POA&lt;20 W/m2)]]-Plant_BD[[#This Row],[Sunrise Time (POA&gt;20 W/m2)]])*24,"")</f>
        <v>12.633333333333333</v>
      </c>
      <c r="L35" s="296"/>
      <c r="M35" s="296"/>
      <c r="N35" s="296"/>
      <c r="O35" s="296"/>
      <c r="P35" s="296"/>
      <c r="Q35" s="296"/>
      <c r="R35" s="296"/>
      <c r="S35" s="296"/>
      <c r="T35" s="297" t="s">
        <v>1597</v>
      </c>
      <c r="U35" s="298">
        <f>IFERROR(_xlfn.XLOOKUP(Plant_BD[[#This Row],[Affected Equipment]],'Basic Data'!$A:$A,'Basic Data'!$B:$B),"")</f>
        <v>10506.3</v>
      </c>
      <c r="V35" s="299">
        <f>IFERROR(_xlfn.XLOOKUP(Plant_BD[[#This Row],[Affected Equipment]],'Basic Data'!$A:$A,'Basic Data'!$C:$C),"")</f>
        <v>1</v>
      </c>
      <c r="W35" s="300" t="s">
        <v>1670</v>
      </c>
      <c r="X35" s="300" t="s">
        <v>893</v>
      </c>
      <c r="Y35" s="301" t="s">
        <v>1671</v>
      </c>
      <c r="Z35" s="302" t="s">
        <v>1671</v>
      </c>
      <c r="AA35" s="303">
        <v>0.57291666666666663</v>
      </c>
      <c r="AB35" s="303">
        <v>0.57291666666666663</v>
      </c>
      <c r="AC35" s="303">
        <v>0.57291666666666663</v>
      </c>
      <c r="AD35" s="303">
        <v>0.61458333333333337</v>
      </c>
      <c r="AE35" s="304">
        <f>IF(Plant_BD[[#This Row],[Acknowledgement Time ]]="NA","",(Plant_BD[[#This Row],[Acknowledgement Time ]]-Plant_BD[[#This Row],[Fault Time]])*24)</f>
        <v>0</v>
      </c>
      <c r="AF35" s="304">
        <f>IF(Plant_BD[[#This Row],[Work Start time on Fault]]="NA","",(Plant_BD[[#This Row],[Work Start time on Fault]]-Plant_BD[[#This Row],[Fault Time]])*24)</f>
        <v>0</v>
      </c>
      <c r="AG35" s="305">
        <f>(Plant_BD[[#This Row],[Work Completion time on fault]]-Plant_BD[[#This Row],[Fault Time]])*24</f>
        <v>1.0000000000000018</v>
      </c>
      <c r="AH35" s="305">
        <f>IFERROR((Plant_BD[[#This Row],[Work Completion time on fault]]-Plant_BD[[#This Row],[Fault Time]])*24,"")</f>
        <v>1.0000000000000018</v>
      </c>
      <c r="AI35" s="306" t="s">
        <v>726</v>
      </c>
      <c r="AJ35" s="307" t="s">
        <v>266</v>
      </c>
      <c r="AK35" s="308">
        <f>IFERROR(Plant_BD[[#This Row],[Breakdown Time]]*Plant_BD[[#This Row],[Plant Equivalent Weightage]],"")</f>
        <v>1.0000000000000018</v>
      </c>
      <c r="AL35" s="307">
        <v>0.4</v>
      </c>
      <c r="AM35" s="304">
        <f>Plant_BD[[#This Row],[Lost PoA(kWh/m2)]]*Plant_BD[[#This Row],[DC Capacity Affected (kW)]]*_xlfn.XLOOKUP(Plant_BD[[#This Row],[Month Year]],'Modelling New'!$D:$D,'Modelling New'!$O:$O)</f>
        <v>2943.9916725165513</v>
      </c>
      <c r="AN35" s="307"/>
      <c r="AO35" s="307"/>
      <c r="AP35" s="309"/>
    </row>
    <row r="36" spans="1:42">
      <c r="A36" s="290">
        <f t="shared" si="0"/>
        <v>35</v>
      </c>
      <c r="B36" s="291">
        <v>45849</v>
      </c>
      <c r="C36" s="292">
        <f>YEAR(Plant_BD[[#This Row],[Date]])+IF(MONTH(Plant_BD[[#This Row],[Date]])&gt;=4,1,0)</f>
        <v>2026</v>
      </c>
      <c r="D36" s="292">
        <f>YEAR(Plant_BD[[#This Row],[Date]])</f>
        <v>2025</v>
      </c>
      <c r="E36" s="293" t="s">
        <v>213</v>
      </c>
      <c r="F36" s="293" t="s">
        <v>213</v>
      </c>
      <c r="G36" s="294">
        <f>Plant_BD[[#This Row],[Date]]-DAY(Plant_BD[[#This Row],[Date]])+1</f>
        <v>45839</v>
      </c>
      <c r="H36" s="279">
        <f>DAY(EOMONTH(Plant_BD[[#This Row],[Month Year]],0))</f>
        <v>31</v>
      </c>
      <c r="I36" s="295">
        <f>_xlfn.XLOOKUP(Plant_BD[[#This Row],[Date]],'Raw Data'!$G:$G,'Raw Data'!$I:$I)</f>
        <v>0.25694444444444442</v>
      </c>
      <c r="J36" s="295">
        <f>_xlfn.XLOOKUP(Plant_BD[[#This Row],[Date]],'Raw Data'!$G:$G,'Raw Data'!$J:$J)</f>
        <v>0.77152777777777781</v>
      </c>
      <c r="K36" s="296">
        <f>IFERROR((Plant_BD[[#This Row],[Sunset Time (POA&lt;20 W/m2)]]-Plant_BD[[#This Row],[Sunrise Time (POA&gt;20 W/m2)]])*24,"")</f>
        <v>12.350000000000001</v>
      </c>
      <c r="L36" s="296"/>
      <c r="M36" s="296"/>
      <c r="N36" s="296"/>
      <c r="O36" s="296"/>
      <c r="P36" s="296"/>
      <c r="Q36" s="296"/>
      <c r="R36" s="296"/>
      <c r="S36" s="296"/>
      <c r="T36" s="297" t="s">
        <v>185</v>
      </c>
      <c r="U36" s="298">
        <f>IFERROR(_xlfn.XLOOKUP(Plant_BD[[#This Row],[Affected Equipment]],'Basic Data'!$A:$A,'Basic Data'!$B:$B),"")</f>
        <v>1833.3</v>
      </c>
      <c r="V36" s="299">
        <f>IFERROR(_xlfn.XLOOKUP(Plant_BD[[#This Row],[Affected Equipment]],'Basic Data'!$A:$A,'Basic Data'!$C:$C),"")</f>
        <v>0.17449530281830902</v>
      </c>
      <c r="W36" s="300" t="s">
        <v>185</v>
      </c>
      <c r="X36" s="300" t="s">
        <v>435</v>
      </c>
      <c r="Y36" s="301" t="s">
        <v>725</v>
      </c>
      <c r="Z36" s="302" t="s">
        <v>725</v>
      </c>
      <c r="AA36" s="303">
        <v>0.55069444444444449</v>
      </c>
      <c r="AB36" s="303">
        <v>0.55069444444444449</v>
      </c>
      <c r="AC36" s="303">
        <v>0.55069444444444449</v>
      </c>
      <c r="AD36" s="303">
        <v>0.56180555555555556</v>
      </c>
      <c r="AE36" s="304">
        <f>IF(Plant_BD[[#This Row],[Acknowledgement Time ]]="NA","",(Plant_BD[[#This Row],[Acknowledgement Time ]]-Plant_BD[[#This Row],[Fault Time]])*24)</f>
        <v>0</v>
      </c>
      <c r="AF36" s="304">
        <f>IF(Plant_BD[[#This Row],[Work Start time on Fault]]="NA","",(Plant_BD[[#This Row],[Work Start time on Fault]]-Plant_BD[[#This Row],[Fault Time]])*24)</f>
        <v>0</v>
      </c>
      <c r="AG36" s="305">
        <f>(Plant_BD[[#This Row],[Work Completion time on fault]]-Plant_BD[[#This Row],[Fault Time]])*24</f>
        <v>0.26666666666666572</v>
      </c>
      <c r="AH36" s="305">
        <f>IFERROR((Plant_BD[[#This Row],[Work Completion time on fault]]-Plant_BD[[#This Row],[Fault Time]])*24,"")</f>
        <v>0.26666666666666572</v>
      </c>
      <c r="AI36" s="306" t="s">
        <v>726</v>
      </c>
      <c r="AJ36" s="307" t="s">
        <v>266</v>
      </c>
      <c r="AK36" s="308">
        <f>IFERROR(Plant_BD[[#This Row],[Breakdown Time]]*Plant_BD[[#This Row],[Plant Equivalent Weightage]],"")</f>
        <v>4.653208075154891E-2</v>
      </c>
      <c r="AL36" s="307">
        <v>0.22</v>
      </c>
      <c r="AM36" s="304">
        <f>Plant_BD[[#This Row],[Lost PoA(kWh/m2)]]*Plant_BD[[#This Row],[DC Capacity Affected (kW)]]*_xlfn.XLOOKUP(Plant_BD[[#This Row],[Month Year]],'Modelling New'!$D:$D,'Modelling New'!$O:$O)</f>
        <v>282.54199511469562</v>
      </c>
      <c r="AN36" s="307"/>
      <c r="AO36" s="307"/>
      <c r="AP36" s="309"/>
    </row>
    <row r="37" spans="1:42">
      <c r="A37" s="290">
        <f t="shared" si="0"/>
        <v>36</v>
      </c>
      <c r="B37" s="291">
        <v>45855</v>
      </c>
      <c r="C37" s="292">
        <f>YEAR(Plant_BD[[#This Row],[Date]])+IF(MONTH(Plant_BD[[#This Row],[Date]])&gt;=4,1,0)</f>
        <v>2026</v>
      </c>
      <c r="D37" s="292">
        <f>YEAR(Plant_BD[[#This Row],[Date]])</f>
        <v>2025</v>
      </c>
      <c r="E37" s="293" t="s">
        <v>213</v>
      </c>
      <c r="F37" s="293" t="s">
        <v>213</v>
      </c>
      <c r="G37" s="294">
        <f>Plant_BD[[#This Row],[Date]]-DAY(Plant_BD[[#This Row],[Date]])+1</f>
        <v>45839</v>
      </c>
      <c r="H37" s="279">
        <f>DAY(EOMONTH(Plant_BD[[#This Row],[Month Year]],0))</f>
        <v>31</v>
      </c>
      <c r="I37" s="295">
        <f>_xlfn.XLOOKUP(Plant_BD[[#This Row],[Date]],'Raw Data'!$G:$G,'Raw Data'!$I:$I)</f>
        <v>0.25972222222222224</v>
      </c>
      <c r="J37" s="295">
        <f>_xlfn.XLOOKUP(Plant_BD[[#This Row],[Date]],'Raw Data'!$G:$G,'Raw Data'!$J:$J)</f>
        <v>0.77708333333333335</v>
      </c>
      <c r="K37" s="296">
        <f>IFERROR((Plant_BD[[#This Row],[Sunset Time (POA&lt;20 W/m2)]]-Plant_BD[[#This Row],[Sunrise Time (POA&gt;20 W/m2)]])*24,"")</f>
        <v>12.416666666666668</v>
      </c>
      <c r="L37" s="296"/>
      <c r="M37" s="296"/>
      <c r="N37" s="296"/>
      <c r="O37" s="296"/>
      <c r="P37" s="296"/>
      <c r="Q37" s="296"/>
      <c r="R37" s="296"/>
      <c r="S37" s="296"/>
      <c r="T37" s="297" t="s">
        <v>185</v>
      </c>
      <c r="U37" s="298">
        <f>IFERROR(_xlfn.XLOOKUP(Plant_BD[[#This Row],[Affected Equipment]],'Basic Data'!$A:$A,'Basic Data'!$B:$B),"")</f>
        <v>1833.3</v>
      </c>
      <c r="V37" s="299">
        <f>IFERROR(_xlfn.XLOOKUP(Plant_BD[[#This Row],[Affected Equipment]],'Basic Data'!$A:$A,'Basic Data'!$C:$C),"")</f>
        <v>0.17449530281830902</v>
      </c>
      <c r="W37" s="300" t="s">
        <v>185</v>
      </c>
      <c r="X37" s="300" t="s">
        <v>435</v>
      </c>
      <c r="Y37" s="301" t="s">
        <v>725</v>
      </c>
      <c r="Z37" s="302" t="s">
        <v>725</v>
      </c>
      <c r="AA37" s="303">
        <v>0.56111111111111112</v>
      </c>
      <c r="AB37" s="303">
        <v>0.56111111111111112</v>
      </c>
      <c r="AC37" s="303">
        <v>0.56111111111111112</v>
      </c>
      <c r="AD37" s="303">
        <v>0.57222222222222219</v>
      </c>
      <c r="AE37" s="304">
        <f>IF(Plant_BD[[#This Row],[Acknowledgement Time ]]="NA","",(Plant_BD[[#This Row],[Acknowledgement Time ]]-Plant_BD[[#This Row],[Fault Time]])*24)</f>
        <v>0</v>
      </c>
      <c r="AF37" s="304">
        <f>IF(Plant_BD[[#This Row],[Work Start time on Fault]]="NA","",(Plant_BD[[#This Row],[Work Start time on Fault]]-Plant_BD[[#This Row],[Fault Time]])*24)</f>
        <v>0</v>
      </c>
      <c r="AG37" s="305">
        <f>(Plant_BD[[#This Row],[Work Completion time on fault]]-Plant_BD[[#This Row],[Fault Time]])*24</f>
        <v>0.26666666666666572</v>
      </c>
      <c r="AH37" s="305">
        <f>IFERROR((Plant_BD[[#This Row],[Work Completion time on fault]]-Plant_BD[[#This Row],[Fault Time]])*24,"")</f>
        <v>0.26666666666666572</v>
      </c>
      <c r="AI37" s="306" t="s">
        <v>726</v>
      </c>
      <c r="AJ37" s="307" t="s">
        <v>266</v>
      </c>
      <c r="AK37" s="308">
        <f>IFERROR(Plant_BD[[#This Row],[Breakdown Time]]*Plant_BD[[#This Row],[Plant Equivalent Weightage]],"")</f>
        <v>4.653208075154891E-2</v>
      </c>
      <c r="AL37" s="307">
        <v>0.2</v>
      </c>
      <c r="AM37" s="304">
        <f>Plant_BD[[#This Row],[Lost PoA(kWh/m2)]]*Plant_BD[[#This Row],[DC Capacity Affected (kW)]]*_xlfn.XLOOKUP(Plant_BD[[#This Row],[Month Year]],'Modelling New'!$D:$D,'Modelling New'!$O:$O)</f>
        <v>256.8563591951779</v>
      </c>
      <c r="AN37" s="307"/>
      <c r="AO37" s="307"/>
      <c r="AP37" s="309"/>
    </row>
    <row r="38" spans="1:42">
      <c r="A38" s="290">
        <f t="shared" si="0"/>
        <v>37</v>
      </c>
      <c r="B38" s="291">
        <v>45863</v>
      </c>
      <c r="C38" s="292">
        <f>YEAR(Plant_BD[[#This Row],[Date]])+IF(MONTH(Plant_BD[[#This Row],[Date]])&gt;=4,1,0)</f>
        <v>2026</v>
      </c>
      <c r="D38" s="292">
        <f>YEAR(Plant_BD[[#This Row],[Date]])</f>
        <v>2025</v>
      </c>
      <c r="E38" s="293" t="s">
        <v>213</v>
      </c>
      <c r="F38" s="293" t="s">
        <v>213</v>
      </c>
      <c r="G38" s="294">
        <f>Plant_BD[[#This Row],[Date]]-DAY(Plant_BD[[#This Row],[Date]])+1</f>
        <v>45839</v>
      </c>
      <c r="H38" s="279">
        <f>DAY(EOMONTH(Plant_BD[[#This Row],[Month Year]],0))</f>
        <v>31</v>
      </c>
      <c r="I38" s="295">
        <f>_xlfn.XLOOKUP(Plant_BD[[#This Row],[Date]],'Raw Data'!$G:$G,'Raw Data'!$I:$I)</f>
        <v>0.26458333333333334</v>
      </c>
      <c r="J38" s="295">
        <f>_xlfn.XLOOKUP(Plant_BD[[#This Row],[Date]],'Raw Data'!$G:$G,'Raw Data'!$J:$J)</f>
        <v>0.74861111111111112</v>
      </c>
      <c r="K38" s="296">
        <f>IFERROR((Plant_BD[[#This Row],[Sunset Time (POA&lt;20 W/m2)]]-Plant_BD[[#This Row],[Sunrise Time (POA&gt;20 W/m2)]])*24,"")</f>
        <v>11.616666666666667</v>
      </c>
      <c r="L38" s="296"/>
      <c r="M38" s="296"/>
      <c r="N38" s="296"/>
      <c r="O38" s="296"/>
      <c r="P38" s="296"/>
      <c r="Q38" s="296"/>
      <c r="R38" s="296"/>
      <c r="S38" s="296"/>
      <c r="T38" s="297" t="s">
        <v>1597</v>
      </c>
      <c r="U38" s="298">
        <f>IFERROR(_xlfn.XLOOKUP(Plant_BD[[#This Row],[Affected Equipment]],'Basic Data'!$A:$A,'Basic Data'!$B:$B),"")</f>
        <v>10506.3</v>
      </c>
      <c r="V38" s="299">
        <f>IFERROR(_xlfn.XLOOKUP(Plant_BD[[#This Row],[Affected Equipment]],'Basic Data'!$A:$A,'Basic Data'!$C:$C),"")</f>
        <v>1</v>
      </c>
      <c r="W38" s="300" t="s">
        <v>1670</v>
      </c>
      <c r="X38" s="300" t="s">
        <v>893</v>
      </c>
      <c r="Y38" s="301" t="s">
        <v>1671</v>
      </c>
      <c r="Z38" s="302" t="s">
        <v>1671</v>
      </c>
      <c r="AA38" s="303">
        <v>0.53472222222222221</v>
      </c>
      <c r="AB38" s="303">
        <v>0.53472222222222221</v>
      </c>
      <c r="AC38" s="303">
        <v>0.53472222222222221</v>
      </c>
      <c r="AD38" s="303">
        <v>0.54513888888888884</v>
      </c>
      <c r="AE38" s="304">
        <f>IF(Plant_BD[[#This Row],[Acknowledgement Time ]]="NA","",(Plant_BD[[#This Row],[Acknowledgement Time ]]-Plant_BD[[#This Row],[Fault Time]])*24)</f>
        <v>0</v>
      </c>
      <c r="AF38" s="304">
        <f>IF(Plant_BD[[#This Row],[Work Start time on Fault]]="NA","",(Plant_BD[[#This Row],[Work Start time on Fault]]-Plant_BD[[#This Row],[Fault Time]])*24)</f>
        <v>0</v>
      </c>
      <c r="AG38" s="305">
        <f>(Plant_BD[[#This Row],[Work Completion time on fault]]-Plant_BD[[#This Row],[Fault Time]])*24</f>
        <v>0.24999999999999911</v>
      </c>
      <c r="AH38" s="305">
        <f>IFERROR((Plant_BD[[#This Row],[Work Completion time on fault]]-Plant_BD[[#This Row],[Fault Time]])*24,"")</f>
        <v>0.24999999999999911</v>
      </c>
      <c r="AI38" s="306" t="s">
        <v>726</v>
      </c>
      <c r="AJ38" s="307" t="s">
        <v>266</v>
      </c>
      <c r="AK38" s="308">
        <f>IFERROR(Plant_BD[[#This Row],[Breakdown Time]]*Plant_BD[[#This Row],[Plant Equivalent Weightage]],"")</f>
        <v>0.24999999999999911</v>
      </c>
      <c r="AL38" s="307">
        <v>0.04</v>
      </c>
      <c r="AM38" s="304">
        <f>Plant_BD[[#This Row],[Lost PoA(kWh/m2)]]*Plant_BD[[#This Row],[DC Capacity Affected (kW)]]*_xlfn.XLOOKUP(Plant_BD[[#This Row],[Month Year]],'Modelling New'!$D:$D,'Modelling New'!$O:$O)</f>
        <v>294.39916725165511</v>
      </c>
      <c r="AN38" s="307"/>
      <c r="AO38" s="307"/>
      <c r="AP38" s="309"/>
    </row>
    <row r="39" spans="1:42">
      <c r="A39" s="290">
        <f t="shared" si="0"/>
        <v>38</v>
      </c>
      <c r="B39" s="291">
        <v>45866</v>
      </c>
      <c r="C39" s="292">
        <f>YEAR(Plant_BD[[#This Row],[Date]])+IF(MONTH(Plant_BD[[#This Row],[Date]])&gt;=4,1,0)</f>
        <v>2026</v>
      </c>
      <c r="D39" s="292">
        <f>YEAR(Plant_BD[[#This Row],[Date]])</f>
        <v>2025</v>
      </c>
      <c r="E39" s="293" t="s">
        <v>213</v>
      </c>
      <c r="F39" s="293" t="s">
        <v>213</v>
      </c>
      <c r="G39" s="294">
        <f>Plant_BD[[#This Row],[Date]]-DAY(Plant_BD[[#This Row],[Date]])+1</f>
        <v>45839</v>
      </c>
      <c r="H39" s="279">
        <f>DAY(EOMONTH(Plant_BD[[#This Row],[Month Year]],0))</f>
        <v>31</v>
      </c>
      <c r="I39" s="295">
        <f>_xlfn.XLOOKUP(Plant_BD[[#This Row],[Date]],'Raw Data'!$G:$G,'Raw Data'!$I:$I)</f>
        <v>0.27291666666666664</v>
      </c>
      <c r="J39" s="295">
        <f>_xlfn.XLOOKUP(Plant_BD[[#This Row],[Date]],'Raw Data'!$G:$G,'Raw Data'!$J:$J)</f>
        <v>0.77847222222222223</v>
      </c>
      <c r="K39" s="296">
        <f>IFERROR((Plant_BD[[#This Row],[Sunset Time (POA&lt;20 W/m2)]]-Plant_BD[[#This Row],[Sunrise Time (POA&gt;20 W/m2)]])*24,"")</f>
        <v>12.133333333333333</v>
      </c>
      <c r="L39" s="296"/>
      <c r="M39" s="296"/>
      <c r="N39" s="296"/>
      <c r="O39" s="296"/>
      <c r="P39" s="296"/>
      <c r="Q39" s="296"/>
      <c r="R39" s="296"/>
      <c r="S39" s="296"/>
      <c r="T39" s="297" t="s">
        <v>185</v>
      </c>
      <c r="U39" s="298">
        <f>IFERROR(_xlfn.XLOOKUP(Plant_BD[[#This Row],[Affected Equipment]],'Basic Data'!$A:$A,'Basic Data'!$B:$B),"")</f>
        <v>1833.3</v>
      </c>
      <c r="V39" s="299">
        <f>IFERROR(_xlfn.XLOOKUP(Plant_BD[[#This Row],[Affected Equipment]],'Basic Data'!$A:$A,'Basic Data'!$C:$C),"")</f>
        <v>0.17449530281830902</v>
      </c>
      <c r="W39" s="300" t="s">
        <v>185</v>
      </c>
      <c r="X39" s="300" t="s">
        <v>435</v>
      </c>
      <c r="Y39" s="301" t="s">
        <v>725</v>
      </c>
      <c r="Z39" s="302" t="s">
        <v>725</v>
      </c>
      <c r="AA39" s="303">
        <v>0.47222222222222221</v>
      </c>
      <c r="AB39" s="303">
        <v>0.47222222222222221</v>
      </c>
      <c r="AC39" s="303">
        <v>0.47222222222222221</v>
      </c>
      <c r="AD39" s="303">
        <v>0.4777777777777778</v>
      </c>
      <c r="AE39" s="304">
        <f>IF(Plant_BD[[#This Row],[Acknowledgement Time ]]="NA","",(Plant_BD[[#This Row],[Acknowledgement Time ]]-Plant_BD[[#This Row],[Fault Time]])*24)</f>
        <v>0</v>
      </c>
      <c r="AF39" s="304">
        <f>IF(Plant_BD[[#This Row],[Work Start time on Fault]]="NA","",(Plant_BD[[#This Row],[Work Start time on Fault]]-Plant_BD[[#This Row],[Fault Time]])*24)</f>
        <v>0</v>
      </c>
      <c r="AG39" s="305">
        <f>(Plant_BD[[#This Row],[Work Completion time on fault]]-Plant_BD[[#This Row],[Fault Time]])*24</f>
        <v>0.13333333333333419</v>
      </c>
      <c r="AH39" s="305">
        <f>IFERROR((Plant_BD[[#This Row],[Work Completion time on fault]]-Plant_BD[[#This Row],[Fault Time]])*24,"")</f>
        <v>0.13333333333333419</v>
      </c>
      <c r="AI39" s="306" t="s">
        <v>726</v>
      </c>
      <c r="AJ39" s="307" t="s">
        <v>266</v>
      </c>
      <c r="AK39" s="308">
        <f>IFERROR(Plant_BD[[#This Row],[Breakdown Time]]*Plant_BD[[#This Row],[Plant Equivalent Weightage]],"")</f>
        <v>2.3266040375774687E-2</v>
      </c>
      <c r="AL39" s="307">
        <v>0.13</v>
      </c>
      <c r="AM39" s="304">
        <f>Plant_BD[[#This Row],[Lost PoA(kWh/m2)]]*Plant_BD[[#This Row],[DC Capacity Affected (kW)]]*_xlfn.XLOOKUP(Plant_BD[[#This Row],[Month Year]],'Modelling New'!$D:$D,'Modelling New'!$O:$O)</f>
        <v>166.95663347686562</v>
      </c>
      <c r="AN39" s="307"/>
      <c r="AO39" s="307"/>
      <c r="AP39" s="309"/>
    </row>
    <row r="40" spans="1:42">
      <c r="A40" s="290">
        <v>39</v>
      </c>
      <c r="B40" s="291">
        <v>45870</v>
      </c>
      <c r="C40" s="292">
        <f>YEAR(Plant_BD[[#This Row],[Date]])+IF(MONTH(Plant_BD[[#This Row],[Date]])&gt;=4,1,0)</f>
        <v>2026</v>
      </c>
      <c r="D40" s="292">
        <f>YEAR(Plant_BD[[#This Row],[Date]])</f>
        <v>2025</v>
      </c>
      <c r="E40" s="293" t="s">
        <v>213</v>
      </c>
      <c r="F40" s="293" t="s">
        <v>213</v>
      </c>
      <c r="G40" s="294">
        <f>Plant_BD[[#This Row],[Date]]-DAY(Plant_BD[[#This Row],[Date]])+1</f>
        <v>45870</v>
      </c>
      <c r="H40" s="279">
        <f>DAY(EOMONTH(Plant_BD[[#This Row],[Month Year]],0))</f>
        <v>31</v>
      </c>
      <c r="I40" s="295">
        <f>_xlfn.XLOOKUP(Plant_BD[[#This Row],[Date]],'Raw Data'!$G:$G,'Raw Data'!$I:$I)</f>
        <v>0.26041666666666669</v>
      </c>
      <c r="J40" s="295">
        <f>_xlfn.XLOOKUP(Plant_BD[[#This Row],[Date]],'Raw Data'!$G:$G,'Raw Data'!$J:$J)</f>
        <v>0.77847222222222223</v>
      </c>
      <c r="K40" s="296">
        <f>IFERROR((Plant_BD[[#This Row],[Sunset Time (POA&lt;20 W/m2)]]-Plant_BD[[#This Row],[Sunrise Time (POA&gt;20 W/m2)]])*24,"")</f>
        <v>12.433333333333332</v>
      </c>
      <c r="L40" s="296"/>
      <c r="M40" s="296"/>
      <c r="N40" s="296">
        <v>1</v>
      </c>
      <c r="O40" s="296"/>
      <c r="P40" s="296"/>
      <c r="Q40" s="296"/>
      <c r="R40" s="296"/>
      <c r="S40" s="296"/>
      <c r="T40" s="297" t="s">
        <v>184</v>
      </c>
      <c r="U40" s="298">
        <f>IFERROR(_xlfn.XLOOKUP(Plant_BD[[#This Row],[Affected Equipment]],'Basic Data'!$A:$A,'Basic Data'!$B:$B),"")</f>
        <v>1669.29</v>
      </c>
      <c r="V40" s="299">
        <f>IFERROR(_xlfn.XLOOKUP(Plant_BD[[#This Row],[Affected Equipment]],'Basic Data'!$A:$A,'Basic Data'!$C:$C),"")</f>
        <v>0.15888466919848093</v>
      </c>
      <c r="W40" s="300" t="s">
        <v>184</v>
      </c>
      <c r="X40" s="300" t="s">
        <v>435</v>
      </c>
      <c r="Y40" s="301" t="s">
        <v>438</v>
      </c>
      <c r="Z40" s="302" t="s">
        <v>438</v>
      </c>
      <c r="AA40" s="303">
        <v>0.51180555555555551</v>
      </c>
      <c r="AB40" s="303">
        <v>0.51180555555555551</v>
      </c>
      <c r="AC40" s="303">
        <v>0.51180555555555551</v>
      </c>
      <c r="AD40" s="303">
        <v>0.5229166666666667</v>
      </c>
      <c r="AE40" s="304">
        <f>IF(Plant_BD[[#This Row],[Acknowledgement Time ]]="NA","",(Plant_BD[[#This Row],[Acknowledgement Time ]]-Plant_BD[[#This Row],[Fault Time]])*24)</f>
        <v>0</v>
      </c>
      <c r="AF40" s="304">
        <f>IF(Plant_BD[[#This Row],[Work Start time on Fault]]="NA","",(Plant_BD[[#This Row],[Work Start time on Fault]]-Plant_BD[[#This Row],[Fault Time]])*24)</f>
        <v>0</v>
      </c>
      <c r="AG40" s="305">
        <f>(Plant_BD[[#This Row],[Work Completion time on fault]]-Plant_BD[[#This Row],[Fault Time]])*24</f>
        <v>0.26666666666666838</v>
      </c>
      <c r="AH40" s="305">
        <f>IFERROR((Plant_BD[[#This Row],[Work Completion time on fault]]-Plant_BD[[#This Row],[Fault Time]])*24,"")</f>
        <v>0.26666666666666838</v>
      </c>
      <c r="AI40" s="306" t="s">
        <v>726</v>
      </c>
      <c r="AJ40" s="307" t="s">
        <v>266</v>
      </c>
      <c r="AK40" s="308">
        <f>IFERROR(Plant_BD[[#This Row],[Breakdown Time]]*Plant_BD[[#This Row],[Plant Equivalent Weightage]],"")</f>
        <v>4.2369245119595188E-2</v>
      </c>
      <c r="AL40" s="307">
        <v>0.26</v>
      </c>
      <c r="AM40" s="304">
        <f>Plant_BD[[#This Row],[Lost PoA(kWh/m2)]]*Plant_BD[[#This Row],[DC Capacity Affected (kW)]]*_xlfn.XLOOKUP(Plant_BD[[#This Row],[Month Year]],'Modelling New'!$D:$D,'Modelling New'!$O:$O)</f>
        <v>306.66061648038556</v>
      </c>
      <c r="AN40" s="307"/>
      <c r="AO40" s="307"/>
      <c r="AP40" s="309"/>
    </row>
    <row r="41" spans="1:42">
      <c r="A41" s="322">
        <v>40</v>
      </c>
      <c r="B41" s="291">
        <v>45872</v>
      </c>
      <c r="C41" s="323">
        <f>YEAR(Plant_BD[[#This Row],[Date]])+IF(MONTH(Plant_BD[[#This Row],[Date]])&gt;=4,1,0)</f>
        <v>2026</v>
      </c>
      <c r="D41" s="323">
        <f>YEAR(Plant_BD[[#This Row],[Date]])</f>
        <v>2025</v>
      </c>
      <c r="E41" s="293" t="s">
        <v>213</v>
      </c>
      <c r="F41" s="293" t="s">
        <v>213</v>
      </c>
      <c r="G41" s="324">
        <f>Plant_BD[[#This Row],[Date]]-DAY(Plant_BD[[#This Row],[Date]])+1</f>
        <v>45870</v>
      </c>
      <c r="H41" s="325">
        <f>DAY(EOMONTH(Plant_BD[[#This Row],[Month Year]],0))</f>
        <v>31</v>
      </c>
      <c r="I41" s="326">
        <f>_xlfn.XLOOKUP(Plant_BD[[#This Row],[Date]],'Raw Data'!$G:$G,'Raw Data'!$I:$I)</f>
        <v>0.26597222222222222</v>
      </c>
      <c r="J41" s="326">
        <f>_xlfn.XLOOKUP(Plant_BD[[#This Row],[Date]],'Raw Data'!$G:$G,'Raw Data'!$J:$J)</f>
        <v>0.77013888888888893</v>
      </c>
      <c r="K41" s="327">
        <f>IFERROR((Plant_BD[[#This Row],[Sunset Time (POA&lt;20 W/m2)]]-Plant_BD[[#This Row],[Sunrise Time (POA&gt;20 W/m2)]])*24,"")</f>
        <v>12.1</v>
      </c>
      <c r="L41" s="327"/>
      <c r="M41" s="327"/>
      <c r="N41" s="327">
        <v>2</v>
      </c>
      <c r="O41" s="327"/>
      <c r="P41" s="327"/>
      <c r="Q41" s="327"/>
      <c r="R41" s="327"/>
      <c r="S41" s="327"/>
      <c r="T41" s="297" t="s">
        <v>185</v>
      </c>
      <c r="U41" s="328">
        <f>IFERROR(_xlfn.XLOOKUP(Plant_BD[[#This Row],[Affected Equipment]],'Basic Data'!$A:$A,'Basic Data'!$B:$B),"")</f>
        <v>1833.3</v>
      </c>
      <c r="V41" s="299">
        <f>IFERROR(_xlfn.XLOOKUP(Plant_BD[[#This Row],[Affected Equipment]],'Basic Data'!$A:$A,'Basic Data'!$C:$C),"")</f>
        <v>0.17449530281830902</v>
      </c>
      <c r="W41" s="300" t="s">
        <v>185</v>
      </c>
      <c r="X41" s="300" t="s">
        <v>435</v>
      </c>
      <c r="Y41" s="301" t="s">
        <v>725</v>
      </c>
      <c r="Z41" s="302" t="s">
        <v>725</v>
      </c>
      <c r="AA41" s="329">
        <v>0.49930555555555556</v>
      </c>
      <c r="AB41" s="329">
        <v>0.49930555555555556</v>
      </c>
      <c r="AC41" s="329">
        <v>0.49930555555555556</v>
      </c>
      <c r="AD41" s="329">
        <v>0.51527777777777772</v>
      </c>
      <c r="AE41" s="330">
        <f>IF(Plant_BD[[#This Row],[Acknowledgement Time ]]="NA","",(Plant_BD[[#This Row],[Acknowledgement Time ]]-Plant_BD[[#This Row],[Fault Time]])*24)</f>
        <v>0</v>
      </c>
      <c r="AF41" s="330">
        <f>IF(Plant_BD[[#This Row],[Work Start time on Fault]]="NA","",(Plant_BD[[#This Row],[Work Start time on Fault]]-Plant_BD[[#This Row],[Fault Time]])*24)</f>
        <v>0</v>
      </c>
      <c r="AG41" s="331">
        <f>(Plant_BD[[#This Row],[Work Completion time on fault]]-Plant_BD[[#This Row],[Fault Time]])*24</f>
        <v>0.38333333333333197</v>
      </c>
      <c r="AH41" s="331">
        <f>IFERROR((Plant_BD[[#This Row],[Work Completion time on fault]]-Plant_BD[[#This Row],[Fault Time]])*24,"")</f>
        <v>0.38333333333333197</v>
      </c>
      <c r="AI41" s="306" t="s">
        <v>726</v>
      </c>
      <c r="AJ41" s="307" t="s">
        <v>266</v>
      </c>
      <c r="AK41" s="333">
        <f>IFERROR(Plant_BD[[#This Row],[Breakdown Time]]*Plant_BD[[#This Row],[Plant Equivalent Weightage]],"")</f>
        <v>6.6889866080351551E-2</v>
      </c>
      <c r="AL41" s="332">
        <v>0.3</v>
      </c>
      <c r="AM41" s="304">
        <f>Plant_BD[[#This Row],[Lost PoA(kWh/m2)]]*Plant_BD[[#This Row],[DC Capacity Affected (kW)]]*_xlfn.XLOOKUP(Plant_BD[[#This Row],[Month Year]],'Modelling New'!$D:$D,'Modelling New'!$O:$O)</f>
        <v>388.60435011763929</v>
      </c>
      <c r="AN41" s="332"/>
      <c r="AO41" s="332"/>
      <c r="AP41" s="334"/>
    </row>
    <row r="42" spans="1:42">
      <c r="A42" s="322">
        <v>41</v>
      </c>
      <c r="B42" s="291">
        <v>45873</v>
      </c>
      <c r="C42" s="323">
        <f>YEAR(Plant_BD[[#This Row],[Date]])+IF(MONTH(Plant_BD[[#This Row],[Date]])&gt;=4,1,0)</f>
        <v>2026</v>
      </c>
      <c r="D42" s="323">
        <f>YEAR(Plant_BD[[#This Row],[Date]])</f>
        <v>2025</v>
      </c>
      <c r="E42" s="293" t="s">
        <v>213</v>
      </c>
      <c r="F42" s="293" t="s">
        <v>213</v>
      </c>
      <c r="G42" s="324">
        <f>Plant_BD[[#This Row],[Date]]-DAY(Plant_BD[[#This Row],[Date]])+1</f>
        <v>45870</v>
      </c>
      <c r="H42" s="358">
        <f>DAY(EOMONTH(Plant_BD[[#This Row],[Month Year]],0))</f>
        <v>31</v>
      </c>
      <c r="I42" s="326">
        <f>_xlfn.XLOOKUP(Plant_BD[[#This Row],[Date]],'Raw Data'!$G:$G,'Raw Data'!$I:$I)</f>
        <v>0.27013888888888887</v>
      </c>
      <c r="J42" s="326">
        <f>_xlfn.XLOOKUP(Plant_BD[[#This Row],[Date]],'Raw Data'!$G:$G,'Raw Data'!$J:$J)</f>
        <v>0.7680555555555556</v>
      </c>
      <c r="K42" s="327">
        <f>IFERROR((Plant_BD[[#This Row],[Sunset Time (POA&lt;20 W/m2)]]-Plant_BD[[#This Row],[Sunrise Time (POA&gt;20 W/m2)]])*24,"")</f>
        <v>11.950000000000001</v>
      </c>
      <c r="L42" s="327"/>
      <c r="M42" s="327"/>
      <c r="N42" s="327">
        <v>2</v>
      </c>
      <c r="O42" s="327"/>
      <c r="P42" s="327"/>
      <c r="Q42" s="327"/>
      <c r="R42" s="327"/>
      <c r="S42" s="327"/>
      <c r="T42" s="297" t="s">
        <v>185</v>
      </c>
      <c r="U42" s="328">
        <f>IFERROR(_xlfn.XLOOKUP(Plant_BD[[#This Row],[Affected Equipment]],'Basic Data'!$A:$A,'Basic Data'!$B:$B),"")</f>
        <v>1833.3</v>
      </c>
      <c r="V42" s="299">
        <f>IFERROR(_xlfn.XLOOKUP(Plant_BD[[#This Row],[Affected Equipment]],'Basic Data'!$A:$A,'Basic Data'!$C:$C),"")</f>
        <v>0.17449530281830902</v>
      </c>
      <c r="W42" s="300" t="s">
        <v>185</v>
      </c>
      <c r="X42" s="300" t="s">
        <v>435</v>
      </c>
      <c r="Y42" s="301" t="s">
        <v>725</v>
      </c>
      <c r="Z42" s="302" t="s">
        <v>725</v>
      </c>
      <c r="AA42" s="329">
        <v>0.53402777777777777</v>
      </c>
      <c r="AB42" s="329">
        <v>0.53402777777777777</v>
      </c>
      <c r="AC42" s="329">
        <v>0.53402777777777777</v>
      </c>
      <c r="AD42" s="329">
        <v>0.54305555555555551</v>
      </c>
      <c r="AE42" s="330">
        <f>IF(Plant_BD[[#This Row],[Acknowledgement Time ]]="NA","",(Plant_BD[[#This Row],[Acknowledgement Time ]]-Plant_BD[[#This Row],[Fault Time]])*24)</f>
        <v>0</v>
      </c>
      <c r="AF42" s="330">
        <f>IF(Plant_BD[[#This Row],[Work Start time on Fault]]="NA","",(Plant_BD[[#This Row],[Work Start time on Fault]]-Plant_BD[[#This Row],[Fault Time]])*24)</f>
        <v>0</v>
      </c>
      <c r="AG42" s="331">
        <f>(Plant_BD[[#This Row],[Work Completion time on fault]]-Plant_BD[[#This Row],[Fault Time]])*24</f>
        <v>0.2166666666666659</v>
      </c>
      <c r="AH42" s="331">
        <f>IFERROR((Plant_BD[[#This Row],[Work Completion time on fault]]-Plant_BD[[#This Row],[Fault Time]])*24,"")</f>
        <v>0.2166666666666659</v>
      </c>
      <c r="AI42" s="306" t="s">
        <v>726</v>
      </c>
      <c r="AJ42" s="307" t="s">
        <v>266</v>
      </c>
      <c r="AK42" s="333">
        <f>IFERROR(Plant_BD[[#This Row],[Breakdown Time]]*Plant_BD[[#This Row],[Plant Equivalent Weightage]],"")</f>
        <v>3.7807315610633489E-2</v>
      </c>
      <c r="AL42" s="332">
        <v>0.28209999999999902</v>
      </c>
      <c r="AM42" s="304">
        <f>Plant_BD[[#This Row],[Lost PoA(kWh/m2)]]*Plant_BD[[#This Row],[DC Capacity Affected (kW)]]*_xlfn.XLOOKUP(Plant_BD[[#This Row],[Month Year]],'Modelling New'!$D:$D,'Modelling New'!$O:$O)</f>
        <v>365.41762389395222</v>
      </c>
      <c r="AN42" s="332"/>
      <c r="AO42" s="332"/>
      <c r="AP42" s="334"/>
    </row>
  </sheetData>
  <pageMargins left="0.7" right="0.7" top="0.75" bottom="0.75" header="0.3" footer="0.3"/>
  <pageSetup orientation="portrait" r:id="rId1"/>
  <ignoredErrors>
    <ignoredError sqref="AM2 AM3:AM34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948143-A228-4B6B-BB5A-96D685F628E3}">
          <x14:formula1>
            <xm:f>'Basic Data'!$M$2:$M$3</xm:f>
          </x14:formula1>
          <xm:sqref>AJ2:AJ1048576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6747D-05D4-43E0-AFAE-20618181848D}">
  <sheetPr codeName="Sheet17"/>
  <dimension ref="A1:AE15"/>
  <sheetViews>
    <sheetView workbookViewId="0">
      <pane xSplit="2" ySplit="1" topLeftCell="C4" activePane="bottomRight" state="frozen"/>
      <selection pane="topRight" activeCell="C1" sqref="C1"/>
      <selection pane="bottomLeft" activeCell="A2" sqref="A2"/>
      <selection pane="bottomRight" activeCell="B16" sqref="B16"/>
    </sheetView>
  </sheetViews>
  <sheetFormatPr defaultColWidth="8.7109375" defaultRowHeight="15"/>
  <cols>
    <col min="1" max="1" width="10.85546875" style="263" bestFit="1" customWidth="1"/>
    <col min="2" max="2" width="10.140625" style="263" bestFit="1" customWidth="1"/>
    <col min="3" max="3" width="10.85546875" style="263" customWidth="1"/>
    <col min="4" max="4" width="11.85546875" style="263" customWidth="1"/>
    <col min="5" max="5" width="14.42578125" style="263" customWidth="1"/>
    <col min="6" max="6" width="11.140625" style="263" customWidth="1"/>
    <col min="7" max="7" width="10.28515625" style="263" customWidth="1"/>
    <col min="8" max="8" width="9.42578125" style="263" bestFit="1" customWidth="1"/>
    <col min="9" max="9" width="14.85546875" style="263" customWidth="1"/>
    <col min="10" max="10" width="18.42578125" style="263" customWidth="1"/>
    <col min="11" max="11" width="14.85546875" style="263" customWidth="1"/>
    <col min="12" max="12" width="11.5703125" style="263" customWidth="1"/>
    <col min="13" max="13" width="12.7109375" style="263" customWidth="1"/>
    <col min="14" max="14" width="28.5703125" style="320" bestFit="1" customWidth="1"/>
    <col min="15" max="15" width="30" style="263" bestFit="1" customWidth="1"/>
    <col min="16" max="16" width="17.5703125" style="263" bestFit="1" customWidth="1"/>
    <col min="17" max="17" width="25.42578125" style="263" bestFit="1" customWidth="1"/>
    <col min="18" max="18" width="50.140625" style="321" bestFit="1" customWidth="1"/>
    <col min="19" max="19" width="14.140625" style="263" bestFit="1" customWidth="1"/>
    <col min="20" max="20" width="26.140625" style="263" bestFit="1" customWidth="1"/>
    <col min="21" max="21" width="26.42578125" style="263" bestFit="1" customWidth="1"/>
    <col min="22" max="22" width="31.85546875" style="263" bestFit="1" customWidth="1"/>
    <col min="23" max="23" width="25.42578125" style="263" bestFit="1" customWidth="1"/>
    <col min="24" max="24" width="18" style="263" bestFit="1" customWidth="1"/>
    <col min="25" max="25" width="18.85546875" style="263" bestFit="1" customWidth="1"/>
    <col min="26" max="26" width="19.5703125" style="263" bestFit="1" customWidth="1"/>
    <col min="27" max="27" width="16" style="263" bestFit="1" customWidth="1"/>
    <col min="28" max="28" width="10.5703125" style="263" bestFit="1" customWidth="1"/>
    <col min="29" max="29" width="29.28515625" style="263" bestFit="1" customWidth="1"/>
    <col min="30" max="30" width="21.42578125" style="263" bestFit="1" customWidth="1"/>
    <col min="31" max="31" width="32.42578125" style="263" bestFit="1" customWidth="1"/>
    <col min="32" max="16384" width="8.7109375" style="263"/>
  </cols>
  <sheetData>
    <row r="1" spans="1:31" s="312" customFormat="1" ht="45">
      <c r="A1" s="312" t="s">
        <v>7</v>
      </c>
      <c r="B1" s="312" t="s">
        <v>36</v>
      </c>
      <c r="C1" s="312" t="s">
        <v>64</v>
      </c>
      <c r="D1" s="312" t="s">
        <v>138</v>
      </c>
      <c r="E1" s="312" t="s">
        <v>231</v>
      </c>
      <c r="F1" s="312" t="s">
        <v>180</v>
      </c>
      <c r="G1" s="312" t="s">
        <v>139</v>
      </c>
      <c r="H1" s="312" t="s">
        <v>65</v>
      </c>
      <c r="I1" s="312" t="s">
        <v>182</v>
      </c>
      <c r="J1" s="312" t="s">
        <v>183</v>
      </c>
      <c r="K1" s="312" t="s">
        <v>232</v>
      </c>
      <c r="L1" s="312" t="s">
        <v>1741</v>
      </c>
      <c r="M1" s="312" t="s">
        <v>1735</v>
      </c>
      <c r="N1" s="312" t="s">
        <v>234</v>
      </c>
      <c r="O1" s="312" t="s">
        <v>1736</v>
      </c>
      <c r="P1" s="312" t="s">
        <v>241</v>
      </c>
      <c r="Q1" s="312" t="s">
        <v>242</v>
      </c>
      <c r="R1" s="312" t="s">
        <v>243</v>
      </c>
      <c r="S1" s="312" t="s">
        <v>244</v>
      </c>
      <c r="T1" s="312" t="s">
        <v>1737</v>
      </c>
      <c r="U1" s="312" t="s">
        <v>246</v>
      </c>
      <c r="V1" s="312" t="s">
        <v>247</v>
      </c>
      <c r="W1" s="312" t="s">
        <v>248</v>
      </c>
      <c r="X1" s="312" t="s">
        <v>249</v>
      </c>
      <c r="Y1" s="312" t="s">
        <v>250</v>
      </c>
      <c r="Z1" s="312" t="s">
        <v>251</v>
      </c>
      <c r="AA1" s="312" t="s">
        <v>252</v>
      </c>
      <c r="AB1" s="312" t="s">
        <v>253</v>
      </c>
      <c r="AC1" s="312" t="s">
        <v>256</v>
      </c>
      <c r="AD1" s="312" t="s">
        <v>1738</v>
      </c>
      <c r="AE1" s="312" t="s">
        <v>1739</v>
      </c>
    </row>
    <row r="2" spans="1:31">
      <c r="A2" s="263">
        <v>1</v>
      </c>
      <c r="B2" s="313">
        <v>45778</v>
      </c>
      <c r="C2" s="272">
        <f>YEAR(Grid_BD[[#This Row],[Date]])+IF(MONTH(Grid_BD[[#This Row],[Date]])&gt;=4,1,0)</f>
        <v>2026</v>
      </c>
      <c r="D2" s="314">
        <f>YEAR(Grid_BD[[#This Row],[Date]])</f>
        <v>2025</v>
      </c>
      <c r="E2" s="314" t="s">
        <v>211</v>
      </c>
      <c r="F2" s="314" t="s">
        <v>211</v>
      </c>
      <c r="G2" s="315">
        <f>Grid_BD[[#This Row],[Date]]-DAY(Grid_BD[[#This Row],[Date]])+1</f>
        <v>45778</v>
      </c>
      <c r="H2" s="316">
        <f>DAY(EOMONTH(Grid_BD[[#This Row],[Month Year]],0))</f>
        <v>31</v>
      </c>
      <c r="I2" s="317">
        <f>_xlfn.XLOOKUP(Plant_BD[[#This Row],[Date]],'Raw Data'!$G:$G,'Raw Data'!$I:$I)</f>
        <v>0.26944444444444443</v>
      </c>
      <c r="J2" s="317">
        <f>_xlfn.XLOOKUP(Grid_BD[[#This Row],[Date]],'Raw Data'!$G:$G,'Raw Data'!$J:$J)</f>
        <v>0.77152777777777781</v>
      </c>
      <c r="K2" s="318">
        <f>IFERROR((Grid_BD[[#This Row],[Sunset Time (POA&lt;20 W/m2)]]-Grid_BD[[#This Row],[Sunrise Time (POA&gt;20 W/m2)]])*24,"")</f>
        <v>12.050000000000002</v>
      </c>
      <c r="M2" s="319">
        <v>10507</v>
      </c>
      <c r="N2" s="320">
        <v>1</v>
      </c>
      <c r="P2" s="263" t="s">
        <v>706</v>
      </c>
      <c r="R2" s="321" t="s">
        <v>898</v>
      </c>
      <c r="S2" s="317">
        <v>0.25694444444444442</v>
      </c>
      <c r="T2" s="317">
        <v>0.25694444444444442</v>
      </c>
      <c r="U2" s="317">
        <v>0.25694444444444442</v>
      </c>
      <c r="V2" s="317">
        <v>0.49027777777777776</v>
      </c>
      <c r="W2" s="317">
        <v>0</v>
      </c>
      <c r="X2" s="263">
        <f>(Grid_BD[[#This Row],[Work Start time on Fault]]-Grid_BD[[#This Row],[Fault Time]])*24</f>
        <v>0</v>
      </c>
      <c r="Y2" s="318">
        <f>(Grid_BD[[#This Row],[Work Completion time on fault]]-Grid_BD[[#This Row],[Fault Time]])*24</f>
        <v>5.6</v>
      </c>
      <c r="Z2" s="319">
        <f>(Grid_BD[[#This Row],[Work Completion time on fault]]-Grid_BD[[#This Row],[Fault Time]])*24</f>
        <v>5.6</v>
      </c>
      <c r="AB2" s="263" t="s">
        <v>266</v>
      </c>
      <c r="AC2" s="319">
        <f>IFERROR(Grid_BD[[#This Row],[Plant Equivalent Weightage]]*Grid_BD[[#This Row],[Resolution Time]],"")</f>
        <v>5.6</v>
      </c>
      <c r="AD2" s="263">
        <v>2.9</v>
      </c>
      <c r="AE2" s="318">
        <f>Grid_BD[[#This Row],[Lost PoA(kWh/m2)]]*Grid_BD[[#This Row],[DC Capacity Affected (kW)]]*_xlfn.XLOOKUP(Grid_BD[[#This Row],[Month Year]],'Modelling New'!$D:$D,'Modelling New'!$O:$O)/1000</f>
        <v>21.182879102377782</v>
      </c>
    </row>
    <row r="3" spans="1:31">
      <c r="A3" s="263">
        <f t="shared" ref="A3:A15" si="0">A2+1</f>
        <v>2</v>
      </c>
      <c r="B3" s="313">
        <v>45801</v>
      </c>
      <c r="C3" s="272">
        <f>YEAR(Grid_BD[[#This Row],[Date]])+IF(MONTH(Grid_BD[[#This Row],[Date]])&gt;=4,1,0)</f>
        <v>2026</v>
      </c>
      <c r="D3" s="263">
        <f>YEAR(Grid_BD[[#This Row],[Date]])</f>
        <v>2025</v>
      </c>
      <c r="E3" s="314" t="s">
        <v>211</v>
      </c>
      <c r="F3" s="314" t="s">
        <v>211</v>
      </c>
      <c r="G3" s="315">
        <f>Grid_BD[[#This Row],[Date]]-DAY(Grid_BD[[#This Row],[Date]])+1</f>
        <v>45778</v>
      </c>
      <c r="H3" s="263">
        <f>DAY(EOMONTH(Grid_BD[[#This Row],[Month Year]],0))</f>
        <v>31</v>
      </c>
      <c r="I3" s="317">
        <f>_xlfn.XLOOKUP(Plant_BD[[#This Row],[Date]],'Raw Data'!$G:$G,'Raw Data'!$I:$I)</f>
        <v>0.26597222222222222</v>
      </c>
      <c r="J3" s="317">
        <f>_xlfn.XLOOKUP(Grid_BD[[#This Row],[Date]],'Raw Data'!$G:$G,'Raw Data'!$J:$J)</f>
        <v>0.76388888888888884</v>
      </c>
      <c r="K3" s="318">
        <f>IFERROR((Grid_BD[[#This Row],[Sunset Time (POA&lt;20 W/m2)]]-Grid_BD[[#This Row],[Sunrise Time (POA&gt;20 W/m2)]])*24,"")</f>
        <v>11.95</v>
      </c>
      <c r="M3" s="319">
        <v>10507</v>
      </c>
      <c r="N3" s="320">
        <v>1</v>
      </c>
      <c r="P3" s="263" t="s">
        <v>706</v>
      </c>
      <c r="R3" s="321" t="s">
        <v>898</v>
      </c>
      <c r="S3" s="317">
        <v>0.43194444444444446</v>
      </c>
      <c r="T3" s="317">
        <v>0.43194444444444446</v>
      </c>
      <c r="U3" s="317">
        <v>0.43194444444444446</v>
      </c>
      <c r="V3" s="317">
        <v>0.4548611111111111</v>
      </c>
      <c r="W3" s="317">
        <v>0</v>
      </c>
      <c r="X3" s="263">
        <f>(Grid_BD[[#This Row],[Work Start time on Fault]]-Grid_BD[[#This Row],[Fault Time]])*24</f>
        <v>0</v>
      </c>
      <c r="Y3" s="318">
        <f>(Grid_BD[[#This Row],[Work Completion time on fault]]-Grid_BD[[#This Row],[Fault Time]])*24</f>
        <v>0.54999999999999938</v>
      </c>
      <c r="Z3" s="319">
        <f>(Grid_BD[[#This Row],[Work Completion time on fault]]-Grid_BD[[#This Row],[Fault Time]])*24</f>
        <v>0.54999999999999938</v>
      </c>
      <c r="AB3" s="263" t="s">
        <v>266</v>
      </c>
      <c r="AC3" s="319">
        <f>IFERROR(Grid_BD[[#This Row],[Plant Equivalent Weightage]]*Grid_BD[[#This Row],[Resolution Time]],"")</f>
        <v>0.54999999999999938</v>
      </c>
      <c r="AD3" s="263">
        <v>0.27</v>
      </c>
      <c r="AE3" s="318">
        <f>Grid_BD[[#This Row],[Lost PoA(kWh/m2)]]*Grid_BD[[#This Row],[DC Capacity Affected (kW)]]*_xlfn.XLOOKUP(Grid_BD[[#This Row],[Month Year]],'Modelling New'!$D:$D,'Modelling New'!$O:$O)/1000</f>
        <v>1.9721990888420695</v>
      </c>
    </row>
    <row r="4" spans="1:31">
      <c r="A4" s="263">
        <f t="shared" si="0"/>
        <v>3</v>
      </c>
      <c r="B4" s="313">
        <v>45802</v>
      </c>
      <c r="C4" s="272">
        <f>YEAR(Grid_BD[[#This Row],[Date]])+IF(MONTH(Grid_BD[[#This Row],[Date]])&gt;=4,1,0)</f>
        <v>2026</v>
      </c>
      <c r="D4" s="263">
        <f>YEAR(Grid_BD[[#This Row],[Date]])</f>
        <v>2025</v>
      </c>
      <c r="E4" s="314" t="s">
        <v>211</v>
      </c>
      <c r="F4" s="314" t="s">
        <v>211</v>
      </c>
      <c r="G4" s="315">
        <f>Grid_BD[[#This Row],[Date]]-DAY(Grid_BD[[#This Row],[Date]])+1</f>
        <v>45778</v>
      </c>
      <c r="H4" s="263">
        <f>DAY(EOMONTH(Grid_BD[[#This Row],[Month Year]],0))</f>
        <v>31</v>
      </c>
      <c r="I4" s="317">
        <f>_xlfn.XLOOKUP(Plant_BD[[#This Row],[Date]],'Raw Data'!$G:$G,'Raw Data'!$I:$I)</f>
        <v>0.27152777777777776</v>
      </c>
      <c r="J4" s="317">
        <f>_xlfn.XLOOKUP(Grid_BD[[#This Row],[Date]],'Raw Data'!$G:$G,'Raw Data'!$J:$J)</f>
        <v>0.77222222222222225</v>
      </c>
      <c r="K4" s="318">
        <f>IFERROR((Grid_BD[[#This Row],[Sunset Time (POA&lt;20 W/m2)]]-Grid_BD[[#This Row],[Sunrise Time (POA&gt;20 W/m2)]])*24,"")</f>
        <v>12.016666666666669</v>
      </c>
      <c r="M4" s="319">
        <v>10507</v>
      </c>
      <c r="N4" s="320">
        <v>1</v>
      </c>
      <c r="P4" s="263" t="s">
        <v>706</v>
      </c>
      <c r="R4" s="321" t="s">
        <v>898</v>
      </c>
      <c r="S4" s="317">
        <v>0.55277777777777781</v>
      </c>
      <c r="T4" s="317">
        <v>0.55277777777777781</v>
      </c>
      <c r="U4" s="317">
        <v>0.55277777777777781</v>
      </c>
      <c r="V4" s="317">
        <v>0.5708333333333333</v>
      </c>
      <c r="W4" s="317">
        <v>0</v>
      </c>
      <c r="X4" s="263">
        <f>(Grid_BD[[#This Row],[Work Start time on Fault]]-Grid_BD[[#This Row],[Fault Time]])*24</f>
        <v>0</v>
      </c>
      <c r="Y4" s="318">
        <f>(Grid_BD[[#This Row],[Work Completion time on fault]]-Grid_BD[[#This Row],[Fault Time]])*24</f>
        <v>0.43333333333333179</v>
      </c>
      <c r="Z4" s="319">
        <f>(Grid_BD[[#This Row],[Work Completion time on fault]]-Grid_BD[[#This Row],[Fault Time]])*24</f>
        <v>0.43333333333333179</v>
      </c>
      <c r="AB4" s="263" t="s">
        <v>266</v>
      </c>
      <c r="AC4" s="319">
        <f>IFERROR(Grid_BD[[#This Row],[Plant Equivalent Weightage]]*Grid_BD[[#This Row],[Resolution Time]],"")</f>
        <v>0.43333333333333179</v>
      </c>
      <c r="AD4" s="263">
        <v>0.15</v>
      </c>
      <c r="AE4" s="318">
        <f>Grid_BD[[#This Row],[Lost PoA(kWh/m2)]]*Grid_BD[[#This Row],[DC Capacity Affected (kW)]]*_xlfn.XLOOKUP(Grid_BD[[#This Row],[Month Year]],'Modelling New'!$D:$D,'Modelling New'!$O:$O)/1000</f>
        <v>1.0956661604678164</v>
      </c>
    </row>
    <row r="5" spans="1:31">
      <c r="A5" s="263">
        <f t="shared" si="0"/>
        <v>4</v>
      </c>
      <c r="B5" s="313">
        <v>45813</v>
      </c>
      <c r="C5" s="272">
        <f>YEAR(Grid_BD[[#This Row],[Date]])+IF(MONTH(Grid_BD[[#This Row],[Date]])&gt;=4,1,0)</f>
        <v>2026</v>
      </c>
      <c r="D5" s="263">
        <f>YEAR(Grid_BD[[#This Row],[Date]])</f>
        <v>2025</v>
      </c>
      <c r="E5" s="314" t="s">
        <v>211</v>
      </c>
      <c r="F5" s="314" t="s">
        <v>211</v>
      </c>
      <c r="G5" s="315">
        <f>Grid_BD[[#This Row],[Date]]-DAY(Grid_BD[[#This Row],[Date]])+1</f>
        <v>45809</v>
      </c>
      <c r="H5" s="263">
        <f>DAY(EOMONTH(Grid_BD[[#This Row],[Month Year]],0))</f>
        <v>30</v>
      </c>
      <c r="I5" s="317">
        <f>_xlfn.XLOOKUP(Plant_BD[[#This Row],[Date]],'Raw Data'!$G:$G,'Raw Data'!$I:$I)</f>
        <v>0.26458333333333334</v>
      </c>
      <c r="J5" s="317">
        <f>_xlfn.XLOOKUP(Grid_BD[[#This Row],[Date]],'Raw Data'!$G:$G,'Raw Data'!$J:$J)</f>
        <v>0.77430555555555558</v>
      </c>
      <c r="K5" s="318">
        <f>IFERROR((Grid_BD[[#This Row],[Sunset Time (POA&lt;20 W/m2)]]-Grid_BD[[#This Row],[Sunrise Time (POA&gt;20 W/m2)]])*24,"")</f>
        <v>12.233333333333333</v>
      </c>
      <c r="M5" s="319">
        <v>10507</v>
      </c>
      <c r="N5" s="320">
        <v>1</v>
      </c>
      <c r="P5" s="263" t="s">
        <v>706</v>
      </c>
      <c r="R5" s="321" t="s">
        <v>898</v>
      </c>
      <c r="S5" s="317">
        <v>0.7104166666666667</v>
      </c>
      <c r="T5" s="317">
        <v>0.7104166666666667</v>
      </c>
      <c r="U5" s="317">
        <v>0.7104166666666667</v>
      </c>
      <c r="V5" s="317">
        <v>0.77430555555555558</v>
      </c>
      <c r="W5" s="317">
        <v>0</v>
      </c>
      <c r="X5" s="263">
        <f>(Grid_BD[[#This Row],[Work Start time on Fault]]-Grid_BD[[#This Row],[Fault Time]])*24</f>
        <v>0</v>
      </c>
      <c r="Y5" s="318">
        <f>(Grid_BD[[#This Row],[Work Completion time on fault]]-Grid_BD[[#This Row],[Fault Time]])*24</f>
        <v>1.5333333333333332</v>
      </c>
      <c r="Z5" s="319">
        <f>(Grid_BD[[#This Row],[Work Completion time on fault]]-Grid_BD[[#This Row],[Fault Time]])*24</f>
        <v>1.5333333333333332</v>
      </c>
      <c r="AB5" s="263" t="s">
        <v>266</v>
      </c>
      <c r="AC5" s="319">
        <f>IFERROR(Grid_BD[[#This Row],[Plant Equivalent Weightage]]*Grid_BD[[#This Row],[Resolution Time]],"")</f>
        <v>1.5333333333333332</v>
      </c>
      <c r="AD5" s="263">
        <v>0.17</v>
      </c>
      <c r="AE5" s="318">
        <f>Grid_BD[[#This Row],[Lost PoA(kWh/m2)]]*Grid_BD[[#This Row],[DC Capacity Affected (kW)]]*_xlfn.XLOOKUP(Grid_BD[[#This Row],[Month Year]],'Modelling New'!$D:$D,'Modelling New'!$O:$O)/1000</f>
        <v>1.213994052097306</v>
      </c>
    </row>
    <row r="6" spans="1:31">
      <c r="A6" s="263">
        <f t="shared" si="0"/>
        <v>5</v>
      </c>
      <c r="B6" s="313">
        <v>45818</v>
      </c>
      <c r="C6" s="272">
        <f>YEAR(Grid_BD[[#This Row],[Date]])+IF(MONTH(Grid_BD[[#This Row],[Date]])&gt;=4,1,0)</f>
        <v>2026</v>
      </c>
      <c r="D6" s="263">
        <f>YEAR(Grid_BD[[#This Row],[Date]])</f>
        <v>2025</v>
      </c>
      <c r="E6" s="314" t="s">
        <v>211</v>
      </c>
      <c r="F6" s="314" t="s">
        <v>211</v>
      </c>
      <c r="G6" s="315">
        <f>Grid_BD[[#This Row],[Date]]-DAY(Grid_BD[[#This Row],[Date]])+1</f>
        <v>45809</v>
      </c>
      <c r="H6" s="263">
        <f>DAY(EOMONTH(Grid_BD[[#This Row],[Month Year]],0))</f>
        <v>30</v>
      </c>
      <c r="I6" s="317">
        <f>_xlfn.XLOOKUP(Plant_BD[[#This Row],[Date]],'Raw Data'!$G:$G,'Raw Data'!$I:$I)</f>
        <v>0.27083333333333331</v>
      </c>
      <c r="J6" s="317">
        <f>_xlfn.XLOOKUP(Grid_BD[[#This Row],[Date]],'Raw Data'!$G:$G,'Raw Data'!$J:$J)</f>
        <v>0.77777777777777779</v>
      </c>
      <c r="K6" s="318">
        <f>IFERROR((Grid_BD[[#This Row],[Sunset Time (POA&lt;20 W/m2)]]-Grid_BD[[#This Row],[Sunrise Time (POA&gt;20 W/m2)]])*24,"")</f>
        <v>12.166666666666666</v>
      </c>
      <c r="M6" s="319">
        <v>10507</v>
      </c>
      <c r="N6" s="320">
        <v>1</v>
      </c>
      <c r="P6" s="263" t="s">
        <v>706</v>
      </c>
      <c r="R6" s="321" t="s">
        <v>898</v>
      </c>
      <c r="S6" s="317">
        <v>0.61041666666666672</v>
      </c>
      <c r="T6" s="317">
        <v>0.61041666666666672</v>
      </c>
      <c r="U6" s="317">
        <v>0.61041666666666672</v>
      </c>
      <c r="V6" s="317">
        <v>0.6645833333333333</v>
      </c>
      <c r="W6" s="317">
        <v>0</v>
      </c>
      <c r="X6" s="263">
        <f>(Grid_BD[[#This Row],[Work Start time on Fault]]-Grid_BD[[#This Row],[Fault Time]])*24</f>
        <v>0</v>
      </c>
      <c r="Y6" s="318">
        <f>(Grid_BD[[#This Row],[Work Completion time on fault]]-Grid_BD[[#This Row],[Fault Time]])*24</f>
        <v>1.299999999999998</v>
      </c>
      <c r="Z6" s="319">
        <f>(Grid_BD[[#This Row],[Work Completion time on fault]]-Grid_BD[[#This Row],[Fault Time]])*24</f>
        <v>1.299999999999998</v>
      </c>
      <c r="AB6" s="263" t="s">
        <v>266</v>
      </c>
      <c r="AC6" s="319">
        <f>IFERROR(Grid_BD[[#This Row],[Plant Equivalent Weightage]]*Grid_BD[[#This Row],[Resolution Time]],"")</f>
        <v>1.299999999999998</v>
      </c>
      <c r="AD6" s="263">
        <v>0.81769999999999876</v>
      </c>
      <c r="AE6" s="318">
        <f>Grid_BD[[#This Row],[Lost PoA(kWh/m2)]]*Grid_BD[[#This Row],[DC Capacity Affected (kW)]]*_xlfn.XLOOKUP(Grid_BD[[#This Row],[Month Year]],'Modelling New'!$D:$D,'Modelling New'!$O:$O)/1000</f>
        <v>5.8393113905880325</v>
      </c>
    </row>
    <row r="7" spans="1:31">
      <c r="A7" s="263">
        <f t="shared" si="0"/>
        <v>6</v>
      </c>
      <c r="B7" s="313">
        <v>45830</v>
      </c>
      <c r="C7" s="272">
        <f>YEAR(Grid_BD[[#This Row],[Date]])+IF(MONTH(Grid_BD[[#This Row],[Date]])&gt;=4,1,0)</f>
        <v>2026</v>
      </c>
      <c r="D7" s="263">
        <f>YEAR(Grid_BD[[#This Row],[Date]])</f>
        <v>2025</v>
      </c>
      <c r="E7" s="314" t="s">
        <v>211</v>
      </c>
      <c r="F7" s="314" t="s">
        <v>211</v>
      </c>
      <c r="G7" s="315">
        <f>Grid_BD[[#This Row],[Date]]-DAY(Grid_BD[[#This Row],[Date]])+1</f>
        <v>45809</v>
      </c>
      <c r="H7" s="263">
        <f>DAY(EOMONTH(Grid_BD[[#This Row],[Month Year]],0))</f>
        <v>30</v>
      </c>
      <c r="I7" s="317">
        <f>_xlfn.XLOOKUP(Plant_BD[[#This Row],[Date]],'Raw Data'!$G:$G,'Raw Data'!$I:$I)</f>
        <v>0.26458333333333334</v>
      </c>
      <c r="J7" s="317">
        <f>_xlfn.XLOOKUP(Grid_BD[[#This Row],[Date]],'Raw Data'!$G:$G,'Raw Data'!$J:$J)</f>
        <v>0.77847222222222223</v>
      </c>
      <c r="K7" s="318">
        <f>IFERROR((Grid_BD[[#This Row],[Sunset Time (POA&lt;20 W/m2)]]-Grid_BD[[#This Row],[Sunrise Time (POA&gt;20 W/m2)]])*24,"")</f>
        <v>12.333333333333332</v>
      </c>
      <c r="M7" s="319">
        <v>10507</v>
      </c>
      <c r="N7" s="320">
        <v>1</v>
      </c>
      <c r="P7" s="263" t="s">
        <v>706</v>
      </c>
      <c r="R7" s="321" t="s">
        <v>1650</v>
      </c>
      <c r="S7" s="317">
        <v>0.41597222222222224</v>
      </c>
      <c r="T7" s="317">
        <v>0.41597222222222224</v>
      </c>
      <c r="U7" s="317">
        <v>0.41597222222222224</v>
      </c>
      <c r="V7" s="317">
        <v>0.71875</v>
      </c>
      <c r="W7" s="317">
        <v>0</v>
      </c>
      <c r="X7" s="263">
        <f>(Grid_BD[[#This Row],[Work Start time on Fault]]-Grid_BD[[#This Row],[Fault Time]])*24</f>
        <v>0</v>
      </c>
      <c r="Y7" s="318">
        <f>(Grid_BD[[#This Row],[Work Completion time on fault]]-Grid_BD[[#This Row],[Fault Time]])*24</f>
        <v>7.2666666666666657</v>
      </c>
      <c r="Z7" s="319">
        <f>(Grid_BD[[#This Row],[Work Completion time on fault]]-Grid_BD[[#This Row],[Fault Time]])*24</f>
        <v>7.2666666666666657</v>
      </c>
      <c r="AB7" s="263" t="s">
        <v>266</v>
      </c>
      <c r="AC7" s="319">
        <f>IFERROR(Grid_BD[[#This Row],[Plant Equivalent Weightage]]*Grid_BD[[#This Row],[Resolution Time]],"")</f>
        <v>7.2666666666666657</v>
      </c>
      <c r="AD7" s="263">
        <v>3.42</v>
      </c>
      <c r="AE7" s="318">
        <f>Grid_BD[[#This Row],[Lost PoA(kWh/m2)]]*Grid_BD[[#This Row],[DC Capacity Affected (kW)]]*_xlfn.XLOOKUP(Grid_BD[[#This Row],[Month Year]],'Modelling New'!$D:$D,'Modelling New'!$O:$O)/1000</f>
        <v>24.422703871604625</v>
      </c>
    </row>
    <row r="8" spans="1:31">
      <c r="A8" s="263">
        <f t="shared" si="0"/>
        <v>7</v>
      </c>
      <c r="B8" s="313">
        <v>45842</v>
      </c>
      <c r="C8" s="272">
        <f>YEAR(Grid_BD[[#This Row],[Date]])+IF(MONTH(Grid_BD[[#This Row],[Date]])&gt;=4,1,0)</f>
        <v>2026</v>
      </c>
      <c r="D8" s="263">
        <f>YEAR(Grid_BD[[#This Row],[Date]])</f>
        <v>2025</v>
      </c>
      <c r="E8" s="314" t="s">
        <v>211</v>
      </c>
      <c r="F8" s="314" t="s">
        <v>211</v>
      </c>
      <c r="G8" s="315">
        <f>Grid_BD[[#This Row],[Date]]-DAY(Grid_BD[[#This Row],[Date]])+1</f>
        <v>45839</v>
      </c>
      <c r="H8" s="263">
        <f>DAY(EOMONTH(Grid_BD[[#This Row],[Month Year]],0))</f>
        <v>31</v>
      </c>
      <c r="I8" s="317">
        <f>_xlfn.XLOOKUP(Plant_BD[[#This Row],[Date]],'Raw Data'!$G:$G,'Raw Data'!$I:$I)</f>
        <v>0.26250000000000001</v>
      </c>
      <c r="J8" s="317">
        <f>_xlfn.XLOOKUP(Grid_BD[[#This Row],[Date]],'Raw Data'!$G:$G,'Raw Data'!$J:$J)</f>
        <v>0.77708333333333335</v>
      </c>
      <c r="K8" s="318">
        <f>IFERROR((Grid_BD[[#This Row],[Sunset Time (POA&lt;20 W/m2)]]-Grid_BD[[#This Row],[Sunrise Time (POA&gt;20 W/m2)]])*24,"")</f>
        <v>12.350000000000001</v>
      </c>
      <c r="M8" s="319">
        <v>10507</v>
      </c>
      <c r="N8" s="320">
        <v>1</v>
      </c>
      <c r="P8" s="263" t="s">
        <v>706</v>
      </c>
      <c r="R8" s="321" t="s">
        <v>1664</v>
      </c>
      <c r="S8" s="317">
        <v>0.38194444444444442</v>
      </c>
      <c r="T8" s="317">
        <v>0.38194444444444442</v>
      </c>
      <c r="U8" s="317">
        <v>0.38194444444444442</v>
      </c>
      <c r="V8" s="317">
        <v>0.40763888888888888</v>
      </c>
      <c r="W8" s="317">
        <v>0</v>
      </c>
      <c r="X8" s="263">
        <f>(Grid_BD[[#This Row],[Work Start time on Fault]]-Grid_BD[[#This Row],[Fault Time]])*24</f>
        <v>0</v>
      </c>
      <c r="Y8" s="318">
        <f>(Grid_BD[[#This Row],[Work Completion time on fault]]-Grid_BD[[#This Row],[Fault Time]])*24</f>
        <v>0.61666666666666714</v>
      </c>
      <c r="Z8" s="319">
        <f>(Grid_BD[[#This Row],[Work Completion time on fault]]-Grid_BD[[#This Row],[Fault Time]])*24</f>
        <v>0.61666666666666714</v>
      </c>
      <c r="AB8" s="263" t="s">
        <v>266</v>
      </c>
      <c r="AC8" s="319">
        <f>IFERROR(Grid_BD[[#This Row],[Plant Equivalent Weightage]]*Grid_BD[[#This Row],[Resolution Time]],"")</f>
        <v>0.61666666666666714</v>
      </c>
      <c r="AE8" s="318">
        <f>Grid_BD[[#This Row],[Lost PoA(kWh/m2)]]*Grid_BD[[#This Row],[DC Capacity Affected (kW)]]*_xlfn.XLOOKUP(Grid_BD[[#This Row],[Month Year]],'Modelling New'!$D:$D,'Modelling New'!$O:$O)/1000</f>
        <v>0</v>
      </c>
    </row>
    <row r="9" spans="1:31">
      <c r="A9" s="263">
        <f t="shared" si="0"/>
        <v>8</v>
      </c>
      <c r="B9" s="313">
        <v>45842</v>
      </c>
      <c r="C9" s="272">
        <f>YEAR(Grid_BD[[#This Row],[Date]])+IF(MONTH(Grid_BD[[#This Row],[Date]])&gt;=4,1,0)</f>
        <v>2026</v>
      </c>
      <c r="D9" s="263">
        <f>YEAR(Grid_BD[[#This Row],[Date]])</f>
        <v>2025</v>
      </c>
      <c r="E9" s="314" t="s">
        <v>211</v>
      </c>
      <c r="F9" s="314" t="s">
        <v>211</v>
      </c>
      <c r="G9" s="315">
        <f>Grid_BD[[#This Row],[Date]]-DAY(Grid_BD[[#This Row],[Date]])+1</f>
        <v>45839</v>
      </c>
      <c r="H9" s="263">
        <f>DAY(EOMONTH(Grid_BD[[#This Row],[Month Year]],0))</f>
        <v>31</v>
      </c>
      <c r="I9" s="317">
        <f>_xlfn.XLOOKUP(Plant_BD[[#This Row],[Date]],'Raw Data'!$G:$G,'Raw Data'!$I:$I)</f>
        <v>0.2638888888888889</v>
      </c>
      <c r="J9" s="317">
        <f>_xlfn.XLOOKUP(Grid_BD[[#This Row],[Date]],'Raw Data'!$G:$G,'Raw Data'!$J:$J)</f>
        <v>0.77708333333333335</v>
      </c>
      <c r="K9" s="318">
        <f>IFERROR((Grid_BD[[#This Row],[Sunset Time (POA&lt;20 W/m2)]]-Grid_BD[[#This Row],[Sunrise Time (POA&gt;20 W/m2)]])*24,"")</f>
        <v>12.316666666666668</v>
      </c>
      <c r="M9" s="319">
        <v>10507</v>
      </c>
      <c r="N9" s="320">
        <v>1</v>
      </c>
      <c r="P9" s="263" t="s">
        <v>706</v>
      </c>
      <c r="R9" s="321" t="s">
        <v>1664</v>
      </c>
      <c r="S9" s="317">
        <v>0.69791666666666663</v>
      </c>
      <c r="T9" s="317">
        <v>0.69791666666666663</v>
      </c>
      <c r="U9" s="317">
        <v>0.69791666666666663</v>
      </c>
      <c r="V9" s="317">
        <v>0.71180555555555558</v>
      </c>
      <c r="W9" s="317">
        <v>0</v>
      </c>
      <c r="X9" s="263">
        <f>(Grid_BD[[#This Row],[Work Start time on Fault]]-Grid_BD[[#This Row],[Fault Time]])*24</f>
        <v>0</v>
      </c>
      <c r="Y9" s="318">
        <f>(Grid_BD[[#This Row],[Work Completion time on fault]]-Grid_BD[[#This Row],[Fault Time]])*24</f>
        <v>0.33333333333333481</v>
      </c>
      <c r="Z9" s="319">
        <f>(Grid_BD[[#This Row],[Work Completion time on fault]]-Grid_BD[[#This Row],[Fault Time]])*24</f>
        <v>0.33333333333333481</v>
      </c>
      <c r="AB9" s="263" t="s">
        <v>266</v>
      </c>
      <c r="AC9" s="319">
        <f>IFERROR(Grid_BD[[#This Row],[Plant Equivalent Weightage]]*Grid_BD[[#This Row],[Resolution Time]],"")</f>
        <v>0.33333333333333481</v>
      </c>
      <c r="AE9" s="318">
        <f>Grid_BD[[#This Row],[Lost PoA(kWh/m2)]]*Grid_BD[[#This Row],[DC Capacity Affected (kW)]]*_xlfn.XLOOKUP(Grid_BD[[#This Row],[Month Year]],'Modelling New'!$D:$D,'Modelling New'!$O:$O)/1000</f>
        <v>0</v>
      </c>
    </row>
    <row r="10" spans="1:31">
      <c r="A10" s="263">
        <f t="shared" si="0"/>
        <v>9</v>
      </c>
      <c r="B10" s="313">
        <v>45848</v>
      </c>
      <c r="C10" s="272">
        <f>YEAR(Grid_BD[[#This Row],[Date]])+IF(MONTH(Grid_BD[[#This Row],[Date]])&gt;=4,1,0)</f>
        <v>2026</v>
      </c>
      <c r="D10" s="263">
        <f>YEAR(Grid_BD[[#This Row],[Date]])</f>
        <v>2025</v>
      </c>
      <c r="E10" s="314" t="s">
        <v>211</v>
      </c>
      <c r="F10" s="314" t="s">
        <v>211</v>
      </c>
      <c r="G10" s="315">
        <f>Grid_BD[[#This Row],[Date]]-DAY(Grid_BD[[#This Row],[Date]])+1</f>
        <v>45839</v>
      </c>
      <c r="H10" s="263">
        <f>DAY(EOMONTH(Grid_BD[[#This Row],[Month Year]],0))</f>
        <v>31</v>
      </c>
      <c r="I10" s="317">
        <f>_xlfn.XLOOKUP(Plant_BD[[#This Row],[Date]],'Raw Data'!$G:$G,'Raw Data'!$I:$I)</f>
        <v>0.26458333333333334</v>
      </c>
      <c r="J10" s="317">
        <f>_xlfn.XLOOKUP(Grid_BD[[#This Row],[Date]],'Raw Data'!$G:$G,'Raw Data'!$J:$J)</f>
        <v>0.75763888888888886</v>
      </c>
      <c r="K10" s="318">
        <f>IFERROR((Grid_BD[[#This Row],[Sunset Time (POA&lt;20 W/m2)]]-Grid_BD[[#This Row],[Sunrise Time (POA&gt;20 W/m2)]])*24,"")</f>
        <v>11.833333333333332</v>
      </c>
      <c r="M10" s="319">
        <v>10507</v>
      </c>
      <c r="N10" s="320">
        <v>1</v>
      </c>
      <c r="P10" s="263" t="s">
        <v>706</v>
      </c>
      <c r="R10" s="321" t="s">
        <v>1674</v>
      </c>
      <c r="S10" s="317">
        <v>0.50208333333333333</v>
      </c>
      <c r="T10" s="317">
        <v>0.50208333333333333</v>
      </c>
      <c r="U10" s="317">
        <v>0.50208333333333333</v>
      </c>
      <c r="V10" s="317">
        <v>0.51388888888888884</v>
      </c>
      <c r="W10" s="317">
        <v>0</v>
      </c>
      <c r="X10" s="263">
        <f>(Grid_BD[[#This Row],[Work Start time on Fault]]-Grid_BD[[#This Row],[Fault Time]])*24</f>
        <v>0</v>
      </c>
      <c r="Y10" s="318">
        <f>(Grid_BD[[#This Row],[Work Completion time on fault]]-Grid_BD[[#This Row],[Fault Time]])*24</f>
        <v>0.28333333333333233</v>
      </c>
      <c r="Z10" s="319">
        <f>(Grid_BD[[#This Row],[Work Completion time on fault]]-Grid_BD[[#This Row],[Fault Time]])*24</f>
        <v>0.28333333333333233</v>
      </c>
      <c r="AB10" s="263" t="s">
        <v>266</v>
      </c>
      <c r="AC10" s="319">
        <f>IFERROR(Grid_BD[[#This Row],[Plant Equivalent Weightage]]*Grid_BD[[#This Row],[Resolution Time]],"")</f>
        <v>0.28333333333333233</v>
      </c>
      <c r="AE10" s="318">
        <f>Grid_BD[[#This Row],[Lost PoA(kWh/m2)]]*Grid_BD[[#This Row],[DC Capacity Affected (kW)]]*_xlfn.XLOOKUP(Grid_BD[[#This Row],[Month Year]],'Modelling New'!$D:$D,'Modelling New'!$O:$O)/1000</f>
        <v>0</v>
      </c>
    </row>
    <row r="11" spans="1:31">
      <c r="A11" s="263">
        <f t="shared" si="0"/>
        <v>10</v>
      </c>
      <c r="B11" s="313">
        <v>45848</v>
      </c>
      <c r="C11" s="272">
        <f>YEAR(Grid_BD[[#This Row],[Date]])+IF(MONTH(Grid_BD[[#This Row],[Date]])&gt;=4,1,0)</f>
        <v>2026</v>
      </c>
      <c r="D11" s="263">
        <f>YEAR(Grid_BD[[#This Row],[Date]])</f>
        <v>2025</v>
      </c>
      <c r="E11" s="314" t="s">
        <v>211</v>
      </c>
      <c r="F11" s="314" t="s">
        <v>211</v>
      </c>
      <c r="G11" s="315">
        <f>Grid_BD[[#This Row],[Date]]-DAY(Grid_BD[[#This Row],[Date]])+1</f>
        <v>45839</v>
      </c>
      <c r="H11" s="263">
        <f>DAY(EOMONTH(Grid_BD[[#This Row],[Month Year]],0))</f>
        <v>31</v>
      </c>
      <c r="I11" s="317">
        <f>_xlfn.XLOOKUP(Plant_BD[[#This Row],[Date]],'Raw Data'!$G:$G,'Raw Data'!$I:$I)</f>
        <v>0.2638888888888889</v>
      </c>
      <c r="J11" s="317">
        <f>_xlfn.XLOOKUP(Grid_BD[[#This Row],[Date]],'Raw Data'!$G:$G,'Raw Data'!$J:$J)</f>
        <v>0.75763888888888886</v>
      </c>
      <c r="K11" s="318">
        <f>IFERROR((Grid_BD[[#This Row],[Sunset Time (POA&lt;20 W/m2)]]-Grid_BD[[#This Row],[Sunrise Time (POA&gt;20 W/m2)]])*24,"")</f>
        <v>11.85</v>
      </c>
      <c r="M11" s="319">
        <v>10507</v>
      </c>
      <c r="N11" s="320">
        <v>1</v>
      </c>
      <c r="P11" s="263" t="s">
        <v>706</v>
      </c>
      <c r="R11" s="321" t="s">
        <v>1674</v>
      </c>
      <c r="S11" s="317">
        <v>0.55000000000000004</v>
      </c>
      <c r="T11" s="317">
        <v>0.55000000000000004</v>
      </c>
      <c r="U11" s="317">
        <v>0.55000000000000004</v>
      </c>
      <c r="V11" s="317">
        <v>0.56736111111111109</v>
      </c>
      <c r="W11" s="317">
        <v>0</v>
      </c>
      <c r="X11" s="263">
        <f>(Grid_BD[[#This Row],[Work Start time on Fault]]-Grid_BD[[#This Row],[Fault Time]])*24</f>
        <v>0</v>
      </c>
      <c r="Y11" s="318">
        <f>(Grid_BD[[#This Row],[Work Completion time on fault]]-Grid_BD[[#This Row],[Fault Time]])*24</f>
        <v>0.41666666666666519</v>
      </c>
      <c r="Z11" s="319">
        <f>(Grid_BD[[#This Row],[Work Completion time on fault]]-Grid_BD[[#This Row],[Fault Time]])*24</f>
        <v>0.41666666666666519</v>
      </c>
      <c r="AB11" s="263" t="s">
        <v>266</v>
      </c>
      <c r="AC11" s="319">
        <f>IFERROR(Grid_BD[[#This Row],[Plant Equivalent Weightage]]*Grid_BD[[#This Row],[Resolution Time]],"")</f>
        <v>0.41666666666666519</v>
      </c>
      <c r="AE11" s="318">
        <f>Grid_BD[[#This Row],[Lost PoA(kWh/m2)]]*Grid_BD[[#This Row],[DC Capacity Affected (kW)]]*_xlfn.XLOOKUP(Grid_BD[[#This Row],[Month Year]],'Modelling New'!$D:$D,'Modelling New'!$O:$O)/1000</f>
        <v>0</v>
      </c>
    </row>
    <row r="12" spans="1:31">
      <c r="A12" s="263">
        <f t="shared" si="0"/>
        <v>11</v>
      </c>
      <c r="B12" s="313">
        <v>45855</v>
      </c>
      <c r="C12" s="272">
        <f>YEAR(Grid_BD[[#This Row],[Date]])+IF(MONTH(Grid_BD[[#This Row],[Date]])&gt;=4,1,0)</f>
        <v>2026</v>
      </c>
      <c r="D12" s="263">
        <f>YEAR(Grid_BD[[#This Row],[Date]])</f>
        <v>2025</v>
      </c>
      <c r="E12" s="314" t="s">
        <v>211</v>
      </c>
      <c r="F12" s="314" t="s">
        <v>211</v>
      </c>
      <c r="G12" s="315">
        <f>Grid_BD[[#This Row],[Date]]-DAY(Grid_BD[[#This Row],[Date]])+1</f>
        <v>45839</v>
      </c>
      <c r="H12" s="263">
        <f>DAY(EOMONTH(Grid_BD[[#This Row],[Month Year]],0))</f>
        <v>31</v>
      </c>
      <c r="I12" s="317">
        <f>_xlfn.XLOOKUP(Plant_BD[[#This Row],[Date]],'Raw Data'!$G:$G,'Raw Data'!$I:$I)</f>
        <v>0.26527777777777778</v>
      </c>
      <c r="J12" s="317">
        <f>_xlfn.XLOOKUP(Grid_BD[[#This Row],[Date]],'Raw Data'!$G:$G,'Raw Data'!$J:$J)</f>
        <v>0.77708333333333335</v>
      </c>
      <c r="K12" s="318">
        <f>IFERROR((Grid_BD[[#This Row],[Sunset Time (POA&lt;20 W/m2)]]-Grid_BD[[#This Row],[Sunrise Time (POA&gt;20 W/m2)]])*24,"")</f>
        <v>12.283333333333335</v>
      </c>
      <c r="M12" s="319">
        <v>10507</v>
      </c>
      <c r="N12" s="320">
        <v>1</v>
      </c>
      <c r="P12" s="263" t="s">
        <v>706</v>
      </c>
      <c r="R12" s="321" t="s">
        <v>898</v>
      </c>
      <c r="S12" s="317">
        <v>0.58958333333333335</v>
      </c>
      <c r="T12" s="317">
        <v>0.58958333333333335</v>
      </c>
      <c r="U12" s="317">
        <v>0.58958333333333335</v>
      </c>
      <c r="V12" s="317">
        <v>0.6</v>
      </c>
      <c r="W12" s="317">
        <v>0</v>
      </c>
      <c r="X12" s="263">
        <f>(Grid_BD[[#This Row],[Work Start time on Fault]]-Grid_BD[[#This Row],[Fault Time]])*24</f>
        <v>0</v>
      </c>
      <c r="Y12" s="318">
        <f>(Grid_BD[[#This Row],[Work Completion time on fault]]-Grid_BD[[#This Row],[Fault Time]])*24</f>
        <v>0.24999999999999911</v>
      </c>
      <c r="Z12" s="319">
        <f>(Grid_BD[[#This Row],[Work Completion time on fault]]-Grid_BD[[#This Row],[Fault Time]])*24</f>
        <v>0.24999999999999911</v>
      </c>
      <c r="AB12" s="263" t="s">
        <v>266</v>
      </c>
      <c r="AC12" s="319">
        <f>IFERROR(Grid_BD[[#This Row],[Plant Equivalent Weightage]]*Grid_BD[[#This Row],[Resolution Time]],"")</f>
        <v>0.24999999999999911</v>
      </c>
      <c r="AD12" s="263">
        <v>0.15</v>
      </c>
      <c r="AE12" s="318">
        <f>Grid_BD[[#This Row],[Lost PoA(kWh/m2)]]*Grid_BD[[#This Row],[DC Capacity Affected (kW)]]*_xlfn.XLOOKUP(Grid_BD[[#This Row],[Month Year]],'Modelling New'!$D:$D,'Modelling New'!$O:$O)/1000</f>
        <v>1.1040704328521247</v>
      </c>
    </row>
    <row r="13" spans="1:31">
      <c r="A13" s="263">
        <f t="shared" si="0"/>
        <v>12</v>
      </c>
      <c r="B13" s="313">
        <v>45856</v>
      </c>
      <c r="C13" s="272">
        <f>YEAR(Grid_BD[[#This Row],[Date]])+IF(MONTH(Grid_BD[[#This Row],[Date]])&gt;=4,1,0)</f>
        <v>2026</v>
      </c>
      <c r="D13" s="263">
        <f>YEAR(Grid_BD[[#This Row],[Date]])</f>
        <v>2025</v>
      </c>
      <c r="E13" s="314" t="s">
        <v>211</v>
      </c>
      <c r="F13" s="314" t="s">
        <v>211</v>
      </c>
      <c r="G13" s="315">
        <f>Grid_BD[[#This Row],[Date]]-DAY(Grid_BD[[#This Row],[Date]])+1</f>
        <v>45839</v>
      </c>
      <c r="H13" s="263">
        <f>DAY(EOMONTH(Grid_BD[[#This Row],[Month Year]],0))</f>
        <v>31</v>
      </c>
      <c r="I13" s="317">
        <f>_xlfn.XLOOKUP(Plant_BD[[#This Row],[Date]],'Raw Data'!$G:$G,'Raw Data'!$I:$I)</f>
        <v>0.2638888888888889</v>
      </c>
      <c r="J13" s="317">
        <f>_xlfn.XLOOKUP(Grid_BD[[#This Row],[Date]],'Raw Data'!$G:$G,'Raw Data'!$J:$J)</f>
        <v>0.77708333333333335</v>
      </c>
      <c r="K13" s="318">
        <f>IFERROR((Grid_BD[[#This Row],[Sunset Time (POA&lt;20 W/m2)]]-Grid_BD[[#This Row],[Sunrise Time (POA&gt;20 W/m2)]])*24,"")</f>
        <v>12.316666666666668</v>
      </c>
      <c r="M13" s="319">
        <v>10507</v>
      </c>
      <c r="N13" s="320">
        <v>1</v>
      </c>
      <c r="P13" s="263" t="s">
        <v>706</v>
      </c>
      <c r="R13" s="321" t="s">
        <v>898</v>
      </c>
      <c r="S13" s="317">
        <v>0.25763888888888886</v>
      </c>
      <c r="T13" s="317">
        <v>0.25763888888888886</v>
      </c>
      <c r="U13" s="317">
        <v>0.25763888888888886</v>
      </c>
      <c r="V13" s="317">
        <v>0.30416666666666664</v>
      </c>
      <c r="W13" s="317">
        <v>0</v>
      </c>
      <c r="X13" s="263">
        <f>(Grid_BD[[#This Row],[Work Start time on Fault]]-Grid_BD[[#This Row],[Fault Time]])*24</f>
        <v>0</v>
      </c>
      <c r="Y13" s="318">
        <f>(Grid_BD[[#This Row],[Work Completion time on fault]]-Grid_BD[[#This Row],[Fault Time]])*24</f>
        <v>1.1166666666666667</v>
      </c>
      <c r="Z13" s="319">
        <f>(Grid_BD[[#This Row],[Work Completion time on fault]]-Grid_BD[[#This Row],[Fault Time]])*24</f>
        <v>1.1166666666666667</v>
      </c>
      <c r="AB13" s="263" t="s">
        <v>266</v>
      </c>
      <c r="AC13" s="319">
        <f>IFERROR(Grid_BD[[#This Row],[Plant Equivalent Weightage]]*Grid_BD[[#This Row],[Resolution Time]],"")</f>
        <v>1.1166666666666667</v>
      </c>
      <c r="AE13" s="318">
        <f>Grid_BD[[#This Row],[Lost PoA(kWh/m2)]]*Grid_BD[[#This Row],[DC Capacity Affected (kW)]]*_xlfn.XLOOKUP(Grid_BD[[#This Row],[Month Year]],'Modelling New'!$D:$D,'Modelling New'!$O:$O)/1000</f>
        <v>0</v>
      </c>
    </row>
    <row r="14" spans="1:31">
      <c r="A14" s="263">
        <f t="shared" si="0"/>
        <v>13</v>
      </c>
      <c r="B14" s="313">
        <v>45856</v>
      </c>
      <c r="C14" s="272">
        <f>YEAR(Grid_BD[[#This Row],[Date]])+IF(MONTH(Grid_BD[[#This Row],[Date]])&gt;=4,1,0)</f>
        <v>2026</v>
      </c>
      <c r="D14" s="263">
        <f>YEAR(Grid_BD[[#This Row],[Date]])</f>
        <v>2025</v>
      </c>
      <c r="E14" s="314" t="s">
        <v>211</v>
      </c>
      <c r="F14" s="314" t="s">
        <v>211</v>
      </c>
      <c r="G14" s="315">
        <f>Grid_BD[[#This Row],[Date]]-DAY(Grid_BD[[#This Row],[Date]])+1</f>
        <v>45839</v>
      </c>
      <c r="H14" s="263">
        <f>DAY(EOMONTH(Grid_BD[[#This Row],[Month Year]],0))</f>
        <v>31</v>
      </c>
      <c r="I14" s="317">
        <f>_xlfn.XLOOKUP(Plant_BD[[#This Row],[Date]],'Raw Data'!$G:$G,'Raw Data'!$I:$I)</f>
        <v>0.26319444444444445</v>
      </c>
      <c r="J14" s="317">
        <f>_xlfn.XLOOKUP(Grid_BD[[#This Row],[Date]],'Raw Data'!$G:$G,'Raw Data'!$J:$J)</f>
        <v>0.77708333333333335</v>
      </c>
      <c r="K14" s="318">
        <f>IFERROR((Grid_BD[[#This Row],[Sunset Time (POA&lt;20 W/m2)]]-Grid_BD[[#This Row],[Sunrise Time (POA&gt;20 W/m2)]])*24,"")</f>
        <v>12.333333333333332</v>
      </c>
      <c r="M14" s="319">
        <v>10507</v>
      </c>
      <c r="N14" s="320">
        <v>1</v>
      </c>
      <c r="P14" s="263" t="s">
        <v>706</v>
      </c>
      <c r="R14" s="321" t="s">
        <v>898</v>
      </c>
      <c r="S14" s="317">
        <v>0.61527777777777781</v>
      </c>
      <c r="T14" s="317">
        <v>0.61527777777777781</v>
      </c>
      <c r="U14" s="317">
        <v>0.61527777777777781</v>
      </c>
      <c r="V14" s="317">
        <v>0.65972222222222221</v>
      </c>
      <c r="W14" s="317">
        <v>0</v>
      </c>
      <c r="X14" s="263">
        <f>(Grid_BD[[#This Row],[Work Start time on Fault]]-Grid_BD[[#This Row],[Fault Time]])*24</f>
        <v>0</v>
      </c>
      <c r="Y14" s="318">
        <f>(Grid_BD[[#This Row],[Work Completion time on fault]]-Grid_BD[[#This Row],[Fault Time]])*24</f>
        <v>1.0666666666666655</v>
      </c>
      <c r="Z14" s="319">
        <f>(Grid_BD[[#This Row],[Work Completion time on fault]]-Grid_BD[[#This Row],[Fault Time]])*24</f>
        <v>1.0666666666666655</v>
      </c>
      <c r="AB14" s="263" t="s">
        <v>266</v>
      </c>
      <c r="AC14" s="319">
        <f>IFERROR(Grid_BD[[#This Row],[Plant Equivalent Weightage]]*Grid_BD[[#This Row],[Resolution Time]],"")</f>
        <v>1.0666666666666655</v>
      </c>
      <c r="AE14" s="318">
        <f>Grid_BD[[#This Row],[Lost PoA(kWh/m2)]]*Grid_BD[[#This Row],[DC Capacity Affected (kW)]]*_xlfn.XLOOKUP(Grid_BD[[#This Row],[Month Year]],'Modelling New'!$D:$D,'Modelling New'!$O:$O)/1000</f>
        <v>0</v>
      </c>
    </row>
    <row r="15" spans="1:31">
      <c r="A15" s="263">
        <f t="shared" si="0"/>
        <v>14</v>
      </c>
      <c r="B15" s="313">
        <v>45863</v>
      </c>
      <c r="C15" s="272">
        <f>YEAR(Grid_BD[[#This Row],[Date]])+IF(MONTH(Grid_BD[[#This Row],[Date]])&gt;=4,1,0)</f>
        <v>2026</v>
      </c>
      <c r="D15" s="263">
        <f>YEAR(Grid_BD[[#This Row],[Date]])</f>
        <v>2025</v>
      </c>
      <c r="E15" s="314" t="s">
        <v>211</v>
      </c>
      <c r="F15" s="314" t="s">
        <v>211</v>
      </c>
      <c r="G15" s="315">
        <f>Grid_BD[[#This Row],[Date]]-DAY(Grid_BD[[#This Row],[Date]])+1</f>
        <v>45839</v>
      </c>
      <c r="H15" s="263">
        <f>DAY(EOMONTH(Grid_BD[[#This Row],[Month Year]],0))</f>
        <v>31</v>
      </c>
      <c r="I15" s="317">
        <f>_xlfn.XLOOKUP(Plant_BD[[#This Row],[Date]],'Raw Data'!$G:$G,'Raw Data'!$I:$I)</f>
        <v>0.25624999999999998</v>
      </c>
      <c r="J15" s="317">
        <f>_xlfn.XLOOKUP(Grid_BD[[#This Row],[Date]],'Raw Data'!$G:$G,'Raw Data'!$J:$J)</f>
        <v>0.74861111111111112</v>
      </c>
      <c r="K15" s="318">
        <f>IFERROR((Grid_BD[[#This Row],[Sunset Time (POA&lt;20 W/m2)]]-Grid_BD[[#This Row],[Sunrise Time (POA&gt;20 W/m2)]])*24,"")</f>
        <v>11.816666666666666</v>
      </c>
      <c r="M15" s="319">
        <v>10507</v>
      </c>
      <c r="N15" s="320">
        <v>1</v>
      </c>
      <c r="P15" s="263" t="s">
        <v>706</v>
      </c>
      <c r="R15" s="321" t="s">
        <v>898</v>
      </c>
      <c r="S15" s="317">
        <v>0.70902777777777781</v>
      </c>
      <c r="T15" s="317">
        <v>0.70902777777777781</v>
      </c>
      <c r="U15" s="317">
        <v>0.70902777777777781</v>
      </c>
      <c r="V15" s="317">
        <v>0.75</v>
      </c>
      <c r="W15" s="317">
        <v>0</v>
      </c>
      <c r="X15" s="263">
        <f>(Grid_BD[[#This Row],[Work Start time on Fault]]-Grid_BD[[#This Row],[Fault Time]])*24</f>
        <v>0</v>
      </c>
      <c r="Y15" s="318">
        <f>(Grid_BD[[#This Row],[Work Completion time on fault]]-Grid_BD[[#This Row],[Fault Time]])*24</f>
        <v>0.9833333333333325</v>
      </c>
      <c r="Z15" s="319">
        <f>(Grid_BD[[#This Row],[Work Completion time on fault]]-Grid_BD[[#This Row],[Fault Time]])*24</f>
        <v>0.9833333333333325</v>
      </c>
      <c r="AB15" s="263" t="s">
        <v>266</v>
      </c>
      <c r="AC15" s="319">
        <f>IFERROR(Grid_BD[[#This Row],[Plant Equivalent Weightage]]*Grid_BD[[#This Row],[Resolution Time]],"")</f>
        <v>0.9833333333333325</v>
      </c>
      <c r="AD15" s="263">
        <v>0.04</v>
      </c>
      <c r="AE15" s="318">
        <f>Grid_BD[[#This Row],[Lost PoA(kWh/m2)]]*Grid_BD[[#This Row],[DC Capacity Affected (kW)]]*_xlfn.XLOOKUP(Grid_BD[[#This Row],[Month Year]],'Modelling New'!$D:$D,'Modelling New'!$O:$O)/1000</f>
        <v>0.29441878209389993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16"/>
  <sheetViews>
    <sheetView topLeftCell="A2" zoomScale="82" zoomScaleNormal="82" workbookViewId="0">
      <pane xSplit="8" ySplit="1" topLeftCell="I1201" activePane="bottomRight" state="frozen"/>
      <selection activeCell="I9" sqref="I9"/>
      <selection pane="topRight" activeCell="I9" sqref="I9"/>
      <selection pane="bottomLeft" activeCell="I9" sqref="I9"/>
      <selection pane="bottomRight" activeCell="K1213" sqref="K1213"/>
    </sheetView>
  </sheetViews>
  <sheetFormatPr defaultColWidth="9" defaultRowHeight="15"/>
  <cols>
    <col min="1" max="1" width="8.5703125" style="2"/>
    <col min="2" max="2" width="11.42578125" style="2" customWidth="1"/>
    <col min="3" max="3" width="12.42578125" style="2" customWidth="1"/>
    <col min="4" max="4" width="14.140625" style="2" customWidth="1"/>
    <col min="5" max="5" width="13" style="2" customWidth="1"/>
    <col min="6" max="6" width="10.85546875" style="2" customWidth="1"/>
    <col min="7" max="7" width="8.5703125" style="2"/>
    <col min="8" max="8" width="10.42578125" style="2" customWidth="1"/>
    <col min="9" max="9" width="12.42578125" customWidth="1"/>
    <col min="10" max="10" width="9.5703125" customWidth="1"/>
    <col min="11" max="16" width="9.85546875" style="2" customWidth="1"/>
    <col min="17" max="17" width="12.42578125" style="2" customWidth="1"/>
    <col min="18" max="18" width="13" customWidth="1"/>
    <col min="19" max="19" width="12.42578125" customWidth="1"/>
    <col min="20" max="20" width="13.42578125" customWidth="1"/>
    <col min="21" max="21" width="9.85546875" customWidth="1"/>
    <col min="22" max="22" width="10.42578125" customWidth="1"/>
    <col min="23" max="23" width="7" bestFit="1" customWidth="1"/>
    <col min="24" max="24" width="123.42578125" bestFit="1" customWidth="1"/>
  </cols>
  <sheetData>
    <row r="1" spans="1:24" hidden="1"/>
    <row r="2" spans="1:24" s="1" customFormat="1" ht="60">
      <c r="A2" s="22" t="s">
        <v>899</v>
      </c>
      <c r="B2" s="22" t="s">
        <v>85</v>
      </c>
      <c r="C2" s="22" t="s">
        <v>138</v>
      </c>
      <c r="D2" s="22" t="s">
        <v>80</v>
      </c>
      <c r="E2" t="s">
        <v>900</v>
      </c>
      <c r="F2" s="17" t="s">
        <v>139</v>
      </c>
      <c r="G2" s="17" t="s">
        <v>65</v>
      </c>
      <c r="H2" s="17" t="s">
        <v>36</v>
      </c>
      <c r="I2" s="1" t="s">
        <v>901</v>
      </c>
      <c r="J2" s="1" t="s">
        <v>902</v>
      </c>
      <c r="K2" s="21" t="s">
        <v>903</v>
      </c>
      <c r="L2" s="21" t="s">
        <v>904</v>
      </c>
      <c r="M2" s="21" t="s">
        <v>905</v>
      </c>
      <c r="N2" s="21" t="s">
        <v>906</v>
      </c>
      <c r="O2" s="21" t="s">
        <v>907</v>
      </c>
      <c r="P2" s="21" t="s">
        <v>908</v>
      </c>
      <c r="Q2" s="21" t="s">
        <v>909</v>
      </c>
      <c r="R2" s="20" t="s">
        <v>910</v>
      </c>
      <c r="S2" s="20" t="s">
        <v>911</v>
      </c>
      <c r="T2" s="20" t="s">
        <v>912</v>
      </c>
      <c r="U2" s="20" t="s">
        <v>913</v>
      </c>
      <c r="V2" s="20" t="s">
        <v>914</v>
      </c>
      <c r="W2" s="20" t="s">
        <v>915</v>
      </c>
      <c r="X2" s="20" t="s">
        <v>916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917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918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918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918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918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917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917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917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917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917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917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917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919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919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919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919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919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919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919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919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919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919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919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919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919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919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919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919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919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919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919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919</v>
      </c>
      <c r="X252" t="s">
        <v>920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919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919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919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919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919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919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199" t="s">
        <v>919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199" t="s">
        <v>919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199" t="s">
        <v>919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199" t="s">
        <v>919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199" t="s">
        <v>919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199" t="s">
        <v>919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199" t="s">
        <v>919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199" t="s">
        <v>919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199" t="s">
        <v>919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199" t="s">
        <v>919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919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919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919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919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919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919</v>
      </c>
      <c r="X274" s="199" t="s">
        <v>921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919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919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919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919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919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919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919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919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919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919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919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919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03" t="s">
        <v>922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919</v>
      </c>
      <c r="X287" t="s">
        <v>923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919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919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919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919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919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919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919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919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919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919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919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919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919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919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919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919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03" t="s">
        <v>924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919</v>
      </c>
      <c r="X307" s="199" t="s">
        <v>925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919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919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919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919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919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919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919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919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919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919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919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919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919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919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919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919</v>
      </c>
      <c r="X324" t="s">
        <v>926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919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919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919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919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919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919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919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919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919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919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919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919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919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919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919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919</v>
      </c>
      <c r="X341" s="199" t="s">
        <v>927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919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919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919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919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919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919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919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919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919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919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919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919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919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919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919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919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919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919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919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03" t="s">
        <v>928</v>
      </c>
      <c r="J362">
        <v>2</v>
      </c>
      <c r="K362" s="2">
        <v>0</v>
      </c>
      <c r="L362" s="2" t="s">
        <v>929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919</v>
      </c>
      <c r="X362" s="199" t="s">
        <v>930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919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919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919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919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919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919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919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919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919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919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919</v>
      </c>
      <c r="X380" t="s">
        <v>931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919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919</v>
      </c>
      <c r="X382" t="s">
        <v>932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919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919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919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919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919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919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919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919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919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933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934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935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936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937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938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199" t="s">
        <v>939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199" t="s">
        <v>939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199" t="s">
        <v>940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199" t="s">
        <v>941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199" t="s">
        <v>942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199" t="s">
        <v>943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199" t="s">
        <v>944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199" t="s">
        <v>945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199" t="s">
        <v>946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199" t="s">
        <v>947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199" t="s">
        <v>948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199" t="s">
        <v>949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199" t="s">
        <v>950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199" t="s">
        <v>951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199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199" t="s">
        <v>952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199" t="s">
        <v>953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199" t="s">
        <v>954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199" t="s">
        <v>955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199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199" t="s">
        <v>956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199" t="s">
        <v>957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199" t="s">
        <v>958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199" t="s">
        <v>959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199" t="s">
        <v>960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199" t="s">
        <v>961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199" t="s">
        <v>962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199" t="s">
        <v>963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199" t="s">
        <v>964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199" t="s">
        <v>965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199" t="s">
        <v>966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199" t="s">
        <v>967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199" t="s">
        <v>968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199" t="s">
        <v>969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199" t="s">
        <v>970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919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919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919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919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919</v>
      </c>
      <c r="X477" t="s">
        <v>971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919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919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919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919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919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919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919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919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919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919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919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919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919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919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919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919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919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919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919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919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919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919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919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919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919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919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919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919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919</v>
      </c>
      <c r="X546" t="s">
        <v>920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919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919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919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919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919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919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919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919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919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919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919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919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919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919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919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919</v>
      </c>
      <c r="X568" t="s">
        <v>921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919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919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919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919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919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919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919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919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919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919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919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919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919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919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919</v>
      </c>
      <c r="X583" t="s">
        <v>923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919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919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919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919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919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919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919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919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919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919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919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919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919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919</v>
      </c>
      <c r="X598" s="199" t="s">
        <v>925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919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919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919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919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919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919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919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919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919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919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919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919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919</v>
      </c>
      <c r="X612" s="199" t="s">
        <v>926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919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919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919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919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919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919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919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919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919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919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919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919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919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919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919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919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919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919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919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919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919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919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919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919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919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919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919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919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919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919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919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919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919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919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919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919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919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919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919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919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919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919</v>
      </c>
      <c r="X655" t="s">
        <v>932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919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972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919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919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919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919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919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919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919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919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919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919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919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919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919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919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919</v>
      </c>
      <c r="X672" t="s">
        <v>971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919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919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919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919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919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919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919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919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919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919</v>
      </c>
      <c r="X682" s="199" t="s">
        <v>973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919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919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919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919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919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919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919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919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919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919</v>
      </c>
      <c r="X692" s="199" t="s">
        <v>974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919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919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919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919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919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919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919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919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919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919</v>
      </c>
      <c r="X702" s="199" t="s">
        <v>975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919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919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919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919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919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919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919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919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919</v>
      </c>
      <c r="X712" t="s">
        <v>976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919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919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919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919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919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919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919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919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919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919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919</v>
      </c>
      <c r="X723" s="199" t="s">
        <v>977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919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919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919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919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919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919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919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919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919</v>
      </c>
      <c r="X732" t="s">
        <v>978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919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919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919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919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919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919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919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919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919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919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919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919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919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919</v>
      </c>
      <c r="X747" t="s">
        <v>979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919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919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919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919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919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919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919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919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919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919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919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919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919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919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919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919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919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919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919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919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919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919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919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919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919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919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919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919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919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919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919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919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919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919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919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919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919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919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919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919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919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919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919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919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919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919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919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919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919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919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919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919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919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919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919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919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919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919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919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919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919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919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919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919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919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919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919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980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919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919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919</v>
      </c>
      <c r="X913" t="s">
        <v>981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919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919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919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982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980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980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980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980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980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980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980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980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980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980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980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980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980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919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919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919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919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919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919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983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983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919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919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919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919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919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919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919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919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919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919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919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919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919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919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984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919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919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919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919</v>
      </c>
      <c r="X983" t="s">
        <v>921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919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919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919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919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919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919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919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919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919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919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919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919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919</v>
      </c>
      <c r="X996" t="s">
        <v>923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919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919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919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919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919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919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919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919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919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919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919</v>
      </c>
      <c r="X1007" t="s">
        <v>925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919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919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919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919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919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919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919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919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919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919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919</v>
      </c>
      <c r="X1018" t="s">
        <v>926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919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919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919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919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919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919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919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919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919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919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919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919</v>
      </c>
      <c r="X1030" t="s">
        <v>927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919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919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919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919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919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919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919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919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919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919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919</v>
      </c>
      <c r="X1041" t="s">
        <v>930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919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919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919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919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919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919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919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919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919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919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919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919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919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919</v>
      </c>
      <c r="X1055" t="s">
        <v>932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919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919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919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919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919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919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919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919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919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919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919</v>
      </c>
      <c r="X1066" s="128" t="s">
        <v>985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919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919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919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919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919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919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919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919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919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919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919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919</v>
      </c>
      <c r="X1078" s="128" t="s">
        <v>973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919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919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919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919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919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919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919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919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919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919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919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919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28" t="s">
        <v>984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919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919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919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919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919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986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919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919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919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919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984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984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919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919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919</v>
      </c>
      <c r="X1106" t="s">
        <v>975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919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919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919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919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919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919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919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919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919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919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919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919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919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919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919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919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919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919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919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984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919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919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919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919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919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1608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919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919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919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919</v>
      </c>
      <c r="X1137" s="128" t="s">
        <v>977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919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919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919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919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919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919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919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919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1615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1615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919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919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919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1615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1615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1615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919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919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919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919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919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919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919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919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919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919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919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1615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919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919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919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919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919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919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919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919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919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919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919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919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919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919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919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919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919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919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919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919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919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919</v>
      </c>
      <c r="X1196" t="s">
        <v>1677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919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919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919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919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919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919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919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919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919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919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16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919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919</v>
      </c>
    </row>
    <row r="1210" spans="1:22">
      <c r="A1210" s="2">
        <v>1205</v>
      </c>
      <c r="B1210" s="2" t="s">
        <v>212</v>
      </c>
      <c r="C1210" s="2">
        <f>YEAR(MC[[#This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ref="G1210" si="225">DAY(EOMONTH(F1210,0))</f>
        <v>31</v>
      </c>
      <c r="H1210" s="19">
        <f t="shared" si="223"/>
        <v>45859</v>
      </c>
      <c r="I1210">
        <v>18</v>
      </c>
      <c r="J1210">
        <v>2</v>
      </c>
      <c r="K1210" s="2">
        <v>0</v>
      </c>
      <c r="L1210" s="2">
        <v>2134</v>
      </c>
      <c r="M1210" s="2">
        <v>0</v>
      </c>
      <c r="N1210" s="2">
        <v>0</v>
      </c>
      <c r="O1210" s="2">
        <v>0</v>
      </c>
      <c r="P1210" s="2">
        <v>0</v>
      </c>
      <c r="Q1210" s="2">
        <f>SUM(MC[[#This Row],[IC1_Inv1_MC]:[IC2_Inv2_MC]])</f>
        <v>2134</v>
      </c>
      <c r="R1210" s="22">
        <v>0.25</v>
      </c>
      <c r="S1210" s="22">
        <v>0.41666666666666669</v>
      </c>
      <c r="T1210" s="22">
        <v>0.60416666666666663</v>
      </c>
      <c r="U1210" s="22">
        <v>0.60416666666666663</v>
      </c>
      <c r="V1210" t="s">
        <v>919</v>
      </c>
    </row>
    <row r="1211" spans="1:22">
      <c r="A1211" s="2">
        <v>1206</v>
      </c>
      <c r="B1211" s="2" t="s">
        <v>212</v>
      </c>
      <c r="C1211" s="2">
        <f>YEAR(MC[[#This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226">DAY(EOMONTH(F1211,0))</f>
        <v>31</v>
      </c>
      <c r="H1211" s="19">
        <f t="shared" si="223"/>
        <v>45860</v>
      </c>
      <c r="I1211">
        <v>18</v>
      </c>
      <c r="J1211">
        <v>2</v>
      </c>
      <c r="K1211" s="2">
        <v>2140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f>SUM(MC[[#This Row],[IC1_Inv1_MC]:[IC2_Inv2_MC]])</f>
        <v>2140</v>
      </c>
      <c r="R1211" s="22">
        <v>0.25</v>
      </c>
      <c r="S1211" s="22">
        <v>0.41666666666666669</v>
      </c>
      <c r="T1211" s="22">
        <v>0.60416666666666663</v>
      </c>
      <c r="U1211" s="22">
        <v>0.60416666666666663</v>
      </c>
      <c r="V1211" t="s">
        <v>919</v>
      </c>
    </row>
    <row r="1212" spans="1:22">
      <c r="A1212" s="2">
        <v>1206</v>
      </c>
      <c r="B1212" s="2" t="s">
        <v>212</v>
      </c>
      <c r="C1212" s="2">
        <f>YEAR(MC[[#This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227">DAY(EOMONTH(F1212,0))</f>
        <v>31</v>
      </c>
      <c r="H1212" s="19">
        <f t="shared" si="223"/>
        <v>45861</v>
      </c>
      <c r="I1212">
        <v>18</v>
      </c>
      <c r="J1212">
        <v>2</v>
      </c>
      <c r="K1212" s="2">
        <v>0</v>
      </c>
      <c r="L1212" s="2">
        <v>0</v>
      </c>
      <c r="M1212" s="2">
        <v>0</v>
      </c>
      <c r="N1212" s="2">
        <v>0</v>
      </c>
      <c r="O1212" s="2">
        <v>2120</v>
      </c>
      <c r="P1212" s="2">
        <v>0</v>
      </c>
      <c r="Q1212" s="2">
        <f>SUM(MC[[#This Row],[IC1_Inv1_MC]:[IC2_Inv2_MC]])</f>
        <v>2120</v>
      </c>
      <c r="R1212" s="22">
        <v>0.25</v>
      </c>
      <c r="S1212" s="22">
        <v>0.41666666666666669</v>
      </c>
      <c r="T1212" s="22">
        <v>0.60416666666666663</v>
      </c>
      <c r="U1212" s="22">
        <v>0.60416666666666663</v>
      </c>
      <c r="V1212" t="s">
        <v>919</v>
      </c>
    </row>
    <row r="1213" spans="1:22">
      <c r="A1213" s="2">
        <v>1207</v>
      </c>
      <c r="B1213" s="2" t="s">
        <v>212</v>
      </c>
      <c r="C1213" s="2">
        <f>YEAR(MC[[#This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:G1216" si="228">DAY(EOMONTH(F1213,0))</f>
        <v>31</v>
      </c>
      <c r="H1213" s="19">
        <f t="shared" si="223"/>
        <v>45862</v>
      </c>
      <c r="Q1213" s="2">
        <f>SUM(MC[[#This Row],[IC1_Inv1_MC]:[IC2_Inv2_MC]])</f>
        <v>0</v>
      </c>
    </row>
    <row r="1214" spans="1:22">
      <c r="A1214" s="2">
        <v>1208</v>
      </c>
      <c r="B1214" s="2" t="s">
        <v>212</v>
      </c>
      <c r="C1214" s="2">
        <f>YEAR(MC[[#This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si="228"/>
        <v>31</v>
      </c>
      <c r="H1214" s="19">
        <f t="shared" si="223"/>
        <v>45863</v>
      </c>
      <c r="Q1214" s="2">
        <f>SUM(MC[[#This Row],[IC1_Inv1_MC]:[IC2_Inv2_MC]])</f>
        <v>0</v>
      </c>
    </row>
    <row r="1215" spans="1:22">
      <c r="A1215" s="2">
        <v>1209</v>
      </c>
      <c r="B1215" s="2" t="s">
        <v>212</v>
      </c>
      <c r="C1215" s="2">
        <f>YEAR(MC[[#This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228"/>
        <v>31</v>
      </c>
      <c r="H1215" s="19">
        <f t="shared" si="223"/>
        <v>45864</v>
      </c>
      <c r="Q1215" s="2">
        <f>SUM(MC[[#This Row],[IC1_Inv1_MC]:[IC2_Inv2_MC]])</f>
        <v>0</v>
      </c>
    </row>
    <row r="1216" spans="1:22">
      <c r="A1216" s="2">
        <v>1210</v>
      </c>
      <c r="B1216" s="2" t="s">
        <v>212</v>
      </c>
      <c r="C1216" s="2">
        <f>YEAR(MC[[#This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228"/>
        <v>31</v>
      </c>
      <c r="H1216" s="19">
        <f t="shared" si="223"/>
        <v>45865</v>
      </c>
      <c r="Q1216" s="2">
        <f>SUM(MC[[#This Row],[IC1_Inv1_MC]:[IC2_Inv2_MC]])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24"/>
  <sheetViews>
    <sheetView topLeftCell="A2" zoomScale="85" zoomScaleNormal="85" workbookViewId="0">
      <pane xSplit="8" ySplit="1" topLeftCell="K1221" activePane="bottomRight" state="frozen"/>
      <selection activeCell="I9" sqref="I9"/>
      <selection pane="topRight" activeCell="I9" sqref="I9"/>
      <selection pane="bottomLeft" activeCell="I9" sqref="I9"/>
      <selection pane="bottomRight" activeCell="R1224" sqref="R1224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4.85546875" customWidth="1"/>
    <col min="8" max="8" width="10.42578125" customWidth="1"/>
    <col min="10" max="10" width="9.42578125" customWidth="1"/>
    <col min="17" max="17" width="12.42578125" customWidth="1"/>
    <col min="18" max="18" width="64.42578125" bestFit="1" customWidth="1"/>
    <col min="19" max="19" width="19.85546875" customWidth="1"/>
  </cols>
  <sheetData>
    <row r="1" spans="1:19" hidden="1"/>
    <row r="2" spans="1:19" ht="45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901</v>
      </c>
      <c r="J2" s="20" t="s">
        <v>902</v>
      </c>
      <c r="K2" s="20" t="s">
        <v>987</v>
      </c>
      <c r="L2" s="20" t="s">
        <v>988</v>
      </c>
      <c r="M2" s="20" t="s">
        <v>989</v>
      </c>
      <c r="N2" s="20" t="s">
        <v>990</v>
      </c>
      <c r="O2" s="20" t="s">
        <v>991</v>
      </c>
      <c r="P2" s="20" t="s">
        <v>992</v>
      </c>
      <c r="Q2" s="21" t="s">
        <v>993</v>
      </c>
      <c r="R2" s="20" t="s">
        <v>916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994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995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995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995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995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995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995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995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996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997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998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999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1000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1000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1000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1000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1000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1000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1001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1000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1002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1003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199" t="s">
        <v>1004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1000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199" t="s">
        <v>1005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199" t="s">
        <v>1006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199" t="s">
        <v>1007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199" t="s">
        <v>1008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1000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1000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1000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1000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1000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1000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1000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1000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1000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1000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1000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1000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1000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199" t="s">
        <v>1009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199" t="s">
        <v>1010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199" t="s">
        <v>1011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199" t="s">
        <v>1012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1013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1013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1013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1013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1014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199" t="s">
        <v>1015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1016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1016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1017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1018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199" t="s">
        <v>1019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199" t="s">
        <v>1020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199" t="s">
        <v>1021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03" t="s">
        <v>1022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199" t="s">
        <v>1023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199" t="s">
        <v>1024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199" t="s">
        <v>1025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199" t="s">
        <v>1026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199" t="s">
        <v>1027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199" t="s">
        <v>1028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199" t="s">
        <v>1029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199" t="s">
        <v>1030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199" t="s">
        <v>1031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1032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1033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199" t="s">
        <v>1034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199" t="s">
        <v>1035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1036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199" t="s">
        <v>1037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199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199" t="s">
        <v>1038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199" t="s">
        <v>1039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1040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1040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1040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1041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1042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199" t="s">
        <v>1043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199" t="s">
        <v>1044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199" t="s">
        <v>1045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199" t="s">
        <v>1046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199" t="s">
        <v>1047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199" t="s">
        <v>1048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199" t="s">
        <v>1049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199" t="s">
        <v>1050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199" t="s">
        <v>1051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1005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199" t="s">
        <v>1052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199" t="s">
        <v>1053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199" t="s">
        <v>1054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199" t="s">
        <v>1055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199" t="s">
        <v>1056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199" t="s">
        <v>1057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199" t="s">
        <v>1058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199" t="s">
        <v>1059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199" t="s">
        <v>1060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199" t="s">
        <v>1061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199" t="s">
        <v>1062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199" t="s">
        <v>1063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199" t="s">
        <v>1064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199" t="s">
        <v>1065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199" t="s">
        <v>1066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199" t="s">
        <v>1067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199" t="s">
        <v>1068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199" t="s">
        <v>1069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199" t="s">
        <v>1070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199" t="s">
        <v>1071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199" t="s">
        <v>1072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199" t="s">
        <v>1073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199" t="s">
        <v>1074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199" t="s">
        <v>1075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199" t="s">
        <v>1076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199" t="s">
        <v>1077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199" t="s">
        <v>1078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199" t="s">
        <v>1079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199" t="s">
        <v>1080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199" t="s">
        <v>1081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199" t="s">
        <v>1082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199" t="s">
        <v>1083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199" t="s">
        <v>1084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199" t="s">
        <v>1085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199" t="s">
        <v>1086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199" t="s">
        <v>1087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199" t="s">
        <v>1088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199" t="s">
        <v>1089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199" t="s">
        <v>1090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199" t="s">
        <v>1091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199" t="s">
        <v>1092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199" t="s">
        <v>1093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199" t="s">
        <v>1094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199" t="s">
        <v>1095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199" t="s">
        <v>1096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199" t="s">
        <v>1097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199" t="s">
        <v>1098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199" t="s">
        <v>1099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199" t="s">
        <v>1100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199" t="s">
        <v>1101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1102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199" t="s">
        <v>1103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199" t="s">
        <v>1104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199" t="s">
        <v>1105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199" t="s">
        <v>1106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199" t="s">
        <v>1107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199" t="s">
        <v>1108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199" t="s">
        <v>1109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199" t="s">
        <v>1110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199" t="s">
        <v>1111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199" t="s">
        <v>1112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199" t="s">
        <v>1113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199" t="s">
        <v>1113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199" t="s">
        <v>1114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1115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1116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199" t="s">
        <v>1116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199" t="s">
        <v>1117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199" t="s">
        <v>1118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199" t="s">
        <v>1119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199" t="s">
        <v>1120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199" t="s">
        <v>1121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199" t="s">
        <v>1122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199" t="s">
        <v>1113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199" t="s">
        <v>1123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199" t="s">
        <v>1008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199" t="s">
        <v>1124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199" t="s">
        <v>1125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199" t="s">
        <v>1126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199" t="s">
        <v>1127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199" t="s">
        <v>1128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199" t="s">
        <v>1129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199" t="s">
        <v>1130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199" t="s">
        <v>1131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199" t="s">
        <v>1132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199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199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199" t="s">
        <v>1133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199" t="s">
        <v>1134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199" t="s">
        <v>1135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199" t="s">
        <v>1136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199" t="s">
        <v>1137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199" t="s">
        <v>1138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199" t="s">
        <v>1139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199" t="s">
        <v>1140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199" t="s">
        <v>1141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199" t="s">
        <v>1142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199" t="s">
        <v>1143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199" t="s">
        <v>1144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199" t="s">
        <v>1145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199" t="s">
        <v>1146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199" t="s">
        <v>1147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199" t="s">
        <v>1148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199" t="s">
        <v>1149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199" t="s">
        <v>1150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199" t="s">
        <v>1151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199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199" t="s">
        <v>1152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199" t="s">
        <v>1153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199" t="s">
        <v>1154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199" t="s">
        <v>1155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199" t="s">
        <v>1156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199" t="s">
        <v>1157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199" t="s">
        <v>1158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199" t="s">
        <v>1159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199" t="s">
        <v>1160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199" t="s">
        <v>1161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199" t="s">
        <v>1162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199" t="s">
        <v>1163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199" t="s">
        <v>1164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199" t="s">
        <v>1165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199" t="s">
        <v>1166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199" t="s">
        <v>1167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199" t="s">
        <v>1168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1169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1170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1171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1172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1173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1174</v>
      </c>
      <c r="S613" t="s">
        <v>920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1175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1176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1177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1178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1179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1180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1181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1182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1183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1184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1185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199" t="s">
        <v>1186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199" t="s">
        <v>1187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199" t="s">
        <v>1188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199" t="s">
        <v>1189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199" t="s">
        <v>1190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199" t="s">
        <v>1191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199" t="s">
        <v>1192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199" t="s">
        <v>1193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1194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1195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1195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1195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1195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1196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1197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1196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1196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1198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1198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199" t="s">
        <v>1199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1200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1201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1202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1203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1204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1205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1206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1207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199" t="s">
        <v>1135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1208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1209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972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1210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1211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1212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1213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1214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1215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1216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1217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1218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1219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1220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1218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1218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199" t="s">
        <v>1221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199" t="s">
        <v>1222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199" t="s">
        <v>1223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199" t="s">
        <v>1224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1225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1226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1227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1228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199" t="s">
        <v>1229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199" t="s">
        <v>1230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1231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1232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1233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1232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1234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1235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1235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1235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1235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1236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1237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1232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1234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1232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1232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199" t="s">
        <v>1238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199" t="s">
        <v>1238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199" t="s">
        <v>1239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199" t="s">
        <v>1240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199" t="s">
        <v>1241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199" t="s">
        <v>1242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1232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199" t="s">
        <v>1238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199" t="s">
        <v>1243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1244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199" t="s">
        <v>1245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199" t="s">
        <v>1246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199" t="s">
        <v>1247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199" t="s">
        <v>1248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199" t="s">
        <v>1249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199" t="s">
        <v>1250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199" t="s">
        <v>1251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199" t="s">
        <v>1252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199" t="s">
        <v>1253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199" t="s">
        <v>1254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1255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1256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1257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199" t="s">
        <v>1258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199" t="s">
        <v>1259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199" t="s">
        <v>1260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199" t="s">
        <v>1261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199" t="s">
        <v>1262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199" t="s">
        <v>1263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199" t="s">
        <v>1264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1265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1266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1267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1268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199" t="s">
        <v>1269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199" t="s">
        <v>1270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199" t="s">
        <v>1271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199" t="s">
        <v>1272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199" t="s">
        <v>1273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199" t="s">
        <v>1274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199" t="s">
        <v>1275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199" t="s">
        <v>1276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199" t="s">
        <v>1277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199" t="s">
        <v>1278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199" t="s">
        <v>1279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199" t="s">
        <v>1280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199" t="s">
        <v>1281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199" t="s">
        <v>1282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199" t="s">
        <v>1283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199" t="s">
        <v>1284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199" t="s">
        <v>1285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199" t="s">
        <v>1286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1287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1288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1289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199" t="s">
        <v>1290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199" t="s">
        <v>1291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199" t="s">
        <v>1292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199" t="s">
        <v>1293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199" t="s">
        <v>1294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199" t="s">
        <v>1295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1268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199" t="s">
        <v>1296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199" t="s">
        <v>1297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199" t="s">
        <v>1298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199" t="s">
        <v>1299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199" t="s">
        <v>1300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1268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199" t="s">
        <v>1301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199" t="s">
        <v>1302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199" t="s">
        <v>1303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199" t="s">
        <v>1304</v>
      </c>
      <c r="S853" t="s">
        <v>1305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1306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1307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1307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1308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1309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1241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1008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1287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1287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199" t="s">
        <v>1122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199" t="s">
        <v>1122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199" t="s">
        <v>1310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199" t="s">
        <v>1311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199" t="s">
        <v>1312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199" t="s">
        <v>1313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199" t="s">
        <v>1314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199" t="s">
        <v>1315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199" t="s">
        <v>1316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199" t="s">
        <v>1317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199" t="s">
        <v>1318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199" t="s">
        <v>1319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199" t="s">
        <v>1320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199" t="s">
        <v>1321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199" t="s">
        <v>1322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199" t="s">
        <v>1207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199" t="s">
        <v>1323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199" t="s">
        <v>1324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199" t="s">
        <v>1325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199" t="s">
        <v>1326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199" t="s">
        <v>1327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199" t="s">
        <v>1328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199" t="s">
        <v>1329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199" t="s">
        <v>1330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199" t="s">
        <v>1331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199" t="s">
        <v>1332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199" t="s">
        <v>1333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199" t="s">
        <v>1334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199" t="s">
        <v>1335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199" t="s">
        <v>1336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199" t="s">
        <v>1337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199" t="s">
        <v>1338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199" t="s">
        <v>1339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199" t="s">
        <v>1340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199" t="s">
        <v>1341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199" t="s">
        <v>1342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199" t="s">
        <v>1343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199" t="s">
        <v>1344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199" t="s">
        <v>1345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199" t="s">
        <v>1346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1268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199" t="s">
        <v>1347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199" t="s">
        <v>1348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199" t="s">
        <v>1349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199" t="s">
        <v>1350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199" t="s">
        <v>1351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1268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199" t="s">
        <v>1352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199" t="s">
        <v>1353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199" t="s">
        <v>1354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199" t="s">
        <v>1355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1268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1268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199" t="s">
        <v>1356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199" t="s">
        <v>1357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1268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199" t="s">
        <v>1358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199" t="s">
        <v>1359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199" t="s">
        <v>1360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199" t="s">
        <v>1361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199" t="s">
        <v>1362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199" t="s">
        <v>1363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199" t="s">
        <v>1364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199" t="s">
        <v>1365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199" t="s">
        <v>1366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199" t="s">
        <v>1367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199" t="s">
        <v>1368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199" t="s">
        <v>1369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199" t="s">
        <v>1370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199" t="s">
        <v>1371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199" t="s">
        <v>1372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199" t="s">
        <v>1373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199" t="s">
        <v>1374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199" t="s">
        <v>1375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199" t="s">
        <v>1376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1122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1377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1377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1377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199" t="s">
        <v>1378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199" t="s">
        <v>1379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199" t="s">
        <v>1380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199" t="s">
        <v>1381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199" t="s">
        <v>1382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199" t="s">
        <v>1383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199" t="s">
        <v>1384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1385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1386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1387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1388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1389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1268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1268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1390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1390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1391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1392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1393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1394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1395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199" t="s">
        <v>1396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199" t="s">
        <v>1397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199" t="s">
        <v>1398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199" t="s">
        <v>1399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199" t="s">
        <v>1400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199" t="s">
        <v>1401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199" t="s">
        <v>1402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199" t="s">
        <v>1403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199" t="s">
        <v>1404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199" t="s">
        <v>1405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199" t="s">
        <v>1406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199" t="s">
        <v>1407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1408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1409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1410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1411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1412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1413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1414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1415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1416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1417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1418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28" t="s">
        <v>1419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1418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1418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1420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1420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1420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1420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1421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1421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1420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28" t="s">
        <v>1422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1122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1423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1607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1610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1609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1611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1612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28" t="s">
        <v>1613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28" t="s">
        <v>1614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1619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1620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1627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1628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1629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1631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28" t="s">
        <v>1636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1633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1635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1637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1638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1639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1640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1642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1643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1646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1647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1648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1649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1651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1122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1122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1653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1654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1655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1656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1658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1660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1661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1662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1663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1665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1666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35" t="s">
        <v>1668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35" t="s">
        <v>1669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37" t="s">
        <v>1672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38" t="s">
        <v>1673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39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40" t="s">
        <v>1676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41" t="s">
        <v>1678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45" t="s">
        <v>1679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46" t="s">
        <v>1680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10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47" t="s">
        <v>1683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48" t="s">
        <v>1684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49" t="s">
        <v>1686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50" t="s">
        <v>1687</v>
      </c>
    </row>
    <row r="1210" spans="1:18">
      <c r="A1210" s="2">
        <v>1126</v>
      </c>
      <c r="B1210" s="2" t="s">
        <v>4</v>
      </c>
      <c r="C1210" s="2">
        <f>YEAR(GC[[#This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si="168"/>
        <v>31</v>
      </c>
      <c r="H1210" s="19">
        <f t="shared" ref="H1210:H1219" si="170">H1209+1</f>
        <v>45859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2</v>
      </c>
      <c r="O1210">
        <v>0</v>
      </c>
      <c r="P1210">
        <v>3</v>
      </c>
      <c r="Q1210" s="2">
        <f>SUM(GC[[#This Row],[IC1_Inv1_GC]:[IC2_Inv2_GC]])</f>
        <v>5</v>
      </c>
      <c r="R1210" s="251" t="s">
        <v>1688</v>
      </c>
    </row>
    <row r="1211" spans="1:18">
      <c r="A1211" s="2">
        <v>1127</v>
      </c>
      <c r="B1211" s="2" t="s">
        <v>4</v>
      </c>
      <c r="C1211" s="2">
        <f>YEAR(GC[[#This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171">DAY(EOMONTH(F1211,0))</f>
        <v>31</v>
      </c>
      <c r="H1211" s="19">
        <f t="shared" si="170"/>
        <v>45860</v>
      </c>
      <c r="I1211">
        <v>1</v>
      </c>
      <c r="J1211">
        <v>1</v>
      </c>
      <c r="K1211">
        <v>0</v>
      </c>
      <c r="L1211">
        <v>3</v>
      </c>
      <c r="M1211" s="252">
        <v>5</v>
      </c>
      <c r="N1211">
        <v>0</v>
      </c>
      <c r="O1211">
        <v>0</v>
      </c>
      <c r="P1211">
        <v>0</v>
      </c>
      <c r="Q1211" s="2">
        <f>SUM(GC[[#This Row],[IC1_Inv1_GC]:[IC2_Inv2_GC]])</f>
        <v>8</v>
      </c>
      <c r="R1211" s="253" t="s">
        <v>1689</v>
      </c>
    </row>
    <row r="1212" spans="1:18">
      <c r="A1212" s="2">
        <v>1128</v>
      </c>
      <c r="B1212" s="2" t="s">
        <v>4</v>
      </c>
      <c r="C1212" s="2">
        <f>YEAR(GC[[#This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172">DAY(EOMONTH(F1212,0))</f>
        <v>31</v>
      </c>
      <c r="H1212" s="19">
        <f t="shared" si="170"/>
        <v>45861</v>
      </c>
      <c r="I1212">
        <v>1</v>
      </c>
      <c r="J1212">
        <v>1</v>
      </c>
      <c r="K1212">
        <v>0</v>
      </c>
      <c r="L1212">
        <v>8</v>
      </c>
      <c r="M1212">
        <v>0</v>
      </c>
      <c r="N1212">
        <v>0</v>
      </c>
      <c r="O1212">
        <v>0</v>
      </c>
      <c r="P1212">
        <v>0</v>
      </c>
      <c r="Q1212" s="2">
        <f>SUM(GC[[#This Row],[IC1_Inv1_GC]:[IC2_Inv2_GC]])</f>
        <v>8</v>
      </c>
      <c r="R1212" s="254" t="s">
        <v>1690</v>
      </c>
    </row>
    <row r="1213" spans="1:18">
      <c r="A1213" s="2">
        <v>1128</v>
      </c>
      <c r="B1213" s="2" t="s">
        <v>4</v>
      </c>
      <c r="C1213" s="2">
        <f>YEAR(GC[[#This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" si="173">DAY(EOMONTH(F1213,0))</f>
        <v>31</v>
      </c>
      <c r="H1213" s="19">
        <f t="shared" si="170"/>
        <v>45862</v>
      </c>
      <c r="I1213">
        <v>1</v>
      </c>
      <c r="J1213">
        <v>1</v>
      </c>
      <c r="K1213">
        <v>0</v>
      </c>
      <c r="L1213">
        <v>0</v>
      </c>
      <c r="M1213">
        <v>5</v>
      </c>
      <c r="N1213">
        <v>6</v>
      </c>
      <c r="O1213">
        <v>0</v>
      </c>
      <c r="P1213">
        <v>0</v>
      </c>
      <c r="Q1213" s="2">
        <f>SUM(GC[[#This Row],[IC1_Inv1_GC]:[IC2_Inv2_GC]])</f>
        <v>11</v>
      </c>
      <c r="R1213" s="255" t="s">
        <v>1691</v>
      </c>
    </row>
    <row r="1214" spans="1:18">
      <c r="A1214" s="2">
        <v>1129</v>
      </c>
      <c r="B1214" s="2" t="s">
        <v>4</v>
      </c>
      <c r="C1214" s="2">
        <f>YEAR(GC[[#This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ref="G1214:G1216" si="174">DAY(EOMONTH(F1214,0))</f>
        <v>31</v>
      </c>
      <c r="H1214" s="19">
        <f t="shared" si="170"/>
        <v>45863</v>
      </c>
      <c r="I1214">
        <v>1</v>
      </c>
      <c r="J1214">
        <v>1</v>
      </c>
      <c r="K1214">
        <v>0</v>
      </c>
      <c r="L1214">
        <v>6</v>
      </c>
      <c r="M1214">
        <v>0</v>
      </c>
      <c r="N1214">
        <v>0</v>
      </c>
      <c r="O1214">
        <v>0</v>
      </c>
      <c r="P1214">
        <v>0</v>
      </c>
      <c r="Q1214" s="2">
        <f>SUM(GC[[#This Row],[IC1_Inv1_GC]:[IC2_Inv2_GC]])</f>
        <v>6</v>
      </c>
      <c r="R1214" s="256" t="s">
        <v>1692</v>
      </c>
    </row>
    <row r="1215" spans="1:18">
      <c r="A1215" s="2">
        <v>1130</v>
      </c>
      <c r="B1215" s="2" t="s">
        <v>4</v>
      </c>
      <c r="C1215" s="2">
        <f>YEAR(GC[[#This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174"/>
        <v>31</v>
      </c>
      <c r="H1215" s="19">
        <f t="shared" si="170"/>
        <v>45864</v>
      </c>
      <c r="I1215">
        <v>1</v>
      </c>
      <c r="J1215">
        <v>1</v>
      </c>
      <c r="K1215">
        <v>0</v>
      </c>
      <c r="L1215">
        <v>0</v>
      </c>
      <c r="M1215">
        <v>0</v>
      </c>
      <c r="N1215">
        <v>0</v>
      </c>
      <c r="O1215">
        <v>4</v>
      </c>
      <c r="P1215">
        <v>4</v>
      </c>
      <c r="Q1215" s="2">
        <f>SUM(GC[[#This Row],[IC1_Inv1_GC]:[IC2_Inv2_GC]])</f>
        <v>8</v>
      </c>
      <c r="R1215" s="256" t="s">
        <v>1693</v>
      </c>
    </row>
    <row r="1216" spans="1:18">
      <c r="A1216" s="2">
        <v>1131</v>
      </c>
      <c r="B1216" s="2" t="s">
        <v>4</v>
      </c>
      <c r="C1216" s="2">
        <f>YEAR(GC[[#This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174"/>
        <v>31</v>
      </c>
      <c r="H1216" s="19">
        <f t="shared" si="170"/>
        <v>45865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10</v>
      </c>
      <c r="P1216">
        <v>0</v>
      </c>
      <c r="Q1216" s="2">
        <f>SUM(GC[[#This Row],[IC1_Inv1_GC]:[IC2_Inv2_GC]])</f>
        <v>10</v>
      </c>
      <c r="R1216" s="257" t="s">
        <v>1695</v>
      </c>
    </row>
    <row r="1217" spans="1:18">
      <c r="A1217" s="2">
        <v>1132</v>
      </c>
      <c r="B1217" s="2" t="s">
        <v>4</v>
      </c>
      <c r="C1217" s="2">
        <f>YEAR(GC[[#This Row],[Date]])</f>
        <v>2025</v>
      </c>
      <c r="D1217" s="2" t="s">
        <v>211</v>
      </c>
      <c r="E1217" s="2" t="s">
        <v>211</v>
      </c>
      <c r="F1217" s="18">
        <v>45839</v>
      </c>
      <c r="G1217" s="2">
        <f t="shared" ref="G1217" si="175">DAY(EOMONTH(F1217,0))</f>
        <v>31</v>
      </c>
      <c r="H1217" s="19">
        <f t="shared" si="170"/>
        <v>45866</v>
      </c>
      <c r="I1217">
        <v>1</v>
      </c>
      <c r="J1217">
        <v>1</v>
      </c>
      <c r="K1217">
        <v>0</v>
      </c>
      <c r="L1217">
        <v>0</v>
      </c>
      <c r="M1217">
        <v>0</v>
      </c>
      <c r="N1217">
        <v>0</v>
      </c>
      <c r="O1217">
        <v>10</v>
      </c>
      <c r="P1217">
        <v>0</v>
      </c>
      <c r="Q1217" s="2">
        <f>SUM(GC[[#This Row],[IC1_Inv1_GC]:[IC2_Inv2_GC]])</f>
        <v>10</v>
      </c>
      <c r="R1217" s="258" t="s">
        <v>1696</v>
      </c>
    </row>
    <row r="1218" spans="1:18">
      <c r="A1218" s="2">
        <v>1133</v>
      </c>
      <c r="B1218" s="2" t="s">
        <v>4</v>
      </c>
      <c r="C1218" s="2">
        <f>YEAR(GC[[#This Row],[Date]])</f>
        <v>2025</v>
      </c>
      <c r="D1218" s="2" t="s">
        <v>211</v>
      </c>
      <c r="E1218" s="2" t="s">
        <v>211</v>
      </c>
      <c r="F1218" s="18">
        <v>45839</v>
      </c>
      <c r="G1218" s="2">
        <f t="shared" ref="G1218" si="176">DAY(EOMONTH(F1218,0))</f>
        <v>31</v>
      </c>
      <c r="H1218" s="19">
        <f t="shared" si="170"/>
        <v>45867</v>
      </c>
      <c r="I1218">
        <v>1</v>
      </c>
      <c r="J1218">
        <v>1</v>
      </c>
      <c r="K1218">
        <v>0</v>
      </c>
      <c r="L1218">
        <v>0</v>
      </c>
      <c r="M1218">
        <v>0</v>
      </c>
      <c r="N1218">
        <v>0</v>
      </c>
      <c r="O1218">
        <v>9</v>
      </c>
      <c r="P1218">
        <v>0</v>
      </c>
      <c r="Q1218" s="2">
        <f>SUM(GC[[#This Row],[IC1_Inv1_GC]:[IC2_Inv2_GC]])</f>
        <v>9</v>
      </c>
      <c r="R1218" s="259" t="s">
        <v>1697</v>
      </c>
    </row>
    <row r="1219" spans="1:18">
      <c r="A1219" s="2">
        <v>1134</v>
      </c>
      <c r="B1219" s="2" t="s">
        <v>4</v>
      </c>
      <c r="C1219" s="2">
        <f>YEAR(GC[[#This Row],[Date]])</f>
        <v>2025</v>
      </c>
      <c r="D1219" s="2" t="s">
        <v>211</v>
      </c>
      <c r="E1219" s="2" t="s">
        <v>211</v>
      </c>
      <c r="F1219" s="18">
        <v>45839</v>
      </c>
      <c r="G1219" s="2">
        <f t="shared" ref="G1219" si="177">DAY(EOMONTH(F1219,0))</f>
        <v>31</v>
      </c>
      <c r="H1219" s="19">
        <f t="shared" si="170"/>
        <v>45868</v>
      </c>
      <c r="I1219">
        <v>1</v>
      </c>
      <c r="J1219">
        <v>1</v>
      </c>
      <c r="K1219">
        <v>0</v>
      </c>
      <c r="L1219">
        <v>0</v>
      </c>
      <c r="M1219">
        <v>0</v>
      </c>
      <c r="N1219">
        <v>0</v>
      </c>
      <c r="O1219">
        <v>10</v>
      </c>
      <c r="P1219">
        <v>0</v>
      </c>
      <c r="Q1219" s="2">
        <f>SUM(GC[[#This Row],[IC1_Inv1_GC]:[IC2_Inv2_GC]])</f>
        <v>10</v>
      </c>
      <c r="R1219" s="259" t="s">
        <v>1698</v>
      </c>
    </row>
    <row r="1220" spans="1:18">
      <c r="A1220" s="2">
        <v>1135</v>
      </c>
      <c r="B1220" s="2" t="s">
        <v>4</v>
      </c>
      <c r="C1220" s="2">
        <f>YEAR(GC[[#This Row],[Date]])</f>
        <v>2025</v>
      </c>
      <c r="D1220" s="2" t="s">
        <v>211</v>
      </c>
      <c r="E1220" s="2" t="s">
        <v>211</v>
      </c>
      <c r="F1220" s="18">
        <v>45839</v>
      </c>
      <c r="G1220" s="2">
        <f>DAY(EOMONTH(F1220,0))</f>
        <v>31</v>
      </c>
      <c r="H1220" s="19">
        <f>H1219+1</f>
        <v>45869</v>
      </c>
      <c r="I1220">
        <v>1</v>
      </c>
      <c r="J1220">
        <v>1</v>
      </c>
      <c r="K1220">
        <v>0</v>
      </c>
      <c r="L1220">
        <v>0</v>
      </c>
      <c r="M1220">
        <v>0</v>
      </c>
      <c r="N1220">
        <v>0</v>
      </c>
      <c r="O1220">
        <v>7</v>
      </c>
      <c r="P1220">
        <v>0</v>
      </c>
      <c r="Q1220" s="2">
        <f>SUM(GC[[#This Row],[IC1_Inv1_GC]:[IC2_Inv2_GC]])</f>
        <v>7</v>
      </c>
      <c r="R1220" s="335" t="s">
        <v>1745</v>
      </c>
    </row>
    <row r="1221" spans="1:18">
      <c r="A1221" s="2">
        <v>1136</v>
      </c>
      <c r="B1221" s="2" t="s">
        <v>4</v>
      </c>
      <c r="C1221" s="2">
        <f>YEAR(GC[[#This Row],[Date]])</f>
        <v>2025</v>
      </c>
      <c r="D1221" s="2" t="s">
        <v>211</v>
      </c>
      <c r="E1221" s="2" t="s">
        <v>211</v>
      </c>
      <c r="F1221" s="18">
        <v>45870</v>
      </c>
      <c r="G1221" s="2">
        <f>DAY(EOMONTH(F1221,0))</f>
        <v>31</v>
      </c>
      <c r="H1221" s="19">
        <f>H1220+1</f>
        <v>45870</v>
      </c>
      <c r="I1221">
        <v>1</v>
      </c>
      <c r="J1221">
        <v>1</v>
      </c>
      <c r="K1221">
        <v>0</v>
      </c>
      <c r="L1221">
        <v>0</v>
      </c>
      <c r="M1221">
        <v>0</v>
      </c>
      <c r="N1221">
        <v>0</v>
      </c>
      <c r="O1221">
        <v>10</v>
      </c>
      <c r="P1221">
        <v>0</v>
      </c>
      <c r="Q1221" s="2">
        <f>SUM(GC[[#This Row],[IC1_Inv1_GC]:[IC2_Inv2_GC]])</f>
        <v>10</v>
      </c>
      <c r="R1221" s="335" t="s">
        <v>1746</v>
      </c>
    </row>
    <row r="1222" spans="1:18">
      <c r="A1222" s="2">
        <v>1137</v>
      </c>
      <c r="B1222" s="2" t="s">
        <v>4</v>
      </c>
      <c r="C1222" s="2">
        <f>YEAR(GC[[#This Row],[Date]])</f>
        <v>2025</v>
      </c>
      <c r="D1222" s="2" t="s">
        <v>211</v>
      </c>
      <c r="E1222" s="2" t="s">
        <v>211</v>
      </c>
      <c r="F1222" s="18">
        <v>45870</v>
      </c>
      <c r="G1222" s="2">
        <f>DAY(EOMONTH(F1222,0))</f>
        <v>31</v>
      </c>
      <c r="H1222" s="19">
        <f>H1221+1</f>
        <v>45871</v>
      </c>
      <c r="I1222">
        <v>1</v>
      </c>
      <c r="J1222">
        <v>1</v>
      </c>
      <c r="K1222">
        <v>0</v>
      </c>
      <c r="L1222">
        <v>0</v>
      </c>
      <c r="M1222">
        <v>0</v>
      </c>
      <c r="N1222">
        <v>0</v>
      </c>
      <c r="O1222">
        <v>10</v>
      </c>
      <c r="P1222">
        <v>0</v>
      </c>
      <c r="Q1222" s="2">
        <f>SUM(GC[[#This Row],[IC1_Inv1_GC]:[IC2_Inv2_GC]])</f>
        <v>10</v>
      </c>
      <c r="R1222" s="335" t="s">
        <v>1747</v>
      </c>
    </row>
    <row r="1223" spans="1:18">
      <c r="A1223" s="2">
        <v>1138</v>
      </c>
      <c r="B1223" s="2" t="s">
        <v>4</v>
      </c>
      <c r="C1223" s="2">
        <f>YEAR(GC[[#This Row],[Date]])</f>
        <v>2025</v>
      </c>
      <c r="D1223" s="2" t="s">
        <v>211</v>
      </c>
      <c r="E1223" s="2" t="s">
        <v>211</v>
      </c>
      <c r="F1223" s="18">
        <v>45870</v>
      </c>
      <c r="G1223" s="2">
        <f>DAY(EOMONTH(F1223,0))</f>
        <v>31</v>
      </c>
      <c r="H1223" s="19">
        <f>H1222+1</f>
        <v>45872</v>
      </c>
      <c r="I1223">
        <v>1</v>
      </c>
      <c r="J1223">
        <v>1</v>
      </c>
      <c r="K1223">
        <v>0</v>
      </c>
      <c r="L1223">
        <v>0</v>
      </c>
      <c r="M1223">
        <v>0</v>
      </c>
      <c r="N1223">
        <v>0</v>
      </c>
      <c r="O1223">
        <v>15</v>
      </c>
      <c r="P1223">
        <v>0</v>
      </c>
      <c r="Q1223" s="2">
        <f>SUM(GC[[#This Row],[IC1_Inv1_GC]:[IC2_Inv2_GC]])</f>
        <v>15</v>
      </c>
      <c r="R1223" s="335" t="s">
        <v>1748</v>
      </c>
    </row>
    <row r="1224" spans="1:18">
      <c r="A1224" s="2">
        <v>1139</v>
      </c>
      <c r="B1224" s="2" t="s">
        <v>4</v>
      </c>
      <c r="C1224" s="356">
        <f>YEAR(GC[[#This Row],[Date]])</f>
        <v>2025</v>
      </c>
      <c r="D1224" s="2" t="s">
        <v>211</v>
      </c>
      <c r="E1224" s="2" t="s">
        <v>211</v>
      </c>
      <c r="F1224" s="18">
        <v>45870</v>
      </c>
      <c r="G1224" s="2">
        <f>DAY(EOMONTH(F1224,0))</f>
        <v>31</v>
      </c>
      <c r="H1224" s="19">
        <f>H1223+1</f>
        <v>45873</v>
      </c>
      <c r="I1224">
        <v>1</v>
      </c>
      <c r="J1224">
        <v>1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16</v>
      </c>
      <c r="Q1224" s="356">
        <f>SUM(GC[[#This Row],[IC1_Inv1_GC]:[IC2_Inv2_GC]])</f>
        <v>16</v>
      </c>
      <c r="R1224" s="357" t="s">
        <v>1751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36"/>
  <sheetViews>
    <sheetView zoomScaleNormal="100" workbookViewId="0">
      <pane xSplit="8" ySplit="1" topLeftCell="I1631" activePane="bottomRight" state="frozen"/>
      <selection activeCell="I9" sqref="I9"/>
      <selection pane="topRight" activeCell="I9" sqref="I9"/>
      <selection pane="bottomLeft" activeCell="I9" sqref="I9"/>
      <selection pane="bottomRight" activeCell="K1635" sqref="K1635:K1636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8.140625" customWidth="1"/>
    <col min="8" max="8" width="10.42578125" bestFit="1" customWidth="1"/>
    <col min="9" max="9" width="45.42578125" customWidth="1"/>
    <col min="10" max="10" width="10.42578125" style="2" customWidth="1"/>
    <col min="11" max="11" width="21.140625" customWidth="1"/>
    <col min="12" max="12" width="17.5703125" customWidth="1"/>
    <col min="13" max="13" width="14" customWidth="1"/>
  </cols>
  <sheetData>
    <row r="1" spans="1:13" ht="45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1424</v>
      </c>
      <c r="J1" s="21" t="s">
        <v>1425</v>
      </c>
      <c r="K1" s="20" t="s">
        <v>1426</v>
      </c>
      <c r="L1" s="20" t="s">
        <v>1427</v>
      </c>
      <c r="M1" s="20" t="s">
        <v>916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1428</v>
      </c>
      <c r="J2" s="2">
        <v>1</v>
      </c>
      <c r="K2" s="3" t="s">
        <v>440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1429</v>
      </c>
      <c r="J3" s="2">
        <v>1</v>
      </c>
      <c r="K3" s="3" t="s">
        <v>441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1429</v>
      </c>
      <c r="J4" s="2">
        <v>1</v>
      </c>
      <c r="K4" s="3" t="s">
        <v>443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1428</v>
      </c>
      <c r="J5" s="2">
        <v>1</v>
      </c>
      <c r="K5" s="3" t="s">
        <v>444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1428</v>
      </c>
      <c r="J6" s="2">
        <v>1</v>
      </c>
      <c r="K6" s="3" t="s">
        <v>445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1429</v>
      </c>
      <c r="J7" s="2">
        <v>1</v>
      </c>
      <c r="K7" s="3" t="s">
        <v>446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1430</v>
      </c>
      <c r="J8" s="2">
        <v>1</v>
      </c>
      <c r="K8" s="3" t="s">
        <v>447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1431</v>
      </c>
      <c r="J9" s="2">
        <v>1</v>
      </c>
      <c r="K9" s="3" t="s">
        <v>448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1430</v>
      </c>
      <c r="J10" s="2">
        <v>1</v>
      </c>
      <c r="K10" s="3" t="s">
        <v>449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1430</v>
      </c>
      <c r="J11" s="2">
        <v>1</v>
      </c>
      <c r="K11" s="3" t="s">
        <v>450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1432</v>
      </c>
      <c r="J12" s="2">
        <v>1</v>
      </c>
      <c r="K12" s="3" t="s">
        <v>451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1433</v>
      </c>
      <c r="J13" s="2">
        <v>1</v>
      </c>
      <c r="K13" s="3" t="s">
        <v>453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1434</v>
      </c>
      <c r="J14" s="2">
        <v>1</v>
      </c>
      <c r="K14" s="3" t="s">
        <v>454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1434</v>
      </c>
      <c r="J15" s="2">
        <v>1</v>
      </c>
      <c r="K15" s="3" t="s">
        <v>455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1434</v>
      </c>
      <c r="J16" s="2">
        <v>1</v>
      </c>
      <c r="K16" s="3" t="s">
        <v>456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1434</v>
      </c>
      <c r="J17" s="2">
        <v>1</v>
      </c>
      <c r="K17" s="3" t="s">
        <v>457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1434</v>
      </c>
      <c r="J18" s="2">
        <v>1</v>
      </c>
      <c r="K18" s="3" t="s">
        <v>458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1434</v>
      </c>
      <c r="J19" s="2">
        <v>1</v>
      </c>
      <c r="K19" s="3" t="s">
        <v>459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1435</v>
      </c>
      <c r="J20" s="2">
        <v>1</v>
      </c>
      <c r="K20" s="3" t="s">
        <v>460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1434</v>
      </c>
      <c r="J21" s="2">
        <v>1</v>
      </c>
      <c r="K21" s="3" t="s">
        <v>461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1434</v>
      </c>
      <c r="J22" s="2">
        <v>1</v>
      </c>
      <c r="K22" s="3" t="s">
        <v>462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1434</v>
      </c>
      <c r="J23" s="2">
        <v>1</v>
      </c>
      <c r="K23" s="3" t="s">
        <v>463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1435</v>
      </c>
      <c r="J24" s="2">
        <v>1</v>
      </c>
      <c r="K24" s="3" t="s">
        <v>464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1434</v>
      </c>
      <c r="J25" s="2">
        <v>1</v>
      </c>
      <c r="K25" s="3" t="s">
        <v>466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1434</v>
      </c>
      <c r="J26" s="2">
        <v>1</v>
      </c>
      <c r="K26" s="3" t="s">
        <v>467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1">
        <v>44774</v>
      </c>
      <c r="G27" s="2">
        <f t="shared" si="0"/>
        <v>31</v>
      </c>
      <c r="H27" s="32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1">
        <v>44774</v>
      </c>
      <c r="G28" s="2">
        <f t="shared" si="0"/>
        <v>31</v>
      </c>
      <c r="H28" s="32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1">
        <v>44774</v>
      </c>
      <c r="G29" s="2">
        <f t="shared" si="0"/>
        <v>31</v>
      </c>
      <c r="H29" s="32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1">
        <v>44774</v>
      </c>
      <c r="G30" s="2">
        <f t="shared" si="0"/>
        <v>31</v>
      </c>
      <c r="H30" s="32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1">
        <v>44774</v>
      </c>
      <c r="G31" s="2">
        <f t="shared" si="0"/>
        <v>31</v>
      </c>
      <c r="H31" s="32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1">
        <v>44774</v>
      </c>
      <c r="G32" s="2">
        <f t="shared" si="0"/>
        <v>31</v>
      </c>
      <c r="H32" s="32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1">
        <v>44774</v>
      </c>
      <c r="G33" s="2">
        <f t="shared" si="0"/>
        <v>31</v>
      </c>
      <c r="H33" s="32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1">
        <v>44774</v>
      </c>
      <c r="G34" s="2">
        <f t="shared" ref="G34:G59" si="2">DAY(EOMONTH(F34,0))</f>
        <v>31</v>
      </c>
      <c r="H34" s="32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1">
        <v>44774</v>
      </c>
      <c r="G35" s="2">
        <f t="shared" si="2"/>
        <v>31</v>
      </c>
      <c r="H35" s="32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1">
        <v>44774</v>
      </c>
      <c r="G36" s="2">
        <f t="shared" si="2"/>
        <v>31</v>
      </c>
      <c r="H36" s="32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1">
        <v>44774</v>
      </c>
      <c r="G37" s="2">
        <f t="shared" si="2"/>
        <v>31</v>
      </c>
      <c r="H37" s="32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1">
        <v>44774</v>
      </c>
      <c r="G38" s="2">
        <f t="shared" si="2"/>
        <v>31</v>
      </c>
      <c r="H38" s="32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1434</v>
      </c>
      <c r="J39" s="2">
        <v>1</v>
      </c>
      <c r="K39" s="1" t="s">
        <v>474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1434</v>
      </c>
      <c r="J40" s="2">
        <v>1</v>
      </c>
      <c r="K40" s="1" t="s">
        <v>475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1434</v>
      </c>
      <c r="J41" s="2">
        <v>1</v>
      </c>
      <c r="K41" s="1" t="s">
        <v>476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1434</v>
      </c>
      <c r="J42" s="2">
        <v>1</v>
      </c>
      <c r="K42" s="1" t="s">
        <v>477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1434</v>
      </c>
      <c r="J43" s="2">
        <v>1</v>
      </c>
      <c r="K43" s="1" t="s">
        <v>478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1434</v>
      </c>
      <c r="J44" s="2">
        <v>2</v>
      </c>
      <c r="K44" s="1" t="s">
        <v>1436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1">
        <v>44774</v>
      </c>
      <c r="G45" s="2">
        <f t="shared" si="2"/>
        <v>31</v>
      </c>
      <c r="H45" s="32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1">
        <v>44774</v>
      </c>
      <c r="G46" s="2">
        <f t="shared" si="2"/>
        <v>31</v>
      </c>
      <c r="H46" s="32">
        <v>44800</v>
      </c>
      <c r="I46" t="s">
        <v>1437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1">
        <v>44774</v>
      </c>
      <c r="G47" s="2">
        <f t="shared" si="2"/>
        <v>31</v>
      </c>
      <c r="H47" s="32">
        <v>44800</v>
      </c>
      <c r="I47" t="s">
        <v>1438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3">
        <v>44800</v>
      </c>
      <c r="I48" t="s">
        <v>442</v>
      </c>
      <c r="J48" s="2">
        <v>1</v>
      </c>
      <c r="K48" s="1" t="s">
        <v>481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3">
        <v>44800</v>
      </c>
      <c r="I49" t="s">
        <v>436</v>
      </c>
      <c r="J49" s="2" t="s">
        <v>1439</v>
      </c>
      <c r="K49" s="1" t="s">
        <v>482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3">
        <v>44801</v>
      </c>
      <c r="I50" t="s">
        <v>442</v>
      </c>
      <c r="J50" s="2">
        <v>1</v>
      </c>
      <c r="K50" s="1" t="s">
        <v>483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1">
        <v>44774</v>
      </c>
      <c r="G51" s="2">
        <f t="shared" si="2"/>
        <v>31</v>
      </c>
      <c r="H51" s="32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3">
        <v>44804</v>
      </c>
      <c r="I52" t="s">
        <v>437</v>
      </c>
      <c r="J52" s="2">
        <v>1</v>
      </c>
      <c r="K52" s="1" t="s">
        <v>484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1">
        <v>44805</v>
      </c>
      <c r="G53" s="2">
        <f t="shared" si="2"/>
        <v>30</v>
      </c>
      <c r="H53" s="32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1">
        <v>44805</v>
      </c>
      <c r="G54" s="2">
        <f t="shared" si="2"/>
        <v>30</v>
      </c>
      <c r="H54" s="32">
        <v>44807</v>
      </c>
      <c r="I54" t="s">
        <v>297</v>
      </c>
      <c r="J54" s="2" t="s">
        <v>1440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1">
        <v>44805</v>
      </c>
      <c r="G55" s="2">
        <f t="shared" si="2"/>
        <v>30</v>
      </c>
      <c r="H55" s="32">
        <v>44807</v>
      </c>
      <c r="I55" t="s">
        <v>298</v>
      </c>
      <c r="J55" s="2" t="s">
        <v>1440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1">
        <v>44805</v>
      </c>
      <c r="G56" s="2">
        <f t="shared" si="2"/>
        <v>30</v>
      </c>
      <c r="H56" s="32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1">
        <v>44805</v>
      </c>
      <c r="G57" s="2">
        <f t="shared" si="2"/>
        <v>30</v>
      </c>
      <c r="H57" s="32">
        <v>44808</v>
      </c>
      <c r="I57" t="s">
        <v>299</v>
      </c>
      <c r="J57" s="2" t="s">
        <v>1440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1">
        <v>44805</v>
      </c>
      <c r="G58" s="2">
        <f t="shared" si="2"/>
        <v>30</v>
      </c>
      <c r="H58" s="32">
        <v>44808</v>
      </c>
      <c r="I58" t="s">
        <v>297</v>
      </c>
      <c r="J58" s="2" t="s">
        <v>1440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1">
        <v>44805</v>
      </c>
      <c r="G59" s="2">
        <f t="shared" si="2"/>
        <v>30</v>
      </c>
      <c r="H59" s="32">
        <v>44808</v>
      </c>
      <c r="I59" t="s">
        <v>299</v>
      </c>
      <c r="J59" s="2" t="s">
        <v>1440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3">
        <v>44811</v>
      </c>
      <c r="I60" t="s">
        <v>437</v>
      </c>
      <c r="J60" s="2">
        <v>1</v>
      </c>
      <c r="K60" s="1" t="s">
        <v>483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3">
        <v>44811</v>
      </c>
      <c r="I61" t="s">
        <v>437</v>
      </c>
      <c r="J61" s="2">
        <v>1</v>
      </c>
      <c r="K61" s="1" t="s">
        <v>479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3">
        <v>44811</v>
      </c>
      <c r="I62" t="s">
        <v>437</v>
      </c>
      <c r="J62" s="2">
        <v>1</v>
      </c>
      <c r="K62" s="1" t="s">
        <v>480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3">
        <v>44811</v>
      </c>
      <c r="I63" t="s">
        <v>442</v>
      </c>
      <c r="J63" s="2">
        <v>1</v>
      </c>
      <c r="K63" s="1" t="s">
        <v>485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3">
        <v>44811</v>
      </c>
      <c r="I64" t="s">
        <v>442</v>
      </c>
      <c r="J64" s="2">
        <v>1</v>
      </c>
      <c r="K64" s="1" t="s">
        <v>486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2">
        <v>44813</v>
      </c>
      <c r="I65" t="s">
        <v>299</v>
      </c>
      <c r="J65" s="2" t="s">
        <v>1440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2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2">
        <v>44813</v>
      </c>
      <c r="I67" t="s">
        <v>301</v>
      </c>
      <c r="J67" s="2" t="s">
        <v>1440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2">
        <v>44813</v>
      </c>
      <c r="I68" t="s">
        <v>299</v>
      </c>
      <c r="J68" s="2" t="s">
        <v>1440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3">
        <v>44814</v>
      </c>
      <c r="I69" s="86" t="s">
        <v>488</v>
      </c>
      <c r="J69" s="2">
        <v>21</v>
      </c>
      <c r="K69" s="1" t="s">
        <v>487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2">
        <v>44814</v>
      </c>
      <c r="I70" t="s">
        <v>299</v>
      </c>
      <c r="J70" s="2" t="s">
        <v>1440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2">
        <v>44814</v>
      </c>
      <c r="I71" t="s">
        <v>309</v>
      </c>
      <c r="J71" s="2" t="s">
        <v>1440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2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2">
        <v>44814</v>
      </c>
      <c r="I73" t="s">
        <v>297</v>
      </c>
      <c r="J73" s="2" t="s">
        <v>1440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2">
        <v>44814</v>
      </c>
      <c r="I74" t="s">
        <v>299</v>
      </c>
      <c r="J74" s="2" t="s">
        <v>1440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2">
        <v>44815</v>
      </c>
      <c r="I75" t="s">
        <v>299</v>
      </c>
      <c r="J75" s="2" t="s">
        <v>1440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2">
        <v>44815</v>
      </c>
      <c r="I76" s="86" t="s">
        <v>488</v>
      </c>
      <c r="J76" s="2">
        <v>21</v>
      </c>
      <c r="K76" s="1" t="s">
        <v>487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2">
        <v>44815</v>
      </c>
      <c r="I77" s="86" t="s">
        <v>488</v>
      </c>
      <c r="J77" s="2">
        <v>21</v>
      </c>
      <c r="K77" s="1" t="s">
        <v>489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3">
        <v>44816</v>
      </c>
      <c r="I78" s="86" t="s">
        <v>488</v>
      </c>
      <c r="J78" s="2">
        <v>21</v>
      </c>
      <c r="K78" s="1" t="s">
        <v>489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3">
        <v>44817</v>
      </c>
      <c r="I79" s="86" t="s">
        <v>488</v>
      </c>
      <c r="J79" s="2">
        <v>21</v>
      </c>
      <c r="K79" s="1" t="s">
        <v>490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2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2">
        <v>44817</v>
      </c>
      <c r="I81" t="s">
        <v>297</v>
      </c>
      <c r="J81" s="2" t="s">
        <v>1440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2">
        <v>44817</v>
      </c>
      <c r="I82" t="s">
        <v>299</v>
      </c>
      <c r="J82" s="2" t="s">
        <v>1440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2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2">
        <v>44818</v>
      </c>
      <c r="I84" t="s">
        <v>311</v>
      </c>
      <c r="J84" s="2" t="s">
        <v>1440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2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2">
        <v>44818</v>
      </c>
      <c r="I86" s="86" t="s">
        <v>488</v>
      </c>
      <c r="J86" s="2">
        <v>21</v>
      </c>
      <c r="K86" s="1" t="s">
        <v>490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2">
        <v>44818</v>
      </c>
      <c r="I87" t="s">
        <v>492</v>
      </c>
      <c r="J87" s="2">
        <v>1</v>
      </c>
      <c r="K87" s="1" t="s">
        <v>491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2">
        <v>44818</v>
      </c>
      <c r="I88" s="2" t="s">
        <v>452</v>
      </c>
      <c r="J88" s="2">
        <v>1</v>
      </c>
      <c r="K88" s="1" t="s">
        <v>493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2">
        <v>44818</v>
      </c>
      <c r="I89" s="2" t="s">
        <v>452</v>
      </c>
      <c r="J89" s="2">
        <v>1</v>
      </c>
      <c r="K89" s="1" t="s">
        <v>494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2">
        <v>44819</v>
      </c>
      <c r="I90" s="2" t="s">
        <v>452</v>
      </c>
      <c r="J90" s="2">
        <v>1</v>
      </c>
      <c r="K90" s="1" t="s">
        <v>495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2">
        <v>44819</v>
      </c>
      <c r="I91" s="86" t="s">
        <v>497</v>
      </c>
      <c r="J91" s="2">
        <v>42</v>
      </c>
      <c r="K91" s="1" t="s">
        <v>496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2">
        <v>44819</v>
      </c>
      <c r="I92" s="86" t="s">
        <v>488</v>
      </c>
      <c r="J92" s="2">
        <v>21</v>
      </c>
      <c r="K92" s="1" t="s">
        <v>498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2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2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2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2">
        <v>44820</v>
      </c>
      <c r="I96" s="86" t="s">
        <v>497</v>
      </c>
      <c r="J96" s="2">
        <v>42</v>
      </c>
      <c r="K96" s="1" t="s">
        <v>499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2">
        <v>44820</v>
      </c>
      <c r="I97" s="86" t="s">
        <v>488</v>
      </c>
      <c r="J97" s="2">
        <v>21</v>
      </c>
      <c r="K97" s="1" t="s">
        <v>500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2">
        <v>44821</v>
      </c>
      <c r="I98" s="86" t="s">
        <v>497</v>
      </c>
      <c r="J98" s="2">
        <v>42</v>
      </c>
      <c r="K98" s="87" t="s">
        <v>501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2">
        <v>44821</v>
      </c>
      <c r="I99" t="s">
        <v>294</v>
      </c>
      <c r="J99" s="2">
        <v>2</v>
      </c>
      <c r="K99" s="88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2">
        <v>44822</v>
      </c>
      <c r="I100" s="86" t="s">
        <v>497</v>
      </c>
      <c r="J100" s="2">
        <v>42</v>
      </c>
      <c r="K100" s="1" t="s">
        <v>502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2">
        <v>44822</v>
      </c>
      <c r="I101" t="s">
        <v>504</v>
      </c>
      <c r="J101" s="2">
        <v>1</v>
      </c>
      <c r="K101" s="1" t="s">
        <v>503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2">
        <v>44822</v>
      </c>
      <c r="I102" t="s">
        <v>506</v>
      </c>
      <c r="J102" s="2">
        <v>1</v>
      </c>
      <c r="K102" s="1" t="s">
        <v>505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2">
        <v>44822</v>
      </c>
      <c r="I103" t="s">
        <v>508</v>
      </c>
      <c r="J103" s="2">
        <v>1</v>
      </c>
      <c r="K103" s="1" t="s">
        <v>507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2">
        <v>44822</v>
      </c>
      <c r="I104" t="s">
        <v>510</v>
      </c>
      <c r="J104" s="2">
        <v>1</v>
      </c>
      <c r="K104" s="1" t="s">
        <v>509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2">
        <v>44822</v>
      </c>
      <c r="I105" t="s">
        <v>512</v>
      </c>
      <c r="J105" s="2">
        <v>1</v>
      </c>
      <c r="K105" s="1" t="s">
        <v>511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2">
        <v>44822</v>
      </c>
      <c r="I106" t="s">
        <v>514</v>
      </c>
      <c r="J106" s="2">
        <v>1</v>
      </c>
      <c r="K106" s="1" t="s">
        <v>513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2">
        <v>44822</v>
      </c>
      <c r="I107" t="s">
        <v>516</v>
      </c>
      <c r="J107" s="2">
        <v>1</v>
      </c>
      <c r="K107" s="1" t="s">
        <v>515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2">
        <v>44822</v>
      </c>
      <c r="I108" t="s">
        <v>518</v>
      </c>
      <c r="J108" s="2">
        <v>1</v>
      </c>
      <c r="K108" s="1" t="s">
        <v>517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2">
        <v>44822</v>
      </c>
      <c r="I109" t="s">
        <v>519</v>
      </c>
      <c r="J109" s="2">
        <v>1</v>
      </c>
      <c r="K109" s="1" t="s">
        <v>517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2">
        <v>44822</v>
      </c>
      <c r="I110" t="s">
        <v>521</v>
      </c>
      <c r="J110" s="2">
        <v>1</v>
      </c>
      <c r="K110" s="1" t="s">
        <v>520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2">
        <v>44822</v>
      </c>
      <c r="I111" t="s">
        <v>523</v>
      </c>
      <c r="J111" s="2">
        <v>1</v>
      </c>
      <c r="K111" s="1" t="s">
        <v>522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2">
        <v>44822</v>
      </c>
      <c r="I112" t="s">
        <v>524</v>
      </c>
      <c r="J112" s="2">
        <v>1</v>
      </c>
      <c r="K112" s="1" t="s">
        <v>522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2">
        <v>44822</v>
      </c>
      <c r="I113" t="s">
        <v>525</v>
      </c>
      <c r="J113" s="2">
        <v>1</v>
      </c>
      <c r="K113" s="1" t="s">
        <v>522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2">
        <v>44822</v>
      </c>
      <c r="I114" t="s">
        <v>526</v>
      </c>
      <c r="J114" s="2">
        <v>1</v>
      </c>
      <c r="K114" s="1" t="s">
        <v>522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2">
        <v>44822</v>
      </c>
      <c r="I115" t="s">
        <v>528</v>
      </c>
      <c r="J115" s="2">
        <v>1</v>
      </c>
      <c r="K115" s="1" t="s">
        <v>527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2">
        <v>44822</v>
      </c>
      <c r="I116" t="s">
        <v>530</v>
      </c>
      <c r="J116" s="2">
        <v>1</v>
      </c>
      <c r="K116" s="1" t="s">
        <v>529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2">
        <v>44823</v>
      </c>
      <c r="I117" s="86" t="s">
        <v>488</v>
      </c>
      <c r="J117" s="2">
        <v>21</v>
      </c>
      <c r="K117" s="1" t="s">
        <v>481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2">
        <v>44823</v>
      </c>
      <c r="I118" s="86" t="s">
        <v>488</v>
      </c>
      <c r="J118" s="2">
        <v>21</v>
      </c>
      <c r="K118" s="1" t="s">
        <v>498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2">
        <v>44823</v>
      </c>
      <c r="I119" t="s">
        <v>532</v>
      </c>
      <c r="J119" s="2">
        <v>1</v>
      </c>
      <c r="K119" s="1" t="s">
        <v>531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2">
        <v>44823</v>
      </c>
      <c r="I120" t="s">
        <v>533</v>
      </c>
      <c r="J120" s="2">
        <v>1</v>
      </c>
      <c r="K120" s="1" t="s">
        <v>531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2">
        <v>44823</v>
      </c>
      <c r="I121" t="s">
        <v>535</v>
      </c>
      <c r="J121" s="2">
        <v>1</v>
      </c>
      <c r="K121" s="1" t="s">
        <v>534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2">
        <v>44823</v>
      </c>
      <c r="I122" t="s">
        <v>537</v>
      </c>
      <c r="J122" s="2">
        <v>1</v>
      </c>
      <c r="K122" s="1" t="s">
        <v>536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2">
        <v>44823</v>
      </c>
      <c r="I123" t="s">
        <v>539</v>
      </c>
      <c r="J123" s="2">
        <v>1</v>
      </c>
      <c r="K123" s="1" t="s">
        <v>538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2">
        <v>44823</v>
      </c>
      <c r="I124" t="s">
        <v>541</v>
      </c>
      <c r="J124" s="2">
        <v>1</v>
      </c>
      <c r="K124" s="1" t="s">
        <v>540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2">
        <v>44823</v>
      </c>
      <c r="I125" t="s">
        <v>543</v>
      </c>
      <c r="J125" s="2">
        <v>1</v>
      </c>
      <c r="K125" s="1" t="s">
        <v>542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2">
        <v>44823</v>
      </c>
      <c r="I126" t="s">
        <v>545</v>
      </c>
      <c r="J126" s="2">
        <v>1</v>
      </c>
      <c r="K126" s="1" t="s">
        <v>544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2">
        <v>44823</v>
      </c>
      <c r="I127" t="s">
        <v>547</v>
      </c>
      <c r="J127" s="2">
        <v>1</v>
      </c>
      <c r="K127" s="1" t="s">
        <v>546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2">
        <v>44823</v>
      </c>
      <c r="I128" t="s">
        <v>548</v>
      </c>
      <c r="J128" s="2">
        <v>1</v>
      </c>
      <c r="K128" s="1" t="s">
        <v>546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2">
        <v>44824</v>
      </c>
      <c r="I129" s="86" t="s">
        <v>497</v>
      </c>
      <c r="J129" s="2">
        <v>42</v>
      </c>
      <c r="K129" s="87" t="s">
        <v>549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2">
        <v>44824</v>
      </c>
      <c r="I130" t="s">
        <v>551</v>
      </c>
      <c r="J130" s="2">
        <v>1</v>
      </c>
      <c r="K130" s="1" t="s">
        <v>550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2">
        <v>44824</v>
      </c>
      <c r="I131" t="s">
        <v>552</v>
      </c>
      <c r="J131" s="2">
        <v>1</v>
      </c>
      <c r="K131" s="1" t="s">
        <v>550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2">
        <v>44824</v>
      </c>
      <c r="I132" t="s">
        <v>554</v>
      </c>
      <c r="J132" s="2">
        <v>1</v>
      </c>
      <c r="K132" s="1" t="s">
        <v>553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2">
        <v>44824</v>
      </c>
      <c r="I133" t="s">
        <v>556</v>
      </c>
      <c r="J133" s="2">
        <v>1</v>
      </c>
      <c r="K133" s="1" t="s">
        <v>555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2">
        <v>44824</v>
      </c>
      <c r="I134" t="s">
        <v>558</v>
      </c>
      <c r="J134" s="2">
        <v>1</v>
      </c>
      <c r="K134" s="1" t="s">
        <v>557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2">
        <v>44824</v>
      </c>
      <c r="I135" t="s">
        <v>560</v>
      </c>
      <c r="J135" s="2">
        <v>1</v>
      </c>
      <c r="K135" s="1" t="s">
        <v>559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2">
        <v>44824</v>
      </c>
      <c r="I136" t="s">
        <v>562</v>
      </c>
      <c r="J136" s="2">
        <v>1</v>
      </c>
      <c r="K136" s="1" t="s">
        <v>561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2">
        <v>44824</v>
      </c>
      <c r="I137" t="s">
        <v>564</v>
      </c>
      <c r="J137" s="2">
        <v>1</v>
      </c>
      <c r="K137" s="1" t="s">
        <v>563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2">
        <v>44824</v>
      </c>
      <c r="I138" t="s">
        <v>565</v>
      </c>
      <c r="J138" s="2">
        <v>1</v>
      </c>
      <c r="K138" s="1" t="s">
        <v>563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2">
        <v>44824</v>
      </c>
      <c r="I139" t="s">
        <v>567</v>
      </c>
      <c r="J139" s="2">
        <v>1</v>
      </c>
      <c r="K139" s="1" t="s">
        <v>566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2">
        <v>44824</v>
      </c>
      <c r="I140" t="s">
        <v>569</v>
      </c>
      <c r="J140" s="2">
        <v>1</v>
      </c>
      <c r="K140" s="1" t="s">
        <v>568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2">
        <v>44824</v>
      </c>
      <c r="I141" t="s">
        <v>571</v>
      </c>
      <c r="J141" s="2">
        <v>1</v>
      </c>
      <c r="K141" s="1" t="s">
        <v>570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2">
        <v>44824</v>
      </c>
      <c r="I142" t="s">
        <v>573</v>
      </c>
      <c r="J142" s="2">
        <v>1</v>
      </c>
      <c r="K142" s="1" t="s">
        <v>572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2">
        <v>44824</v>
      </c>
      <c r="I143" t="s">
        <v>575</v>
      </c>
      <c r="J143" s="2">
        <v>1</v>
      </c>
      <c r="K143" s="1" t="s">
        <v>574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2">
        <v>44824</v>
      </c>
      <c r="I144" t="s">
        <v>577</v>
      </c>
      <c r="J144" s="2">
        <v>1</v>
      </c>
      <c r="K144" s="1" t="s">
        <v>576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2">
        <v>44824</v>
      </c>
      <c r="I145" t="s">
        <v>579</v>
      </c>
      <c r="J145" s="2">
        <v>1</v>
      </c>
      <c r="K145" s="1" t="s">
        <v>578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2">
        <v>44824</v>
      </c>
      <c r="I146" t="s">
        <v>581</v>
      </c>
      <c r="J146" s="2">
        <v>1</v>
      </c>
      <c r="K146" s="1" t="s">
        <v>580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2">
        <v>44825</v>
      </c>
      <c r="I147" s="86" t="s">
        <v>497</v>
      </c>
      <c r="J147" s="2">
        <v>42</v>
      </c>
      <c r="K147" s="87" t="s">
        <v>582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2">
        <v>44825</v>
      </c>
      <c r="I148" s="199" t="s">
        <v>584</v>
      </c>
      <c r="J148" s="2">
        <v>1</v>
      </c>
      <c r="K148" s="200" t="s">
        <v>583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2">
        <v>44825</v>
      </c>
      <c r="I149" s="199" t="s">
        <v>586</v>
      </c>
      <c r="J149" s="2">
        <v>1</v>
      </c>
      <c r="K149" s="200" t="s">
        <v>585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2">
        <v>44825</v>
      </c>
      <c r="I150" s="199" t="s">
        <v>588</v>
      </c>
      <c r="J150" s="2">
        <v>1</v>
      </c>
      <c r="K150" s="1" t="s">
        <v>587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2">
        <v>44825</v>
      </c>
      <c r="I151" s="199" t="s">
        <v>590</v>
      </c>
      <c r="J151" s="2">
        <v>1</v>
      </c>
      <c r="K151" s="200" t="s">
        <v>589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2">
        <v>44825</v>
      </c>
      <c r="I152" s="199" t="s">
        <v>592</v>
      </c>
      <c r="J152" s="2">
        <v>1</v>
      </c>
      <c r="K152" s="200" t="s">
        <v>591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2">
        <v>44825</v>
      </c>
      <c r="I153" s="199" t="s">
        <v>594</v>
      </c>
      <c r="J153" s="2">
        <v>1</v>
      </c>
      <c r="K153" s="200" t="s">
        <v>593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2">
        <v>44825</v>
      </c>
      <c r="I154" s="199" t="s">
        <v>596</v>
      </c>
      <c r="J154" s="2">
        <v>1</v>
      </c>
      <c r="K154" s="200" t="s">
        <v>595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2">
        <v>44825</v>
      </c>
      <c r="I155" s="199" t="s">
        <v>598</v>
      </c>
      <c r="J155" s="2">
        <v>1</v>
      </c>
      <c r="K155" s="200" t="s">
        <v>597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2">
        <v>44826</v>
      </c>
      <c r="I156" s="86" t="s">
        <v>497</v>
      </c>
      <c r="J156" s="2">
        <v>42</v>
      </c>
      <c r="K156" s="87" t="s">
        <v>599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2">
        <v>44827</v>
      </c>
      <c r="I157" s="199" t="s">
        <v>601</v>
      </c>
      <c r="J157" s="2">
        <v>1</v>
      </c>
      <c r="K157" s="200" t="s">
        <v>600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2">
        <v>44827</v>
      </c>
      <c r="I158" s="199" t="s">
        <v>603</v>
      </c>
      <c r="J158" s="2">
        <v>1</v>
      </c>
      <c r="K158" s="200" t="s">
        <v>602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2">
        <v>44827</v>
      </c>
      <c r="I159" s="199" t="s">
        <v>605</v>
      </c>
      <c r="J159" s="2">
        <v>1</v>
      </c>
      <c r="K159" s="200" t="s">
        <v>604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2">
        <v>44827</v>
      </c>
      <c r="I160" s="199" t="s">
        <v>607</v>
      </c>
      <c r="J160" s="2">
        <v>1</v>
      </c>
      <c r="K160" s="200" t="s">
        <v>606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2">
        <v>44827</v>
      </c>
      <c r="I161" s="199" t="s">
        <v>609</v>
      </c>
      <c r="J161" s="2">
        <v>1</v>
      </c>
      <c r="K161" s="200" t="s">
        <v>608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2">
        <v>44827</v>
      </c>
      <c r="I162" s="199" t="s">
        <v>611</v>
      </c>
      <c r="J162" s="2">
        <v>1</v>
      </c>
      <c r="K162" s="200" t="s">
        <v>610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2">
        <v>44827</v>
      </c>
      <c r="I163" s="199" t="s">
        <v>612</v>
      </c>
      <c r="J163" s="2">
        <v>1</v>
      </c>
      <c r="K163" s="200" t="s">
        <v>610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2">
        <v>44827</v>
      </c>
      <c r="I164" s="199" t="s">
        <v>614</v>
      </c>
      <c r="J164" s="2">
        <v>1</v>
      </c>
      <c r="K164" s="200" t="s">
        <v>613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2">
        <v>44827</v>
      </c>
      <c r="I165" s="199" t="s">
        <v>616</v>
      </c>
      <c r="J165" s="2">
        <v>1</v>
      </c>
      <c r="K165" s="200" t="s">
        <v>615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2">
        <v>44827</v>
      </c>
      <c r="I166" s="199" t="s">
        <v>618</v>
      </c>
      <c r="J166" s="2">
        <v>1</v>
      </c>
      <c r="K166" s="200" t="s">
        <v>617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2">
        <v>44827</v>
      </c>
      <c r="I167" s="199" t="s">
        <v>620</v>
      </c>
      <c r="J167" s="2">
        <v>1</v>
      </c>
      <c r="K167" s="200" t="s">
        <v>619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2">
        <v>44827</v>
      </c>
      <c r="I168" s="199" t="s">
        <v>622</v>
      </c>
      <c r="J168" s="2">
        <v>1</v>
      </c>
      <c r="K168" s="200" t="s">
        <v>621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2">
        <v>44827</v>
      </c>
      <c r="I169" s="199" t="s">
        <v>624</v>
      </c>
      <c r="J169" s="2">
        <v>1</v>
      </c>
      <c r="K169" s="200" t="s">
        <v>623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2">
        <v>44827</v>
      </c>
      <c r="I170" s="199" t="s">
        <v>626</v>
      </c>
      <c r="J170" s="2">
        <v>1</v>
      </c>
      <c r="K170" s="200" t="s">
        <v>625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2">
        <v>44828</v>
      </c>
      <c r="I171" s="199" t="s">
        <v>628</v>
      </c>
      <c r="J171" s="2">
        <v>1</v>
      </c>
      <c r="K171" s="200" t="s">
        <v>627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2">
        <v>44828</v>
      </c>
      <c r="I172" s="199" t="s">
        <v>630</v>
      </c>
      <c r="J172" s="2">
        <v>1</v>
      </c>
      <c r="K172" s="200" t="s">
        <v>629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2">
        <v>44828</v>
      </c>
      <c r="I173" s="199" t="s">
        <v>632</v>
      </c>
      <c r="J173" s="2">
        <v>1</v>
      </c>
      <c r="K173" s="200" t="s">
        <v>631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2">
        <v>44828</v>
      </c>
      <c r="I174" s="199" t="s">
        <v>634</v>
      </c>
      <c r="J174" s="2">
        <v>1</v>
      </c>
      <c r="K174" s="200" t="s">
        <v>633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2">
        <v>44828</v>
      </c>
      <c r="I175" s="199" t="s">
        <v>636</v>
      </c>
      <c r="J175" s="2">
        <v>1</v>
      </c>
      <c r="K175" s="200" t="s">
        <v>635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2">
        <v>44828</v>
      </c>
      <c r="I176" s="199" t="s">
        <v>638</v>
      </c>
      <c r="J176" s="2">
        <v>1</v>
      </c>
      <c r="K176" s="200" t="s">
        <v>637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2">
        <v>44828</v>
      </c>
      <c r="I177" s="199" t="s">
        <v>640</v>
      </c>
      <c r="J177" s="2">
        <v>1</v>
      </c>
      <c r="K177" s="200" t="s">
        <v>639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2">
        <v>44828</v>
      </c>
      <c r="I178" s="199" t="s">
        <v>642</v>
      </c>
      <c r="J178" s="2">
        <v>1</v>
      </c>
      <c r="K178" s="200" t="s">
        <v>641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2">
        <v>44828</v>
      </c>
      <c r="I179" s="199" t="s">
        <v>644</v>
      </c>
      <c r="J179" s="2">
        <v>1</v>
      </c>
      <c r="K179" s="200" t="s">
        <v>643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2">
        <v>44828</v>
      </c>
      <c r="I180" s="199" t="s">
        <v>646</v>
      </c>
      <c r="J180" s="2">
        <v>1</v>
      </c>
      <c r="K180" s="200" t="s">
        <v>645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2">
        <v>44828</v>
      </c>
      <c r="I181" s="199" t="s">
        <v>648</v>
      </c>
      <c r="J181" s="2">
        <v>1</v>
      </c>
      <c r="K181" s="200" t="s">
        <v>647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2">
        <v>44828</v>
      </c>
      <c r="I182" s="199" t="s">
        <v>650</v>
      </c>
      <c r="J182" s="2">
        <v>1</v>
      </c>
      <c r="K182" s="200" t="s">
        <v>649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2">
        <v>44828</v>
      </c>
      <c r="I183" s="199" t="s">
        <v>652</v>
      </c>
      <c r="J183" s="2">
        <v>1</v>
      </c>
      <c r="K183" s="200" t="s">
        <v>651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2">
        <v>44828</v>
      </c>
      <c r="I184" s="199" t="s">
        <v>653</v>
      </c>
      <c r="J184" s="2">
        <v>1</v>
      </c>
      <c r="K184" s="200" t="s">
        <v>651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2">
        <v>44828</v>
      </c>
      <c r="I185" s="199" t="s">
        <v>655</v>
      </c>
      <c r="J185" s="2">
        <v>1</v>
      </c>
      <c r="K185" s="200" t="s">
        <v>654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2">
        <v>44828</v>
      </c>
      <c r="I186" s="199" t="s">
        <v>657</v>
      </c>
      <c r="J186" s="2">
        <v>1</v>
      </c>
      <c r="K186" s="200" t="s">
        <v>656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2">
        <v>44828</v>
      </c>
      <c r="I187" s="199" t="s">
        <v>658</v>
      </c>
      <c r="J187" s="2">
        <v>1</v>
      </c>
      <c r="K187" s="200" t="s">
        <v>656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2">
        <v>44828</v>
      </c>
      <c r="I188" s="199" t="s">
        <v>659</v>
      </c>
      <c r="J188" s="2">
        <v>1</v>
      </c>
      <c r="K188" s="200" t="s">
        <v>656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2">
        <v>44828</v>
      </c>
      <c r="I189" s="199" t="s">
        <v>660</v>
      </c>
      <c r="J189" s="2">
        <v>1</v>
      </c>
      <c r="K189" s="200" t="s">
        <v>656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2">
        <v>44828</v>
      </c>
      <c r="I190" s="199" t="s">
        <v>662</v>
      </c>
      <c r="J190" s="2">
        <v>1</v>
      </c>
      <c r="K190" s="200" t="s">
        <v>661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2">
        <v>44828</v>
      </c>
      <c r="I191" s="199" t="s">
        <v>663</v>
      </c>
      <c r="J191" s="2">
        <v>1</v>
      </c>
      <c r="K191" s="200" t="s">
        <v>661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2">
        <v>44828</v>
      </c>
      <c r="I192" s="199" t="s">
        <v>665</v>
      </c>
      <c r="J192" s="2">
        <v>1</v>
      </c>
      <c r="K192" s="200" t="s">
        <v>664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2">
        <v>44828</v>
      </c>
      <c r="I193" s="199" t="s">
        <v>667</v>
      </c>
      <c r="J193" s="2">
        <v>1</v>
      </c>
      <c r="K193" s="200" t="s">
        <v>666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2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2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2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2">
        <v>44830</v>
      </c>
      <c r="I197" s="199" t="s">
        <v>669</v>
      </c>
      <c r="J197" s="2">
        <v>1</v>
      </c>
      <c r="K197" s="200" t="s">
        <v>668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2">
        <v>44830</v>
      </c>
      <c r="I198" s="199" t="s">
        <v>671</v>
      </c>
      <c r="J198" s="2">
        <v>1</v>
      </c>
      <c r="K198" s="200" t="s">
        <v>670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2">
        <v>44830</v>
      </c>
      <c r="I199" s="199" t="s">
        <v>673</v>
      </c>
      <c r="J199" s="2">
        <v>1</v>
      </c>
      <c r="K199" s="200" t="s">
        <v>672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2">
        <v>44830</v>
      </c>
      <c r="I200" s="199" t="s">
        <v>675</v>
      </c>
      <c r="J200" s="2">
        <v>1</v>
      </c>
      <c r="K200" s="200" t="s">
        <v>674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2">
        <v>44830</v>
      </c>
      <c r="I201" s="199" t="s">
        <v>676</v>
      </c>
      <c r="J201" s="2">
        <v>1</v>
      </c>
      <c r="K201" s="200" t="s">
        <v>674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2">
        <v>44830</v>
      </c>
      <c r="I202" s="199" t="s">
        <v>678</v>
      </c>
      <c r="J202" s="2">
        <v>1</v>
      </c>
      <c r="K202" s="200" t="s">
        <v>677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2">
        <v>44830</v>
      </c>
      <c r="I203" s="199" t="s">
        <v>680</v>
      </c>
      <c r="J203" s="2">
        <v>1</v>
      </c>
      <c r="K203" s="200" t="s">
        <v>679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2">
        <v>44830</v>
      </c>
      <c r="I204" s="199" t="s">
        <v>682</v>
      </c>
      <c r="J204" s="2">
        <v>1</v>
      </c>
      <c r="K204" s="200" t="s">
        <v>681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2">
        <v>44830</v>
      </c>
      <c r="I205" s="199" t="s">
        <v>684</v>
      </c>
      <c r="J205" s="2">
        <v>1</v>
      </c>
      <c r="K205" s="200" t="s">
        <v>683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2">
        <v>44830</v>
      </c>
      <c r="I206" s="199" t="s">
        <v>685</v>
      </c>
      <c r="J206" s="2">
        <v>1</v>
      </c>
      <c r="K206" s="200" t="s">
        <v>683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2">
        <v>44830</v>
      </c>
      <c r="I207" s="199" t="s">
        <v>686</v>
      </c>
      <c r="J207" s="2">
        <v>1</v>
      </c>
      <c r="K207" s="200" t="s">
        <v>683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2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2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2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2">
        <v>44831</v>
      </c>
      <c r="I211" s="199" t="s">
        <v>688</v>
      </c>
      <c r="J211" s="2">
        <v>1</v>
      </c>
      <c r="K211" s="200" t="s">
        <v>687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2">
        <v>44831</v>
      </c>
      <c r="I212" s="199" t="s">
        <v>690</v>
      </c>
      <c r="J212" s="2">
        <v>1</v>
      </c>
      <c r="K212" s="200" t="s">
        <v>689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199" t="s">
        <v>1441</v>
      </c>
      <c r="J225" s="2">
        <v>1</v>
      </c>
      <c r="K225" s="1" t="s">
        <v>691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199" t="s">
        <v>1441</v>
      </c>
      <c r="J226" s="2">
        <v>1</v>
      </c>
      <c r="K226" s="1" t="s">
        <v>474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199" t="s">
        <v>1441</v>
      </c>
      <c r="J227" s="2">
        <v>1</v>
      </c>
      <c r="K227" s="200" t="s">
        <v>694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1442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90" t="s">
        <v>497</v>
      </c>
      <c r="J234" s="2">
        <v>42</v>
      </c>
      <c r="K234" s="1" t="s">
        <v>695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199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199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199" t="s">
        <v>286</v>
      </c>
      <c r="J239" s="2">
        <v>1</v>
      </c>
      <c r="K239" s="199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199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1443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199" t="s">
        <v>326</v>
      </c>
      <c r="J247" s="2">
        <v>1</v>
      </c>
      <c r="K247" s="199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199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199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199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199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199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199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199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199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199" t="s">
        <v>329</v>
      </c>
      <c r="J272" s="2">
        <v>2</v>
      </c>
      <c r="K272" s="199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199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199" t="s">
        <v>1441</v>
      </c>
      <c r="J279" s="2">
        <v>1</v>
      </c>
      <c r="K279" s="200" t="s">
        <v>696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199" t="s">
        <v>1443</v>
      </c>
      <c r="J280" s="2">
        <v>1</v>
      </c>
      <c r="K280" s="200" t="s">
        <v>697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199" t="s">
        <v>1441</v>
      </c>
      <c r="J281" s="2">
        <v>1</v>
      </c>
      <c r="K281" s="200" t="s">
        <v>699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199" t="s">
        <v>1441</v>
      </c>
      <c r="J282" s="2">
        <v>1</v>
      </c>
      <c r="K282" s="200" t="s">
        <v>700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199" t="s">
        <v>1441</v>
      </c>
      <c r="J283" s="2">
        <v>1</v>
      </c>
      <c r="K283" s="200" t="s">
        <v>501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199" t="s">
        <v>1444</v>
      </c>
      <c r="J284" s="2">
        <v>1</v>
      </c>
      <c r="K284" s="200" t="s">
        <v>701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199" t="s">
        <v>1443</v>
      </c>
      <c r="J285" s="2">
        <v>1</v>
      </c>
      <c r="K285" s="200" t="s">
        <v>483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199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199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36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199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199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199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199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199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199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199" t="s">
        <v>1445</v>
      </c>
      <c r="J298" s="2">
        <v>1</v>
      </c>
      <c r="K298" s="200" t="s">
        <v>702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199" t="s">
        <v>1443</v>
      </c>
      <c r="J299" s="2">
        <v>1</v>
      </c>
      <c r="K299" s="200" t="s">
        <v>702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199" t="s">
        <v>329</v>
      </c>
      <c r="J300" s="2">
        <v>2</v>
      </c>
      <c r="K300" s="202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199" t="s">
        <v>329</v>
      </c>
      <c r="J301" s="2">
        <v>2</v>
      </c>
      <c r="K301" s="202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199" t="s">
        <v>329</v>
      </c>
      <c r="J302" s="2">
        <v>2</v>
      </c>
      <c r="K302" s="202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199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199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199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199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199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199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199" t="s">
        <v>329</v>
      </c>
      <c r="J311" s="2">
        <v>2</v>
      </c>
      <c r="K311" s="199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199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199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199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02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02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02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199" t="s">
        <v>333</v>
      </c>
      <c r="J322" s="2">
        <v>1</v>
      </c>
      <c r="K322" s="202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199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199" t="s">
        <v>334</v>
      </c>
      <c r="J324" s="2">
        <v>2</v>
      </c>
      <c r="K324" s="199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199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199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199" t="s">
        <v>334</v>
      </c>
      <c r="J327" s="2">
        <v>2</v>
      </c>
      <c r="K327" s="202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02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199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199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199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02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199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199" t="s">
        <v>334</v>
      </c>
      <c r="J334" s="2">
        <v>2</v>
      </c>
      <c r="K334" s="199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199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199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02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02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02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1443</v>
      </c>
      <c r="J340" s="2">
        <v>1</v>
      </c>
      <c r="K340" s="201" t="s">
        <v>599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199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199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199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199" t="s">
        <v>335</v>
      </c>
      <c r="J344" s="2">
        <v>1</v>
      </c>
      <c r="K344" s="202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02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199" t="s">
        <v>329</v>
      </c>
      <c r="J346" s="2">
        <v>2</v>
      </c>
      <c r="K346" s="199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02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199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199" t="s">
        <v>335</v>
      </c>
      <c r="J349" s="2">
        <v>1</v>
      </c>
      <c r="K349" s="199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199" t="s">
        <v>335</v>
      </c>
      <c r="J350" s="2">
        <v>1</v>
      </c>
      <c r="K350" s="199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199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199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199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199" t="s">
        <v>329</v>
      </c>
      <c r="J357" s="2">
        <v>2</v>
      </c>
      <c r="K357" s="199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199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199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199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199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199" t="s">
        <v>1441</v>
      </c>
      <c r="J362" s="2">
        <v>1</v>
      </c>
      <c r="K362" s="200" t="s">
        <v>703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199" t="s">
        <v>1441</v>
      </c>
      <c r="J363" s="2">
        <v>1</v>
      </c>
      <c r="K363" s="200" t="s">
        <v>582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199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199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199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199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02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02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02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199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199" t="s">
        <v>334</v>
      </c>
      <c r="J375" s="2">
        <v>2</v>
      </c>
      <c r="K375" s="199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199" t="s">
        <v>1441</v>
      </c>
      <c r="J376" s="2">
        <v>1</v>
      </c>
      <c r="K376" s="201" t="s">
        <v>704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199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199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199" t="s">
        <v>334</v>
      </c>
      <c r="J379" s="2">
        <v>2</v>
      </c>
      <c r="K379" s="199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199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199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199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199" t="s">
        <v>337</v>
      </c>
      <c r="J383" s="2">
        <v>1</v>
      </c>
      <c r="K383" s="199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199" t="s">
        <v>334</v>
      </c>
      <c r="J384" s="2">
        <v>2</v>
      </c>
      <c r="K384" s="199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199" t="s">
        <v>337</v>
      </c>
      <c r="J385" s="2">
        <v>1</v>
      </c>
      <c r="K385" s="199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199" t="s">
        <v>286</v>
      </c>
      <c r="J386" s="2">
        <v>1</v>
      </c>
      <c r="K386" s="199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199" t="s">
        <v>286</v>
      </c>
      <c r="J387" s="2">
        <v>1</v>
      </c>
      <c r="K387" s="202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199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199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199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199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199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199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199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199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199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199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199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199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199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199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199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199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199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199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199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199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199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199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199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199" t="s">
        <v>334</v>
      </c>
      <c r="J415" s="2">
        <v>2</v>
      </c>
      <c r="K415" s="199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492</v>
      </c>
      <c r="J416" s="2">
        <v>1</v>
      </c>
      <c r="K416" s="200" t="s">
        <v>707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492</v>
      </c>
      <c r="J417" s="2">
        <v>1</v>
      </c>
      <c r="K417" s="200" t="s">
        <v>709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1443</v>
      </c>
      <c r="J418" s="2">
        <v>1</v>
      </c>
      <c r="K418" s="200" t="s">
        <v>681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199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199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199" t="s">
        <v>286</v>
      </c>
      <c r="J421" s="2">
        <v>1</v>
      </c>
      <c r="K421" s="199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199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1443</v>
      </c>
      <c r="J423" s="2">
        <v>1</v>
      </c>
      <c r="K423" s="200" t="s">
        <v>479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199" t="s">
        <v>1441</v>
      </c>
      <c r="J424" s="2">
        <v>1</v>
      </c>
      <c r="K424" s="200" t="s">
        <v>498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199" t="s">
        <v>1441</v>
      </c>
      <c r="J425" s="2">
        <v>1</v>
      </c>
      <c r="K425" s="200" t="s">
        <v>710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1443</v>
      </c>
      <c r="J426" s="2">
        <v>1</v>
      </c>
      <c r="K426" s="200" t="s">
        <v>656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199" t="s">
        <v>1441</v>
      </c>
      <c r="J427" s="2">
        <v>1</v>
      </c>
      <c r="K427" s="200" t="s">
        <v>711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199" t="s">
        <v>286</v>
      </c>
      <c r="J428" s="2">
        <v>1</v>
      </c>
      <c r="K428" s="199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1443</v>
      </c>
      <c r="J429" s="2">
        <v>1</v>
      </c>
      <c r="K429" s="200" t="s">
        <v>712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199" t="s">
        <v>1441</v>
      </c>
      <c r="J430" s="2">
        <v>1</v>
      </c>
      <c r="K430" s="200" t="s">
        <v>713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199" t="s">
        <v>1441</v>
      </c>
      <c r="J431" s="2">
        <v>1</v>
      </c>
      <c r="K431" s="200" t="s">
        <v>714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492</v>
      </c>
      <c r="J432" s="2">
        <v>1</v>
      </c>
      <c r="K432" s="200" t="s">
        <v>714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199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199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199" t="s">
        <v>334</v>
      </c>
      <c r="J435" s="2">
        <v>2</v>
      </c>
      <c r="K435" s="199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199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199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199" t="s">
        <v>334</v>
      </c>
      <c r="J438" s="2">
        <v>2</v>
      </c>
      <c r="K438" s="199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199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199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199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199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1443</v>
      </c>
      <c r="J443" s="2">
        <v>1</v>
      </c>
      <c r="K443" s="200" t="s">
        <v>715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199" t="s">
        <v>1441</v>
      </c>
      <c r="J444" s="2">
        <v>1</v>
      </c>
      <c r="K444" s="200" t="s">
        <v>716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1446</v>
      </c>
      <c r="J445" s="2">
        <v>1</v>
      </c>
      <c r="K445" s="200" t="s">
        <v>501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199" t="s">
        <v>1441</v>
      </c>
      <c r="J446" s="2">
        <v>1</v>
      </c>
      <c r="K446" s="200" t="s">
        <v>718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199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199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199" t="s">
        <v>334</v>
      </c>
      <c r="J449" s="2">
        <v>2</v>
      </c>
      <c r="K449" s="199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199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199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199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199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199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199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199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199" t="s">
        <v>334</v>
      </c>
      <c r="J457" s="2">
        <v>2</v>
      </c>
      <c r="K457" s="199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199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199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199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199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199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199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1447</v>
      </c>
      <c r="J464" s="2">
        <v>2</v>
      </c>
      <c r="K464" s="199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1448</v>
      </c>
      <c r="J465" s="2">
        <v>1</v>
      </c>
      <c r="K465" s="199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199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199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199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1449</v>
      </c>
      <c r="J469" s="2">
        <v>1</v>
      </c>
      <c r="K469" s="199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199" t="s">
        <v>334</v>
      </c>
      <c r="J470" s="2">
        <v>2</v>
      </c>
      <c r="K470" s="199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1449</v>
      </c>
      <c r="J471" s="2">
        <v>1</v>
      </c>
      <c r="K471" s="199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199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199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199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199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199" t="s">
        <v>370</v>
      </c>
      <c r="J476" s="2">
        <v>1</v>
      </c>
      <c r="K476" s="199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199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199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199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199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199" t="s">
        <v>334</v>
      </c>
      <c r="J481" s="2">
        <v>2</v>
      </c>
      <c r="K481" s="199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1449</v>
      </c>
      <c r="J482" s="2">
        <v>1</v>
      </c>
      <c r="K482" s="199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199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199" t="s">
        <v>334</v>
      </c>
      <c r="J484" s="2">
        <v>2</v>
      </c>
      <c r="K484" s="199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199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02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199" t="s">
        <v>335</v>
      </c>
      <c r="J487" s="2">
        <v>1</v>
      </c>
      <c r="K487" s="199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1449</v>
      </c>
      <c r="J488" s="2">
        <v>1</v>
      </c>
      <c r="K488" s="199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02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199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199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199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199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199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199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199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199" t="s">
        <v>1441</v>
      </c>
      <c r="J497" s="2">
        <v>1</v>
      </c>
      <c r="K497" s="200" t="s">
        <v>602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199" t="s">
        <v>1441</v>
      </c>
      <c r="J498" s="2">
        <v>1</v>
      </c>
      <c r="K498" s="200" t="s">
        <v>719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1443</v>
      </c>
      <c r="J499" s="2">
        <v>1</v>
      </c>
      <c r="K499" s="200" t="s">
        <v>720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199" t="s">
        <v>1441</v>
      </c>
      <c r="J500" s="2">
        <v>1</v>
      </c>
      <c r="K500" s="200" t="s">
        <v>721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1443</v>
      </c>
      <c r="J501" s="2">
        <v>2</v>
      </c>
      <c r="K501" s="200" t="s">
        <v>722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199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199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199" t="s">
        <v>370</v>
      </c>
      <c r="J504" s="2">
        <v>1</v>
      </c>
      <c r="K504" s="199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1450</v>
      </c>
      <c r="J505" s="2">
        <v>3</v>
      </c>
      <c r="K505" s="202" t="s">
        <v>1451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1452</v>
      </c>
      <c r="J506" s="2">
        <v>3</v>
      </c>
      <c r="K506" s="202" t="s">
        <v>1451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1453</v>
      </c>
      <c r="J507" s="2">
        <v>15</v>
      </c>
      <c r="K507" s="202" t="s">
        <v>1451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1454</v>
      </c>
      <c r="J508" s="2">
        <v>4</v>
      </c>
      <c r="K508" s="202" t="s">
        <v>1451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1455</v>
      </c>
      <c r="J509" s="2">
        <v>1</v>
      </c>
      <c r="K509" s="202" t="s">
        <v>1451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1456</v>
      </c>
      <c r="J510" s="2">
        <v>210</v>
      </c>
      <c r="K510" s="202" t="s">
        <v>1451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1456</v>
      </c>
      <c r="J511" s="2">
        <v>105</v>
      </c>
      <c r="K511" s="202" t="s">
        <v>1451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02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02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199" t="s">
        <v>334</v>
      </c>
      <c r="J514" s="2">
        <v>2</v>
      </c>
      <c r="K514" s="202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199" t="s">
        <v>286</v>
      </c>
      <c r="J515" s="2">
        <v>1</v>
      </c>
      <c r="K515" s="202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02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02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199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02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199" t="s">
        <v>690</v>
      </c>
      <c r="J520" s="2">
        <v>1</v>
      </c>
      <c r="K520" s="200" t="s">
        <v>723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02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199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199" t="s">
        <v>334</v>
      </c>
      <c r="J523" s="2">
        <v>2</v>
      </c>
      <c r="K523" s="202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1457</v>
      </c>
      <c r="J524" s="2">
        <v>10</v>
      </c>
      <c r="K524" s="202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199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199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199" t="s">
        <v>286</v>
      </c>
      <c r="J527" s="2">
        <v>1</v>
      </c>
      <c r="K527" s="202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02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02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199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199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199" t="s">
        <v>334</v>
      </c>
      <c r="J532" s="2">
        <v>2</v>
      </c>
      <c r="K532" s="202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02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02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02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02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02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199" t="s">
        <v>334</v>
      </c>
      <c r="J538" s="2">
        <v>2</v>
      </c>
      <c r="K538" s="199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199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199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1458</v>
      </c>
      <c r="J542" s="2">
        <v>1</v>
      </c>
      <c r="K542" s="3" t="s">
        <v>1459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199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02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199" t="s">
        <v>1441</v>
      </c>
      <c r="J545" s="2">
        <v>1</v>
      </c>
      <c r="K545" s="201" t="s">
        <v>729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199" t="s">
        <v>1441</v>
      </c>
      <c r="J546" s="2">
        <v>1</v>
      </c>
      <c r="K546" s="201" t="s">
        <v>730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199" t="s">
        <v>1441</v>
      </c>
      <c r="J547" s="2">
        <v>1</v>
      </c>
      <c r="K547" s="201" t="s">
        <v>731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199" t="s">
        <v>1441</v>
      </c>
      <c r="J548" s="2">
        <v>1</v>
      </c>
      <c r="K548" s="201" t="s">
        <v>587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199" t="s">
        <v>1441</v>
      </c>
      <c r="J549" s="2">
        <v>1</v>
      </c>
      <c r="K549" s="201" t="s">
        <v>732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02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02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02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02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02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02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02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199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199" t="s">
        <v>334</v>
      </c>
      <c r="J558" s="2">
        <v>2</v>
      </c>
      <c r="K558" s="202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199" t="s">
        <v>334</v>
      </c>
      <c r="J559" s="2">
        <v>2</v>
      </c>
      <c r="K559" s="202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02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199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199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02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02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199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1460</v>
      </c>
      <c r="J566" s="2">
        <v>1</v>
      </c>
      <c r="K566" s="199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1460</v>
      </c>
      <c r="J567" s="2">
        <v>1</v>
      </c>
      <c r="K567" s="199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1460</v>
      </c>
      <c r="J568" s="2">
        <v>1</v>
      </c>
      <c r="K568" s="199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1460</v>
      </c>
      <c r="J569" s="2">
        <v>1</v>
      </c>
      <c r="K569" s="199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199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1460</v>
      </c>
      <c r="J571" s="2">
        <v>1</v>
      </c>
      <c r="K571" s="199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199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1461</v>
      </c>
      <c r="J573" s="2">
        <v>1</v>
      </c>
      <c r="K573" s="199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199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199" t="s">
        <v>334</v>
      </c>
      <c r="J575" s="2">
        <v>2</v>
      </c>
      <c r="K575" s="199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199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199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1462</v>
      </c>
      <c r="J578" s="2">
        <v>1</v>
      </c>
      <c r="K578" s="199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199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199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1460</v>
      </c>
      <c r="J581" s="2">
        <v>1</v>
      </c>
      <c r="K581" s="199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199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199" t="s">
        <v>334</v>
      </c>
      <c r="J583" s="2">
        <v>2</v>
      </c>
      <c r="K583" s="199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1461</v>
      </c>
      <c r="J584" s="2">
        <v>1</v>
      </c>
      <c r="K584" s="199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199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199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199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199" t="s">
        <v>334</v>
      </c>
      <c r="J588" s="2">
        <v>2</v>
      </c>
      <c r="K588" s="199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1460</v>
      </c>
      <c r="J589" s="2">
        <v>1</v>
      </c>
      <c r="K589" s="199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199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199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199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199" t="s">
        <v>1463</v>
      </c>
      <c r="J593" s="2">
        <v>1</v>
      </c>
      <c r="K593" s="199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199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199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199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02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199" t="s">
        <v>334</v>
      </c>
      <c r="J600" s="2">
        <v>2</v>
      </c>
      <c r="K600" s="202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1461</v>
      </c>
      <c r="J601" s="2">
        <v>1</v>
      </c>
      <c r="K601" s="202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199" t="s">
        <v>352</v>
      </c>
      <c r="J602" s="2">
        <v>2</v>
      </c>
      <c r="K602" s="202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1461</v>
      </c>
      <c r="J605" s="2">
        <v>1</v>
      </c>
      <c r="K605" s="202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1461</v>
      </c>
      <c r="J606" s="2">
        <v>1</v>
      </c>
      <c r="K606" s="202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02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198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199" t="s">
        <v>334</v>
      </c>
      <c r="J609" s="2">
        <v>2</v>
      </c>
      <c r="K609" s="202" t="s">
        <v>186</v>
      </c>
    </row>
    <row r="610" spans="1:11">
      <c r="A610" s="2">
        <f>A609+1</f>
        <v>609</v>
      </c>
      <c r="B610" s="198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198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199" t="s">
        <v>184</v>
      </c>
    </row>
    <row r="612" spans="1:11">
      <c r="A612" s="2">
        <f>A611+1</f>
        <v>611</v>
      </c>
      <c r="B612" s="198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199" t="s">
        <v>334</v>
      </c>
      <c r="J612" s="2">
        <v>2</v>
      </c>
      <c r="K612" s="202" t="s">
        <v>186</v>
      </c>
    </row>
    <row r="613" spans="1:11">
      <c r="A613" s="2">
        <f>A612+1</f>
        <v>612</v>
      </c>
      <c r="B613" s="198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02" t="s">
        <v>185</v>
      </c>
    </row>
    <row r="614" spans="1:11">
      <c r="A614" s="2">
        <f t="shared" ref="A614:A615" si="14">A613+1</f>
        <v>613</v>
      </c>
      <c r="B614" s="198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198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199" t="s">
        <v>334</v>
      </c>
      <c r="J615" s="2">
        <v>2</v>
      </c>
      <c r="K615" s="202" t="s">
        <v>186</v>
      </c>
    </row>
    <row r="616" spans="1:11">
      <c r="A616" s="2">
        <f t="shared" ref="A616:A619" si="15">A615+1</f>
        <v>615</v>
      </c>
      <c r="B616" s="198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02" t="s">
        <v>186</v>
      </c>
    </row>
    <row r="617" spans="1:11">
      <c r="A617" s="2">
        <f t="shared" si="15"/>
        <v>616</v>
      </c>
      <c r="B617" s="198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198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199" t="s">
        <v>1464</v>
      </c>
      <c r="J618" s="2">
        <v>1</v>
      </c>
      <c r="K618" s="202" t="s">
        <v>187</v>
      </c>
    </row>
    <row r="619" spans="1:11">
      <c r="A619" s="2">
        <f t="shared" si="15"/>
        <v>618</v>
      </c>
      <c r="B619" s="198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199" t="s">
        <v>1464</v>
      </c>
      <c r="J619" s="2">
        <v>1</v>
      </c>
      <c r="K619" s="3" t="s">
        <v>188</v>
      </c>
    </row>
    <row r="620" spans="1:11">
      <c r="A620" s="2">
        <f>A619+1</f>
        <v>619</v>
      </c>
      <c r="B620" s="198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198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199" t="s">
        <v>1464</v>
      </c>
      <c r="J621" s="2">
        <v>1</v>
      </c>
      <c r="K621" t="s">
        <v>188</v>
      </c>
    </row>
    <row r="622" spans="1:11">
      <c r="A622" s="2">
        <f>A621+1</f>
        <v>621</v>
      </c>
      <c r="B622" s="198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199" t="s">
        <v>1460</v>
      </c>
      <c r="J622" s="2">
        <v>1</v>
      </c>
      <c r="K622" s="199" t="s">
        <v>184</v>
      </c>
    </row>
    <row r="623" spans="1:11">
      <c r="A623" s="2">
        <f>A622+1</f>
        <v>622</v>
      </c>
      <c r="B623" s="198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1460</v>
      </c>
      <c r="J623" s="2">
        <v>1</v>
      </c>
      <c r="K623" s="199" t="s">
        <v>185</v>
      </c>
    </row>
    <row r="624" spans="1:11">
      <c r="A624" s="2">
        <f t="shared" ref="A624:A626" si="16">A623+1</f>
        <v>623</v>
      </c>
      <c r="B624" s="198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198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198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198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199" t="s">
        <v>186</v>
      </c>
    </row>
    <row r="628" spans="1:11">
      <c r="A628" s="2">
        <f>A627+1</f>
        <v>627</v>
      </c>
      <c r="B628" s="198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02" t="s">
        <v>187</v>
      </c>
    </row>
    <row r="629" spans="1:11">
      <c r="A629" s="2">
        <f>A628+1</f>
        <v>628</v>
      </c>
      <c r="B629" s="198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198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198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199" t="s">
        <v>1460</v>
      </c>
      <c r="J631" s="2">
        <v>1</v>
      </c>
      <c r="K631" s="202" t="s">
        <v>189</v>
      </c>
    </row>
    <row r="632" spans="1:11">
      <c r="A632" s="2">
        <f t="shared" si="17"/>
        <v>631</v>
      </c>
      <c r="B632" s="198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1460</v>
      </c>
      <c r="J632" s="2">
        <v>1</v>
      </c>
      <c r="K632" s="202" t="s">
        <v>189</v>
      </c>
    </row>
    <row r="633" spans="1:11">
      <c r="A633" s="2">
        <f t="shared" si="17"/>
        <v>632</v>
      </c>
      <c r="B633" s="198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199" t="s">
        <v>360</v>
      </c>
      <c r="J633" s="2">
        <v>1</v>
      </c>
      <c r="K633" s="202" t="s">
        <v>189</v>
      </c>
    </row>
    <row r="634" spans="1:11">
      <c r="A634" s="2">
        <f t="shared" si="17"/>
        <v>633</v>
      </c>
      <c r="B634" s="198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02" t="s">
        <v>189</v>
      </c>
    </row>
    <row r="635" spans="1:11">
      <c r="A635" s="2">
        <f t="shared" si="17"/>
        <v>634</v>
      </c>
      <c r="B635" s="198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199" t="s">
        <v>361</v>
      </c>
      <c r="J635" s="2">
        <v>1</v>
      </c>
      <c r="K635" s="202" t="s">
        <v>189</v>
      </c>
    </row>
    <row r="636" spans="1:11">
      <c r="A636" s="2">
        <f t="shared" si="17"/>
        <v>635</v>
      </c>
      <c r="B636" s="198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199" t="s">
        <v>360</v>
      </c>
      <c r="J636" s="2">
        <v>1</v>
      </c>
      <c r="K636" s="202" t="s">
        <v>189</v>
      </c>
    </row>
    <row r="637" spans="1:11">
      <c r="A637" s="2">
        <f t="shared" ref="A637:A642" si="18">A636+1</f>
        <v>636</v>
      </c>
      <c r="B637" s="198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199" t="s">
        <v>1460</v>
      </c>
      <c r="J637" s="2">
        <v>1</v>
      </c>
      <c r="K637" s="202" t="s">
        <v>189</v>
      </c>
    </row>
    <row r="638" spans="1:11">
      <c r="A638" s="2">
        <f t="shared" si="18"/>
        <v>637</v>
      </c>
      <c r="B638" s="198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199" t="s">
        <v>1460</v>
      </c>
      <c r="J638" s="2">
        <v>1</v>
      </c>
      <c r="K638" s="202" t="s">
        <v>189</v>
      </c>
    </row>
    <row r="639" spans="1:11">
      <c r="A639" s="2">
        <f t="shared" si="18"/>
        <v>638</v>
      </c>
      <c r="B639" s="198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199" t="s">
        <v>1460</v>
      </c>
      <c r="J639" s="2">
        <v>1</v>
      </c>
      <c r="K639" s="202" t="s">
        <v>189</v>
      </c>
    </row>
    <row r="640" spans="1:11">
      <c r="A640" s="2">
        <f t="shared" si="18"/>
        <v>639</v>
      </c>
      <c r="B640" s="198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199" t="s">
        <v>1460</v>
      </c>
      <c r="J640" s="2">
        <v>1</v>
      </c>
      <c r="K640" s="202" t="s">
        <v>189</v>
      </c>
    </row>
    <row r="641" spans="1:11">
      <c r="A641" s="2">
        <f t="shared" si="18"/>
        <v>640</v>
      </c>
      <c r="B641" s="198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199" t="s">
        <v>364</v>
      </c>
      <c r="J641" s="2">
        <v>1</v>
      </c>
      <c r="K641" s="202" t="s">
        <v>189</v>
      </c>
    </row>
    <row r="642" spans="1:11">
      <c r="A642" s="2">
        <f t="shared" si="18"/>
        <v>641</v>
      </c>
      <c r="B642" s="198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199" t="s">
        <v>360</v>
      </c>
      <c r="J642" s="2">
        <v>1</v>
      </c>
      <c r="K642" s="202" t="s">
        <v>189</v>
      </c>
    </row>
    <row r="643" spans="1:11">
      <c r="A643" s="2">
        <f t="shared" ref="A643:A648" si="19">A642+1</f>
        <v>642</v>
      </c>
      <c r="B643" s="198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199" t="s">
        <v>320</v>
      </c>
      <c r="J643" s="2">
        <v>1</v>
      </c>
      <c r="K643" s="202" t="s">
        <v>189</v>
      </c>
    </row>
    <row r="644" spans="1:11">
      <c r="A644" s="2">
        <f t="shared" si="19"/>
        <v>643</v>
      </c>
      <c r="B644" s="198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199" t="s">
        <v>361</v>
      </c>
      <c r="J644" s="2">
        <v>1</v>
      </c>
      <c r="K644" s="202" t="s">
        <v>189</v>
      </c>
    </row>
    <row r="645" spans="1:11">
      <c r="A645" s="2">
        <f t="shared" si="19"/>
        <v>644</v>
      </c>
      <c r="B645" s="198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199" t="s">
        <v>365</v>
      </c>
      <c r="J645" s="2">
        <v>1</v>
      </c>
      <c r="K645" s="202" t="s">
        <v>189</v>
      </c>
    </row>
    <row r="646" spans="1:11">
      <c r="A646" s="2">
        <f t="shared" si="19"/>
        <v>645</v>
      </c>
      <c r="B646" s="198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199" t="s">
        <v>360</v>
      </c>
      <c r="J646" s="2">
        <v>1</v>
      </c>
      <c r="K646" s="202" t="s">
        <v>189</v>
      </c>
    </row>
    <row r="647" spans="1:11">
      <c r="A647" s="2">
        <f t="shared" si="19"/>
        <v>646</v>
      </c>
      <c r="B647" s="198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199" t="s">
        <v>361</v>
      </c>
      <c r="J647" s="2">
        <v>1</v>
      </c>
      <c r="K647" s="202" t="s">
        <v>189</v>
      </c>
    </row>
    <row r="648" spans="1:11">
      <c r="A648" s="2">
        <f t="shared" si="19"/>
        <v>647</v>
      </c>
      <c r="B648" s="198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199" t="s">
        <v>365</v>
      </c>
      <c r="J648" s="2">
        <v>1</v>
      </c>
      <c r="K648" s="202" t="s">
        <v>189</v>
      </c>
    </row>
    <row r="649" spans="1:11">
      <c r="A649" s="2">
        <f t="shared" ref="A649:A653" si="20">A648+1</f>
        <v>648</v>
      </c>
      <c r="B649" s="198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199" t="s">
        <v>364</v>
      </c>
      <c r="J649" s="2">
        <v>1</v>
      </c>
      <c r="K649" s="202" t="s">
        <v>189</v>
      </c>
    </row>
    <row r="650" spans="1:11">
      <c r="A650" s="2">
        <f t="shared" si="20"/>
        <v>649</v>
      </c>
      <c r="B650" s="198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199" t="s">
        <v>320</v>
      </c>
      <c r="J650" s="2">
        <v>1</v>
      </c>
      <c r="K650" s="202" t="s">
        <v>189</v>
      </c>
    </row>
    <row r="651" spans="1:11">
      <c r="A651" s="2">
        <f t="shared" si="20"/>
        <v>650</v>
      </c>
      <c r="B651" s="198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199" t="s">
        <v>365</v>
      </c>
      <c r="J651" s="2">
        <v>1</v>
      </c>
      <c r="K651" s="202" t="s">
        <v>189</v>
      </c>
    </row>
    <row r="652" spans="1:11">
      <c r="A652" s="2">
        <f t="shared" si="20"/>
        <v>651</v>
      </c>
      <c r="B652" s="198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199" t="s">
        <v>360</v>
      </c>
      <c r="J652" s="2">
        <v>1</v>
      </c>
      <c r="K652" s="202" t="s">
        <v>189</v>
      </c>
    </row>
    <row r="653" spans="1:11">
      <c r="A653" s="2">
        <f t="shared" si="20"/>
        <v>652</v>
      </c>
      <c r="B653" s="198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199" t="s">
        <v>320</v>
      </c>
      <c r="J653" s="2">
        <v>1</v>
      </c>
      <c r="K653" s="202" t="s">
        <v>189</v>
      </c>
    </row>
    <row r="654" spans="1:11">
      <c r="A654" s="2">
        <f t="shared" ref="A654:A660" si="21">A653+1</f>
        <v>653</v>
      </c>
      <c r="B654" s="198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199" t="s">
        <v>1460</v>
      </c>
      <c r="J654" s="2">
        <v>1</v>
      </c>
      <c r="K654" s="202" t="s">
        <v>189</v>
      </c>
    </row>
    <row r="655" spans="1:11">
      <c r="A655" s="2">
        <f t="shared" si="21"/>
        <v>654</v>
      </c>
      <c r="B655" s="198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199" t="s">
        <v>1460</v>
      </c>
      <c r="J655" s="2">
        <v>1</v>
      </c>
      <c r="K655" s="202" t="s">
        <v>189</v>
      </c>
    </row>
    <row r="656" spans="1:11">
      <c r="A656" s="2">
        <f t="shared" si="21"/>
        <v>655</v>
      </c>
      <c r="B656" s="198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199" t="s">
        <v>364</v>
      </c>
      <c r="J656" s="2">
        <v>1</v>
      </c>
      <c r="K656" s="202" t="s">
        <v>189</v>
      </c>
    </row>
    <row r="657" spans="1:11">
      <c r="A657" s="2">
        <f t="shared" si="21"/>
        <v>656</v>
      </c>
      <c r="B657" s="198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199" t="s">
        <v>360</v>
      </c>
      <c r="J657" s="2">
        <v>1</v>
      </c>
      <c r="K657" s="202" t="s">
        <v>189</v>
      </c>
    </row>
    <row r="658" spans="1:11">
      <c r="A658" s="2">
        <f t="shared" si="21"/>
        <v>657</v>
      </c>
      <c r="B658" s="198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199" t="s">
        <v>320</v>
      </c>
      <c r="J658" s="2">
        <v>1</v>
      </c>
      <c r="K658" s="202" t="s">
        <v>189</v>
      </c>
    </row>
    <row r="659" spans="1:11">
      <c r="A659" s="2">
        <f t="shared" si="21"/>
        <v>658</v>
      </c>
      <c r="B659" s="198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199" t="s">
        <v>361</v>
      </c>
      <c r="J659" s="2">
        <v>1</v>
      </c>
      <c r="K659" s="202" t="s">
        <v>189</v>
      </c>
    </row>
    <row r="660" spans="1:11">
      <c r="A660" s="2">
        <f t="shared" si="21"/>
        <v>659</v>
      </c>
      <c r="B660" s="198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199" t="s">
        <v>365</v>
      </c>
      <c r="J660" s="2">
        <v>1</v>
      </c>
      <c r="K660" s="202" t="s">
        <v>189</v>
      </c>
    </row>
    <row r="661" spans="1:11">
      <c r="A661" s="2">
        <f t="shared" ref="A661:A662" si="22">A660+1</f>
        <v>660</v>
      </c>
      <c r="B661" s="198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199" t="s">
        <v>367</v>
      </c>
      <c r="J661" s="2">
        <v>1</v>
      </c>
      <c r="K661" s="199" t="s">
        <v>185</v>
      </c>
    </row>
    <row r="662" spans="1:11">
      <c r="A662" s="2">
        <f t="shared" si="22"/>
        <v>661</v>
      </c>
      <c r="B662" s="198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199" t="s">
        <v>1460</v>
      </c>
      <c r="J662" s="2">
        <v>1</v>
      </c>
      <c r="K662" s="199" t="s">
        <v>184</v>
      </c>
    </row>
    <row r="663" spans="1:11">
      <c r="A663" s="2">
        <f>A662+1</f>
        <v>662</v>
      </c>
      <c r="B663" s="198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199" t="s">
        <v>1464</v>
      </c>
      <c r="J663" s="2">
        <v>1</v>
      </c>
      <c r="K663" s="202" t="s">
        <v>189</v>
      </c>
    </row>
    <row r="664" spans="1:11">
      <c r="A664" s="2">
        <f t="shared" ref="A664:A666" si="23">A663+1</f>
        <v>663</v>
      </c>
      <c r="B664" s="198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199" t="s">
        <v>185</v>
      </c>
    </row>
    <row r="665" spans="1:11">
      <c r="A665" s="2">
        <f t="shared" si="23"/>
        <v>664</v>
      </c>
      <c r="B665" s="198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199" t="s">
        <v>185</v>
      </c>
    </row>
    <row r="666" spans="1:11">
      <c r="A666" s="2">
        <f t="shared" si="23"/>
        <v>665</v>
      </c>
      <c r="B666" s="198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198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693</v>
      </c>
      <c r="J667" s="2">
        <v>1</v>
      </c>
      <c r="K667" s="199" t="s">
        <v>187</v>
      </c>
    </row>
    <row r="668" spans="1:11">
      <c r="A668" s="2">
        <f t="shared" si="24"/>
        <v>667</v>
      </c>
      <c r="B668" s="198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693</v>
      </c>
      <c r="J668" s="2">
        <v>1</v>
      </c>
      <c r="K668" s="199" t="s">
        <v>187</v>
      </c>
    </row>
    <row r="669" spans="1:11">
      <c r="A669" s="2">
        <f t="shared" si="24"/>
        <v>668</v>
      </c>
      <c r="B669" s="198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693</v>
      </c>
      <c r="J669" s="2">
        <v>1</v>
      </c>
      <c r="K669" s="199" t="s">
        <v>187</v>
      </c>
    </row>
    <row r="670" spans="1:11">
      <c r="A670" s="2">
        <f>A669+1</f>
        <v>669</v>
      </c>
      <c r="B670" s="198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02" t="s">
        <v>698</v>
      </c>
      <c r="J670" s="2">
        <v>1</v>
      </c>
      <c r="K670" s="199" t="s">
        <v>187</v>
      </c>
    </row>
    <row r="671" spans="1:11">
      <c r="A671" s="2">
        <f t="shared" ref="A671:A699" si="25">A670+1</f>
        <v>670</v>
      </c>
      <c r="B671" s="198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02" t="s">
        <v>188</v>
      </c>
    </row>
    <row r="672" spans="1:11">
      <c r="A672" s="2">
        <f t="shared" si="25"/>
        <v>671</v>
      </c>
      <c r="B672" s="198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199" t="s">
        <v>367</v>
      </c>
      <c r="J672" s="2">
        <v>1</v>
      </c>
      <c r="K672" s="199" t="s">
        <v>186</v>
      </c>
    </row>
    <row r="673" spans="1:11">
      <c r="A673" s="2">
        <f t="shared" si="25"/>
        <v>672</v>
      </c>
      <c r="B673" s="198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199" t="s">
        <v>361</v>
      </c>
      <c r="J673" s="2">
        <v>1</v>
      </c>
      <c r="K673" s="202" t="s">
        <v>189</v>
      </c>
    </row>
    <row r="674" spans="1:11">
      <c r="A674" s="2">
        <f t="shared" si="25"/>
        <v>673</v>
      </c>
      <c r="B674" s="198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199" t="s">
        <v>360</v>
      </c>
      <c r="J674" s="2">
        <v>1</v>
      </c>
      <c r="K674" s="202" t="s">
        <v>189</v>
      </c>
    </row>
    <row r="675" spans="1:11">
      <c r="A675" s="2">
        <f t="shared" si="25"/>
        <v>674</v>
      </c>
      <c r="B675" s="198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02" t="s">
        <v>189</v>
      </c>
    </row>
    <row r="676" spans="1:11">
      <c r="A676" s="2">
        <f t="shared" si="25"/>
        <v>675</v>
      </c>
      <c r="B676" s="198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199" t="s">
        <v>184</v>
      </c>
    </row>
    <row r="677" spans="1:11">
      <c r="A677" s="2">
        <f t="shared" si="25"/>
        <v>676</v>
      </c>
      <c r="B677" s="198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199" t="s">
        <v>334</v>
      </c>
      <c r="J677" s="2">
        <v>2</v>
      </c>
      <c r="K677" s="199" t="s">
        <v>185</v>
      </c>
    </row>
    <row r="678" spans="1:11">
      <c r="A678" s="2">
        <f t="shared" si="25"/>
        <v>677</v>
      </c>
      <c r="B678" s="198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199" t="s">
        <v>364</v>
      </c>
      <c r="J678" s="2">
        <v>1</v>
      </c>
      <c r="K678" s="202" t="s">
        <v>189</v>
      </c>
    </row>
    <row r="679" spans="1:11">
      <c r="A679" s="2">
        <f t="shared" si="25"/>
        <v>678</v>
      </c>
      <c r="B679" s="198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199" t="s">
        <v>320</v>
      </c>
      <c r="J679" s="2">
        <v>1</v>
      </c>
      <c r="K679" s="202" t="s">
        <v>189</v>
      </c>
    </row>
    <row r="680" spans="1:11">
      <c r="A680" s="2">
        <f t="shared" si="25"/>
        <v>679</v>
      </c>
      <c r="B680" s="198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199" t="s">
        <v>360</v>
      </c>
      <c r="J680" s="2">
        <v>1</v>
      </c>
      <c r="K680" s="202" t="s">
        <v>189</v>
      </c>
    </row>
    <row r="681" spans="1:11">
      <c r="A681" s="2">
        <f t="shared" si="25"/>
        <v>680</v>
      </c>
      <c r="B681" s="198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199" t="s">
        <v>320</v>
      </c>
      <c r="J681" s="2">
        <v>1</v>
      </c>
      <c r="K681" s="202" t="s">
        <v>189</v>
      </c>
    </row>
    <row r="682" spans="1:11">
      <c r="A682" s="2">
        <f t="shared" si="25"/>
        <v>681</v>
      </c>
      <c r="B682" s="198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198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199" t="s">
        <v>184</v>
      </c>
    </row>
    <row r="684" spans="1:11">
      <c r="A684" s="2">
        <f t="shared" si="25"/>
        <v>683</v>
      </c>
      <c r="B684" s="198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199" t="s">
        <v>185</v>
      </c>
    </row>
    <row r="685" spans="1:11">
      <c r="A685" s="2">
        <f t="shared" si="25"/>
        <v>684</v>
      </c>
      <c r="B685" s="198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199" t="s">
        <v>185</v>
      </c>
    </row>
    <row r="686" spans="1:11">
      <c r="A686" s="2">
        <f t="shared" si="25"/>
        <v>685</v>
      </c>
      <c r="B686" s="198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199" t="s">
        <v>185</v>
      </c>
    </row>
    <row r="687" spans="1:11">
      <c r="A687" s="2">
        <f t="shared" si="25"/>
        <v>686</v>
      </c>
      <c r="B687" s="198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199" t="s">
        <v>185</v>
      </c>
    </row>
    <row r="688" spans="1:11">
      <c r="A688" s="2">
        <f t="shared" si="25"/>
        <v>687</v>
      </c>
      <c r="B688" s="198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199" t="s">
        <v>185</v>
      </c>
    </row>
    <row r="689" spans="1:11">
      <c r="A689" s="2">
        <f t="shared" si="25"/>
        <v>688</v>
      </c>
      <c r="B689" s="198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199" t="s">
        <v>185</v>
      </c>
    </row>
    <row r="690" spans="1:11">
      <c r="A690" s="2">
        <f t="shared" si="25"/>
        <v>689</v>
      </c>
      <c r="B690" s="198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199" t="s">
        <v>185</v>
      </c>
    </row>
    <row r="691" spans="1:11">
      <c r="A691" s="2">
        <f t="shared" si="25"/>
        <v>690</v>
      </c>
      <c r="B691" s="198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199" t="s">
        <v>186</v>
      </c>
    </row>
    <row r="692" spans="1:11">
      <c r="A692" s="2">
        <f t="shared" si="25"/>
        <v>691</v>
      </c>
      <c r="B692" s="198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199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198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199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198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1465</v>
      </c>
      <c r="J694" s="2">
        <v>1</v>
      </c>
      <c r="K694" s="199" t="s">
        <v>184</v>
      </c>
    </row>
    <row r="695" spans="1:11">
      <c r="A695" s="2">
        <f t="shared" si="25"/>
        <v>694</v>
      </c>
      <c r="B695" s="198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1465</v>
      </c>
      <c r="J695" s="2">
        <v>1</v>
      </c>
      <c r="K695" s="199" t="s">
        <v>185</v>
      </c>
    </row>
    <row r="696" spans="1:11">
      <c r="A696" s="2">
        <f t="shared" si="25"/>
        <v>695</v>
      </c>
      <c r="B696" s="198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1465</v>
      </c>
      <c r="J696" s="2">
        <v>1</v>
      </c>
      <c r="K696" s="199" t="s">
        <v>185</v>
      </c>
    </row>
    <row r="697" spans="1:11">
      <c r="A697" s="2">
        <f t="shared" si="25"/>
        <v>696</v>
      </c>
      <c r="B697" s="198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1465</v>
      </c>
      <c r="J697" s="2">
        <v>1</v>
      </c>
      <c r="K697" s="199" t="s">
        <v>185</v>
      </c>
    </row>
    <row r="698" spans="1:11">
      <c r="A698" s="2">
        <f t="shared" si="25"/>
        <v>697</v>
      </c>
      <c r="B698" s="198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1465</v>
      </c>
      <c r="J698" s="2">
        <v>1</v>
      </c>
      <c r="K698" s="199" t="s">
        <v>185</v>
      </c>
    </row>
    <row r="699" spans="1:11">
      <c r="A699" s="2">
        <f t="shared" si="25"/>
        <v>698</v>
      </c>
      <c r="B699" s="198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1465</v>
      </c>
      <c r="J699" s="2">
        <v>1</v>
      </c>
      <c r="K699" s="199" t="s">
        <v>185</v>
      </c>
    </row>
    <row r="700" spans="1:11">
      <c r="A700" s="2">
        <f>A699+1</f>
        <v>699</v>
      </c>
      <c r="B700" s="198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1465</v>
      </c>
      <c r="J700" s="2">
        <v>1</v>
      </c>
      <c r="K700" s="199" t="s">
        <v>185</v>
      </c>
    </row>
    <row r="701" spans="1:11">
      <c r="A701" s="2">
        <f t="shared" ref="A701" si="26">A700+1</f>
        <v>700</v>
      </c>
      <c r="B701" s="198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1465</v>
      </c>
      <c r="J701" s="2">
        <v>1</v>
      </c>
      <c r="K701" s="199" t="s">
        <v>185</v>
      </c>
    </row>
    <row r="702" spans="1:11">
      <c r="A702" s="2">
        <f t="shared" ref="A702:A703" si="27">A701+1</f>
        <v>701</v>
      </c>
      <c r="B702" s="198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1465</v>
      </c>
      <c r="J702" s="2">
        <v>1</v>
      </c>
      <c r="K702" s="199" t="s">
        <v>186</v>
      </c>
    </row>
    <row r="703" spans="1:11">
      <c r="A703" s="2">
        <f t="shared" si="27"/>
        <v>702</v>
      </c>
      <c r="B703" s="198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199" t="s">
        <v>184</v>
      </c>
    </row>
    <row r="704" spans="1:11">
      <c r="A704" s="2">
        <f t="shared" ref="A704:A708" si="28">A703+1</f>
        <v>703</v>
      </c>
      <c r="B704" s="198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199" t="s">
        <v>187</v>
      </c>
    </row>
    <row r="705" spans="1:11">
      <c r="A705" s="2">
        <f t="shared" si="28"/>
        <v>704</v>
      </c>
      <c r="B705" s="198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199" t="s">
        <v>186</v>
      </c>
    </row>
    <row r="706" spans="1:11">
      <c r="A706" s="2">
        <f t="shared" si="28"/>
        <v>705</v>
      </c>
      <c r="B706" s="198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199" t="s">
        <v>364</v>
      </c>
      <c r="J706" s="2">
        <v>1</v>
      </c>
      <c r="K706" s="199" t="s">
        <v>186</v>
      </c>
    </row>
    <row r="707" spans="1:11">
      <c r="A707" s="2">
        <f t="shared" si="28"/>
        <v>706</v>
      </c>
      <c r="B707" s="198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199" t="s">
        <v>360</v>
      </c>
      <c r="J707" s="2">
        <v>1</v>
      </c>
      <c r="K707" s="199" t="s">
        <v>186</v>
      </c>
    </row>
    <row r="708" spans="1:11">
      <c r="A708" s="2">
        <f t="shared" si="28"/>
        <v>707</v>
      </c>
      <c r="B708" s="198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199" t="s">
        <v>320</v>
      </c>
      <c r="J708" s="2">
        <v>1</v>
      </c>
      <c r="K708" s="199" t="s">
        <v>186</v>
      </c>
    </row>
    <row r="709" spans="1:11">
      <c r="A709" s="2">
        <f t="shared" ref="A709:A716" si="29">A708+1</f>
        <v>708</v>
      </c>
      <c r="B709" s="198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199" t="s">
        <v>364</v>
      </c>
      <c r="J709" s="2">
        <v>1</v>
      </c>
      <c r="K709" s="202" t="s">
        <v>184</v>
      </c>
    </row>
    <row r="710" spans="1:11">
      <c r="A710" s="2">
        <f t="shared" si="29"/>
        <v>709</v>
      </c>
      <c r="B710" s="198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199" t="s">
        <v>360</v>
      </c>
      <c r="J710" s="2">
        <v>1</v>
      </c>
      <c r="K710" s="202" t="s">
        <v>184</v>
      </c>
    </row>
    <row r="711" spans="1:11">
      <c r="A711" s="2">
        <f t="shared" si="29"/>
        <v>710</v>
      </c>
      <c r="B711" s="198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199" t="s">
        <v>320</v>
      </c>
      <c r="J711" s="2">
        <v>1</v>
      </c>
      <c r="K711" s="202" t="s">
        <v>184</v>
      </c>
    </row>
    <row r="712" spans="1:11">
      <c r="A712" s="2">
        <f t="shared" si="29"/>
        <v>711</v>
      </c>
      <c r="B712" s="198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199" t="s">
        <v>365</v>
      </c>
      <c r="J712" s="2">
        <v>1</v>
      </c>
      <c r="K712" s="202" t="s">
        <v>184</v>
      </c>
    </row>
    <row r="713" spans="1:11">
      <c r="A713" s="2">
        <f t="shared" si="29"/>
        <v>712</v>
      </c>
      <c r="B713" s="198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199" t="s">
        <v>364</v>
      </c>
      <c r="J713" s="2">
        <v>1</v>
      </c>
      <c r="K713" s="202" t="s">
        <v>185</v>
      </c>
    </row>
    <row r="714" spans="1:11">
      <c r="A714" s="2">
        <f t="shared" si="29"/>
        <v>713</v>
      </c>
      <c r="B714" s="198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199" t="s">
        <v>360</v>
      </c>
      <c r="J714" s="2">
        <v>1</v>
      </c>
      <c r="K714" s="202" t="s">
        <v>185</v>
      </c>
    </row>
    <row r="715" spans="1:11">
      <c r="A715" s="2">
        <f t="shared" si="29"/>
        <v>714</v>
      </c>
      <c r="B715" s="198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199" t="s">
        <v>361</v>
      </c>
      <c r="J715" s="2">
        <v>1</v>
      </c>
      <c r="K715" s="202" t="s">
        <v>185</v>
      </c>
    </row>
    <row r="716" spans="1:11">
      <c r="A716" s="2">
        <f t="shared" si="29"/>
        <v>715</v>
      </c>
      <c r="B716" s="198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199" t="s">
        <v>364</v>
      </c>
      <c r="J716" s="2">
        <v>1</v>
      </c>
      <c r="K716" s="202" t="s">
        <v>185</v>
      </c>
    </row>
    <row r="717" spans="1:11">
      <c r="A717" s="2">
        <f>A716+1</f>
        <v>716</v>
      </c>
      <c r="B717" s="198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199" t="s">
        <v>360</v>
      </c>
      <c r="J717" s="2">
        <v>1</v>
      </c>
      <c r="K717" s="202" t="s">
        <v>185</v>
      </c>
    </row>
    <row r="718" spans="1:11">
      <c r="A718" s="2">
        <f t="shared" ref="A718:A726" si="30">A717+1</f>
        <v>717</v>
      </c>
      <c r="B718" s="198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199" t="s">
        <v>320</v>
      </c>
      <c r="J718" s="2">
        <v>1</v>
      </c>
      <c r="K718" s="202" t="s">
        <v>185</v>
      </c>
    </row>
    <row r="719" spans="1:11">
      <c r="A719" s="2">
        <f t="shared" si="30"/>
        <v>718</v>
      </c>
      <c r="B719" s="198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199" t="s">
        <v>365</v>
      </c>
      <c r="J719" s="2">
        <v>1</v>
      </c>
      <c r="K719" s="202" t="s">
        <v>185</v>
      </c>
    </row>
    <row r="720" spans="1:11">
      <c r="A720" s="2">
        <f t="shared" si="30"/>
        <v>719</v>
      </c>
      <c r="B720" s="198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199" t="s">
        <v>364</v>
      </c>
      <c r="J720" s="2">
        <v>1</v>
      </c>
      <c r="K720" s="202" t="s">
        <v>185</v>
      </c>
    </row>
    <row r="721" spans="1:11">
      <c r="A721" s="2">
        <f t="shared" si="30"/>
        <v>720</v>
      </c>
      <c r="B721" s="198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199" t="s">
        <v>320</v>
      </c>
      <c r="J721" s="2">
        <v>1</v>
      </c>
      <c r="K721" s="202" t="s">
        <v>185</v>
      </c>
    </row>
    <row r="722" spans="1:11">
      <c r="A722" s="2">
        <f t="shared" si="30"/>
        <v>721</v>
      </c>
      <c r="B722" s="198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199" t="s">
        <v>364</v>
      </c>
      <c r="J722" s="2">
        <v>1</v>
      </c>
      <c r="K722" s="202" t="s">
        <v>185</v>
      </c>
    </row>
    <row r="723" spans="1:11">
      <c r="A723" s="2">
        <f t="shared" si="30"/>
        <v>722</v>
      </c>
      <c r="B723" s="198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199" t="s">
        <v>320</v>
      </c>
      <c r="J723" s="2">
        <v>1</v>
      </c>
      <c r="K723" s="202" t="s">
        <v>185</v>
      </c>
    </row>
    <row r="724" spans="1:11">
      <c r="A724" s="2">
        <f t="shared" si="30"/>
        <v>723</v>
      </c>
      <c r="B724" s="198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199" t="s">
        <v>361</v>
      </c>
      <c r="J724" s="2">
        <v>1</v>
      </c>
      <c r="K724" s="202" t="s">
        <v>185</v>
      </c>
    </row>
    <row r="725" spans="1:11">
      <c r="A725" s="2">
        <f t="shared" si="30"/>
        <v>724</v>
      </c>
      <c r="B725" s="198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199" t="s">
        <v>320</v>
      </c>
      <c r="J725" s="2">
        <v>1</v>
      </c>
      <c r="K725" s="202" t="s">
        <v>185</v>
      </c>
    </row>
    <row r="726" spans="1:11">
      <c r="A726" s="2">
        <f t="shared" si="30"/>
        <v>725</v>
      </c>
      <c r="B726" s="198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199" t="s">
        <v>360</v>
      </c>
      <c r="J726" s="2">
        <v>1</v>
      </c>
      <c r="K726" s="202" t="s">
        <v>185</v>
      </c>
    </row>
    <row r="727" spans="1:11">
      <c r="A727" s="2">
        <f t="shared" ref="A727:A729" si="31">A726+1</f>
        <v>726</v>
      </c>
      <c r="B727" s="198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199" t="s">
        <v>320</v>
      </c>
      <c r="J727" s="2">
        <v>1</v>
      </c>
      <c r="K727" s="202" t="s">
        <v>185</v>
      </c>
    </row>
    <row r="728" spans="1:11">
      <c r="A728" s="2">
        <f t="shared" si="31"/>
        <v>727</v>
      </c>
      <c r="B728" s="198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199" t="s">
        <v>361</v>
      </c>
      <c r="J728" s="2">
        <v>1</v>
      </c>
      <c r="K728" s="202" t="s">
        <v>185</v>
      </c>
    </row>
    <row r="729" spans="1:11">
      <c r="A729" s="2">
        <f t="shared" si="31"/>
        <v>728</v>
      </c>
      <c r="B729" s="198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199" t="s">
        <v>365</v>
      </c>
      <c r="J729" s="2">
        <v>1</v>
      </c>
      <c r="K729" s="202" t="s">
        <v>185</v>
      </c>
    </row>
    <row r="730" spans="1:11">
      <c r="A730" s="2">
        <f t="shared" ref="A730:A732" si="32">A729+1</f>
        <v>729</v>
      </c>
      <c r="B730" s="198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199" t="s">
        <v>360</v>
      </c>
      <c r="J730" s="2">
        <v>1</v>
      </c>
      <c r="K730" s="202" t="s">
        <v>185</v>
      </c>
    </row>
    <row r="731" spans="1:11">
      <c r="A731" s="2">
        <f t="shared" si="32"/>
        <v>730</v>
      </c>
      <c r="B731" s="198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199" t="s">
        <v>1460</v>
      </c>
      <c r="J731" s="2">
        <v>1</v>
      </c>
      <c r="K731" s="202" t="s">
        <v>187</v>
      </c>
    </row>
    <row r="732" spans="1:11">
      <c r="A732" s="2">
        <f t="shared" si="32"/>
        <v>731</v>
      </c>
      <c r="B732" s="198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199" t="s">
        <v>367</v>
      </c>
      <c r="J732" s="2">
        <v>1</v>
      </c>
      <c r="K732" s="202" t="s">
        <v>185</v>
      </c>
    </row>
    <row r="733" spans="1:11">
      <c r="A733" s="2">
        <f t="shared" ref="A733:A734" si="33">A732+1</f>
        <v>732</v>
      </c>
      <c r="B733" s="198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02" t="s">
        <v>185</v>
      </c>
    </row>
    <row r="734" spans="1:11">
      <c r="A734" s="2">
        <f t="shared" si="33"/>
        <v>733</v>
      </c>
      <c r="B734" s="198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199" t="s">
        <v>320</v>
      </c>
      <c r="J734" s="2">
        <v>1</v>
      </c>
      <c r="K734" s="202" t="s">
        <v>185</v>
      </c>
    </row>
    <row r="735" spans="1:11">
      <c r="A735" s="2">
        <f t="shared" ref="A735:A759" si="34">A734+1</f>
        <v>734</v>
      </c>
      <c r="B735" s="198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199" t="s">
        <v>361</v>
      </c>
      <c r="J735" s="2">
        <v>1</v>
      </c>
      <c r="K735" s="202" t="s">
        <v>185</v>
      </c>
    </row>
    <row r="736" spans="1:11">
      <c r="A736" s="2">
        <f t="shared" si="34"/>
        <v>735</v>
      </c>
      <c r="B736" s="198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199" t="s">
        <v>365</v>
      </c>
      <c r="J736" s="2">
        <v>1</v>
      </c>
      <c r="K736" s="202" t="s">
        <v>185</v>
      </c>
    </row>
    <row r="737" spans="1:11">
      <c r="A737" s="2">
        <f t="shared" si="34"/>
        <v>736</v>
      </c>
      <c r="B737" s="198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199" t="s">
        <v>360</v>
      </c>
      <c r="J737" s="2">
        <v>1</v>
      </c>
      <c r="K737" s="202" t="s">
        <v>186</v>
      </c>
    </row>
    <row r="738" spans="1:11">
      <c r="A738" s="2">
        <f t="shared" si="34"/>
        <v>737</v>
      </c>
      <c r="B738" s="198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199" t="s">
        <v>320</v>
      </c>
      <c r="J738" s="2">
        <v>1</v>
      </c>
      <c r="K738" s="202" t="s">
        <v>186</v>
      </c>
    </row>
    <row r="739" spans="1:11">
      <c r="A739" s="2">
        <f t="shared" si="34"/>
        <v>738</v>
      </c>
      <c r="B739" s="198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199" t="s">
        <v>361</v>
      </c>
      <c r="J739" s="2">
        <v>1</v>
      </c>
      <c r="K739" s="202" t="s">
        <v>186</v>
      </c>
    </row>
    <row r="740" spans="1:11">
      <c r="A740" s="2">
        <f t="shared" si="34"/>
        <v>739</v>
      </c>
      <c r="B740" s="198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199" t="s">
        <v>364</v>
      </c>
      <c r="J740" s="2">
        <v>1</v>
      </c>
      <c r="K740" s="202" t="s">
        <v>186</v>
      </c>
    </row>
    <row r="741" spans="1:11">
      <c r="A741" s="2">
        <f t="shared" si="34"/>
        <v>740</v>
      </c>
      <c r="B741" s="198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199" t="s">
        <v>360</v>
      </c>
      <c r="J741" s="2">
        <v>1</v>
      </c>
      <c r="K741" s="202" t="s">
        <v>186</v>
      </c>
    </row>
    <row r="742" spans="1:11">
      <c r="A742" s="2">
        <f t="shared" si="34"/>
        <v>741</v>
      </c>
      <c r="B742" s="198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199" t="s">
        <v>320</v>
      </c>
      <c r="J742" s="2">
        <v>1</v>
      </c>
      <c r="K742" s="202" t="s">
        <v>186</v>
      </c>
    </row>
    <row r="743" spans="1:11">
      <c r="A743" s="2">
        <f t="shared" si="34"/>
        <v>742</v>
      </c>
      <c r="B743" s="198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199" t="s">
        <v>1465</v>
      </c>
      <c r="J743" s="2">
        <v>1</v>
      </c>
      <c r="K743" s="202" t="s">
        <v>186</v>
      </c>
    </row>
    <row r="744" spans="1:11">
      <c r="A744" s="2">
        <f t="shared" si="34"/>
        <v>743</v>
      </c>
      <c r="B744" s="198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02" t="s">
        <v>185</v>
      </c>
    </row>
    <row r="745" spans="1:11">
      <c r="A745" s="2">
        <f t="shared" si="34"/>
        <v>744</v>
      </c>
      <c r="B745" s="198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02" t="s">
        <v>186</v>
      </c>
    </row>
    <row r="746" spans="1:11">
      <c r="A746" s="2">
        <f t="shared" si="34"/>
        <v>745</v>
      </c>
      <c r="B746" s="198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02" t="s">
        <v>186</v>
      </c>
    </row>
    <row r="747" spans="1:11">
      <c r="A747" s="2">
        <f t="shared" si="34"/>
        <v>746</v>
      </c>
      <c r="B747" s="198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199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198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199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198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199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198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02" t="s">
        <v>187</v>
      </c>
    </row>
    <row r="751" spans="1:11">
      <c r="A751" s="2">
        <f t="shared" si="34"/>
        <v>750</v>
      </c>
      <c r="B751" s="198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02" t="s">
        <v>187</v>
      </c>
    </row>
    <row r="752" spans="1:11">
      <c r="A752" s="2">
        <f t="shared" si="34"/>
        <v>751</v>
      </c>
      <c r="B752" s="198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02" t="s">
        <v>188</v>
      </c>
    </row>
    <row r="753" spans="1:11">
      <c r="A753" s="2">
        <f t="shared" si="34"/>
        <v>752</v>
      </c>
      <c r="B753" s="198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02" t="s">
        <v>187</v>
      </c>
    </row>
    <row r="754" spans="1:11">
      <c r="A754" s="2">
        <f t="shared" si="34"/>
        <v>753</v>
      </c>
      <c r="B754" s="198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198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198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198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198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198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198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198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198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198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199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198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199" t="s">
        <v>286</v>
      </c>
      <c r="J764" s="2">
        <v>1</v>
      </c>
      <c r="K764" s="199" t="s">
        <v>186</v>
      </c>
    </row>
    <row r="765" spans="1:11">
      <c r="A765" s="2">
        <f t="shared" si="35"/>
        <v>764</v>
      </c>
      <c r="B765" s="198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199" t="s">
        <v>185</v>
      </c>
    </row>
    <row r="766" spans="1:11">
      <c r="A766" s="2">
        <f t="shared" si="35"/>
        <v>765</v>
      </c>
      <c r="B766" s="198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199" t="s">
        <v>380</v>
      </c>
      <c r="J766" s="2">
        <v>1</v>
      </c>
      <c r="K766" s="199" t="s">
        <v>189</v>
      </c>
    </row>
    <row r="767" spans="1:11">
      <c r="A767" s="2">
        <f t="shared" si="35"/>
        <v>766</v>
      </c>
      <c r="B767" s="198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198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199" t="s">
        <v>184</v>
      </c>
    </row>
    <row r="769" spans="1:11">
      <c r="A769" s="2">
        <f t="shared" si="35"/>
        <v>768</v>
      </c>
      <c r="B769" s="198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36" t="s">
        <v>693</v>
      </c>
      <c r="J769" s="2">
        <v>1</v>
      </c>
      <c r="K769" s="36" t="s">
        <v>187</v>
      </c>
    </row>
    <row r="770" spans="1:11">
      <c r="A770" s="2">
        <f t="shared" si="35"/>
        <v>769</v>
      </c>
      <c r="B770" s="198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36" t="s">
        <v>693</v>
      </c>
      <c r="J770" s="2">
        <v>1</v>
      </c>
      <c r="K770" s="199" t="s">
        <v>185</v>
      </c>
    </row>
    <row r="771" spans="1:11">
      <c r="A771" s="2">
        <f t="shared" si="35"/>
        <v>770</v>
      </c>
      <c r="B771" s="198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36" t="s">
        <v>693</v>
      </c>
      <c r="J771" s="2">
        <v>1</v>
      </c>
      <c r="K771" s="200" t="s">
        <v>704</v>
      </c>
    </row>
    <row r="772" spans="1:11">
      <c r="A772" s="2">
        <f t="shared" si="35"/>
        <v>771</v>
      </c>
      <c r="B772" s="198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36" t="s">
        <v>693</v>
      </c>
      <c r="J772" s="2">
        <v>1</v>
      </c>
      <c r="K772" s="200" t="s">
        <v>740</v>
      </c>
    </row>
    <row r="773" spans="1:11">
      <c r="A773" s="2">
        <f t="shared" ref="A773:A779" si="36">A772+1</f>
        <v>772</v>
      </c>
      <c r="B773" s="198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36" t="s">
        <v>693</v>
      </c>
      <c r="J773" s="2">
        <v>1</v>
      </c>
      <c r="K773" s="200" t="s">
        <v>741</v>
      </c>
    </row>
    <row r="774" spans="1:11">
      <c r="A774" s="2">
        <f t="shared" si="36"/>
        <v>773</v>
      </c>
      <c r="B774" s="198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199" t="s">
        <v>184</v>
      </c>
    </row>
    <row r="775" spans="1:11">
      <c r="A775" s="2">
        <f t="shared" si="36"/>
        <v>774</v>
      </c>
      <c r="B775" s="198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199" t="s">
        <v>339</v>
      </c>
      <c r="J775" s="2">
        <v>1</v>
      </c>
      <c r="K775" s="199" t="s">
        <v>184</v>
      </c>
    </row>
    <row r="776" spans="1:11">
      <c r="A776" s="2">
        <f t="shared" si="36"/>
        <v>775</v>
      </c>
      <c r="B776" s="198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199" t="s">
        <v>1466</v>
      </c>
      <c r="J776" s="2">
        <v>2</v>
      </c>
      <c r="K776" s="199" t="s">
        <v>189</v>
      </c>
    </row>
    <row r="777" spans="1:11">
      <c r="A777" s="2">
        <f t="shared" si="36"/>
        <v>776</v>
      </c>
      <c r="B777" s="198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199" t="s">
        <v>1467</v>
      </c>
      <c r="J777" s="2">
        <v>1</v>
      </c>
      <c r="K777" s="199" t="s">
        <v>189</v>
      </c>
    </row>
    <row r="778" spans="1:11">
      <c r="A778" s="2">
        <f t="shared" si="36"/>
        <v>777</v>
      </c>
      <c r="B778" s="198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199" t="s">
        <v>1468</v>
      </c>
      <c r="J778" s="2">
        <v>2</v>
      </c>
      <c r="K778" s="199" t="s">
        <v>189</v>
      </c>
    </row>
    <row r="779" spans="1:11">
      <c r="A779" s="2">
        <f t="shared" si="36"/>
        <v>778</v>
      </c>
      <c r="B779" s="198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1469</v>
      </c>
      <c r="J779" s="2">
        <v>1</v>
      </c>
      <c r="K779" s="199" t="s">
        <v>189</v>
      </c>
    </row>
    <row r="780" spans="1:11">
      <c r="A780" s="2">
        <f t="shared" ref="A780:A783" si="37">A779+1</f>
        <v>779</v>
      </c>
      <c r="B780" s="198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199" t="s">
        <v>361</v>
      </c>
      <c r="J780" s="2">
        <v>1</v>
      </c>
      <c r="K780" s="199" t="s">
        <v>186</v>
      </c>
    </row>
    <row r="781" spans="1:11">
      <c r="A781" s="2">
        <f t="shared" si="37"/>
        <v>780</v>
      </c>
      <c r="B781" s="198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199" t="s">
        <v>187</v>
      </c>
    </row>
    <row r="782" spans="1:11">
      <c r="A782" s="2">
        <f t="shared" si="37"/>
        <v>781</v>
      </c>
      <c r="B782" s="198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199" t="s">
        <v>184</v>
      </c>
    </row>
    <row r="783" spans="1:11">
      <c r="A783" s="2">
        <f t="shared" si="37"/>
        <v>782</v>
      </c>
      <c r="B783" s="198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199" t="s">
        <v>185</v>
      </c>
    </row>
    <row r="784" spans="1:11">
      <c r="A784" s="2">
        <f t="shared" ref="A784:A785" si="38">A783+1</f>
        <v>783</v>
      </c>
      <c r="B784" s="198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199" t="s">
        <v>1460</v>
      </c>
      <c r="J784" s="2">
        <v>1</v>
      </c>
      <c r="K784" s="199" t="s">
        <v>187</v>
      </c>
    </row>
    <row r="785" spans="1:11">
      <c r="A785" s="2">
        <f t="shared" si="38"/>
        <v>784</v>
      </c>
      <c r="B785" s="198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199" t="s">
        <v>185</v>
      </c>
    </row>
    <row r="786" spans="1:11">
      <c r="A786" s="2">
        <f>A785+1</f>
        <v>785</v>
      </c>
      <c r="B786" s="198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199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198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36" t="s">
        <v>693</v>
      </c>
      <c r="J787" s="2">
        <v>1</v>
      </c>
      <c r="K787" s="200" t="s">
        <v>742</v>
      </c>
    </row>
    <row r="788" spans="1:11">
      <c r="A788" s="2">
        <f t="shared" si="39"/>
        <v>787</v>
      </c>
      <c r="B788" s="198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199" t="s">
        <v>320</v>
      </c>
      <c r="J788" s="2">
        <v>1</v>
      </c>
      <c r="K788" s="202" t="s">
        <v>185</v>
      </c>
    </row>
    <row r="789" spans="1:11">
      <c r="A789" s="2">
        <f t="shared" si="39"/>
        <v>788</v>
      </c>
      <c r="B789" s="198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199" t="s">
        <v>364</v>
      </c>
      <c r="J789" s="2">
        <v>1</v>
      </c>
      <c r="K789" s="202" t="s">
        <v>186</v>
      </c>
    </row>
    <row r="790" spans="1:11">
      <c r="A790" s="2">
        <f t="shared" si="39"/>
        <v>789</v>
      </c>
      <c r="B790" s="198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36" t="s">
        <v>693</v>
      </c>
      <c r="J790" s="2">
        <v>1</v>
      </c>
      <c r="K790" s="202" t="s">
        <v>188</v>
      </c>
    </row>
    <row r="791" spans="1:11">
      <c r="A791" s="2">
        <f t="shared" ref="A791:A796" si="40">A790+1</f>
        <v>790</v>
      </c>
      <c r="B791" s="198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199" t="s">
        <v>380</v>
      </c>
      <c r="J791" s="2">
        <v>1</v>
      </c>
      <c r="K791" s="202" t="s">
        <v>188</v>
      </c>
    </row>
    <row r="792" spans="1:11">
      <c r="A792" s="2">
        <f t="shared" si="40"/>
        <v>791</v>
      </c>
      <c r="B792" s="198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02" t="s">
        <v>188</v>
      </c>
    </row>
    <row r="793" spans="1:11">
      <c r="A793" s="2">
        <f t="shared" si="40"/>
        <v>792</v>
      </c>
      <c r="B793" s="198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02" t="s">
        <v>187</v>
      </c>
    </row>
    <row r="794" spans="1:11">
      <c r="A794" s="2">
        <f t="shared" si="40"/>
        <v>793</v>
      </c>
      <c r="B794" s="198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199" t="s">
        <v>361</v>
      </c>
      <c r="J794" s="2">
        <v>1</v>
      </c>
      <c r="K794" s="202" t="s">
        <v>185</v>
      </c>
    </row>
    <row r="795" spans="1:11">
      <c r="A795" s="2">
        <f t="shared" si="40"/>
        <v>794</v>
      </c>
      <c r="B795" s="198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199" t="s">
        <v>361</v>
      </c>
      <c r="J795" s="2">
        <v>1</v>
      </c>
      <c r="K795" s="202" t="s">
        <v>188</v>
      </c>
    </row>
    <row r="796" spans="1:11">
      <c r="A796" s="2">
        <f t="shared" si="40"/>
        <v>795</v>
      </c>
      <c r="B796" s="198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199" t="s">
        <v>365</v>
      </c>
      <c r="J796" s="2">
        <v>1</v>
      </c>
      <c r="K796" s="202" t="s">
        <v>186</v>
      </c>
    </row>
    <row r="797" spans="1:11">
      <c r="A797" s="2">
        <f>A796+1</f>
        <v>796</v>
      </c>
      <c r="B797" s="198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199" t="s">
        <v>365</v>
      </c>
      <c r="J797" s="2">
        <v>1</v>
      </c>
      <c r="K797" s="202" t="s">
        <v>185</v>
      </c>
    </row>
    <row r="798" spans="1:11">
      <c r="A798" s="2">
        <f t="shared" ref="A798:A804" si="41">A797+1</f>
        <v>797</v>
      </c>
      <c r="B798" s="198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199" t="s">
        <v>361</v>
      </c>
      <c r="J798" s="2">
        <v>1</v>
      </c>
      <c r="K798" s="202" t="s">
        <v>185</v>
      </c>
    </row>
    <row r="799" spans="1:11">
      <c r="A799" s="2">
        <f t="shared" si="41"/>
        <v>798</v>
      </c>
      <c r="B799" s="198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198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199" t="s">
        <v>1460</v>
      </c>
      <c r="J800" s="2">
        <v>1</v>
      </c>
      <c r="K800" s="202" t="s">
        <v>184</v>
      </c>
    </row>
    <row r="801" spans="1:11">
      <c r="A801" s="2">
        <f t="shared" si="41"/>
        <v>800</v>
      </c>
      <c r="B801" s="198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199" t="s">
        <v>185</v>
      </c>
    </row>
    <row r="802" spans="1:11">
      <c r="A802" s="2">
        <f t="shared" si="41"/>
        <v>801</v>
      </c>
      <c r="B802" s="198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199" t="s">
        <v>186</v>
      </c>
    </row>
    <row r="803" spans="1:11">
      <c r="A803" s="2">
        <f t="shared" si="41"/>
        <v>802</v>
      </c>
      <c r="B803" s="198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199" t="s">
        <v>184</v>
      </c>
    </row>
    <row r="804" spans="1:11">
      <c r="A804" s="2">
        <f t="shared" si="41"/>
        <v>803</v>
      </c>
      <c r="B804" s="198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199" t="s">
        <v>1468</v>
      </c>
      <c r="J804" s="2">
        <v>2</v>
      </c>
      <c r="K804" s="199" t="s">
        <v>184</v>
      </c>
    </row>
    <row r="805" spans="1:11">
      <c r="A805" s="2">
        <f t="shared" ref="A805:A807" si="42">A804+1</f>
        <v>804</v>
      </c>
      <c r="B805" s="198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199" t="s">
        <v>184</v>
      </c>
    </row>
    <row r="806" spans="1:11">
      <c r="A806" s="2">
        <f t="shared" si="42"/>
        <v>805</v>
      </c>
      <c r="B806" s="198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1443</v>
      </c>
      <c r="J806" s="2">
        <v>1</v>
      </c>
      <c r="K806" s="200" t="s">
        <v>744</v>
      </c>
    </row>
    <row r="807" spans="1:11">
      <c r="A807" s="2">
        <f t="shared" si="42"/>
        <v>806</v>
      </c>
      <c r="B807" s="198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199" t="s">
        <v>382</v>
      </c>
      <c r="J807" s="2">
        <v>1</v>
      </c>
      <c r="K807" s="202" t="s">
        <v>185</v>
      </c>
    </row>
    <row r="808" spans="1:11">
      <c r="A808" s="2">
        <f>A807+1</f>
        <v>807</v>
      </c>
      <c r="B808" s="198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02" t="s">
        <v>184</v>
      </c>
    </row>
    <row r="809" spans="1:11">
      <c r="A809" s="2">
        <f>A808+1</f>
        <v>808</v>
      </c>
      <c r="B809" s="198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693</v>
      </c>
      <c r="J809" s="2">
        <v>1</v>
      </c>
      <c r="K809" s="200" t="s">
        <v>745</v>
      </c>
    </row>
    <row r="810" spans="1:11">
      <c r="A810" s="2">
        <f>A809+1</f>
        <v>809</v>
      </c>
      <c r="B810" s="198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02" t="s">
        <v>186</v>
      </c>
    </row>
    <row r="811" spans="1:11">
      <c r="A811" s="2">
        <f t="shared" ref="A811:A812" si="43">A810+1</f>
        <v>810</v>
      </c>
      <c r="B811" s="198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02" t="s">
        <v>186</v>
      </c>
    </row>
    <row r="812" spans="1:11">
      <c r="A812" s="2">
        <f t="shared" si="43"/>
        <v>811</v>
      </c>
      <c r="B812" s="198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199" t="s">
        <v>360</v>
      </c>
      <c r="J812" s="2">
        <v>1</v>
      </c>
      <c r="K812" s="202" t="s">
        <v>186</v>
      </c>
    </row>
    <row r="813" spans="1:11">
      <c r="A813" s="2">
        <f>A812+1</f>
        <v>812</v>
      </c>
      <c r="B813" s="198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199" t="s">
        <v>320</v>
      </c>
      <c r="J813" s="2">
        <v>1</v>
      </c>
      <c r="K813" s="202" t="s">
        <v>186</v>
      </c>
    </row>
    <row r="814" spans="1:11">
      <c r="A814" s="2">
        <f t="shared" ref="A814:A816" si="44">A813+1</f>
        <v>813</v>
      </c>
      <c r="B814" s="198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693</v>
      </c>
      <c r="J814" s="2">
        <v>1</v>
      </c>
      <c r="K814" s="201" t="s">
        <v>711</v>
      </c>
    </row>
    <row r="815" spans="1:11">
      <c r="A815" s="2">
        <f t="shared" si="44"/>
        <v>814</v>
      </c>
      <c r="B815" s="198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199" t="s">
        <v>1468</v>
      </c>
      <c r="J815" s="2">
        <v>2</v>
      </c>
      <c r="K815" s="199" t="s">
        <v>187</v>
      </c>
    </row>
    <row r="816" spans="1:11">
      <c r="A816" s="2">
        <f t="shared" si="44"/>
        <v>815</v>
      </c>
      <c r="B816" s="198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199" t="s">
        <v>187</v>
      </c>
    </row>
    <row r="817" spans="1:11">
      <c r="A817" s="2">
        <f t="shared" ref="A817:A824" si="45">A816+1</f>
        <v>816</v>
      </c>
      <c r="B817" s="198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199" t="s">
        <v>1466</v>
      </c>
      <c r="J817" s="2">
        <v>2</v>
      </c>
      <c r="K817" s="199" t="s">
        <v>184</v>
      </c>
    </row>
    <row r="818" spans="1:11">
      <c r="A818" s="2">
        <f t="shared" si="45"/>
        <v>817</v>
      </c>
      <c r="B818" s="198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199" t="s">
        <v>1467</v>
      </c>
      <c r="J818" s="2">
        <v>1</v>
      </c>
      <c r="K818" s="199" t="s">
        <v>184</v>
      </c>
    </row>
    <row r="819" spans="1:11">
      <c r="A819" s="2">
        <f t="shared" si="45"/>
        <v>818</v>
      </c>
      <c r="B819" s="198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199" t="s">
        <v>364</v>
      </c>
      <c r="J819" s="2">
        <v>1</v>
      </c>
      <c r="K819" s="199" t="s">
        <v>186</v>
      </c>
    </row>
    <row r="820" spans="1:11">
      <c r="A820" s="2">
        <f t="shared" si="45"/>
        <v>819</v>
      </c>
      <c r="B820" s="198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199" t="s">
        <v>320</v>
      </c>
      <c r="J820" s="2">
        <v>1</v>
      </c>
      <c r="K820" s="199" t="s">
        <v>186</v>
      </c>
    </row>
    <row r="821" spans="1:11">
      <c r="A821" s="2">
        <f t="shared" si="45"/>
        <v>820</v>
      </c>
      <c r="B821" s="198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199" t="s">
        <v>185</v>
      </c>
    </row>
    <row r="822" spans="1:11">
      <c r="A822" s="2">
        <f t="shared" si="45"/>
        <v>821</v>
      </c>
      <c r="B822" s="198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199" t="s">
        <v>187</v>
      </c>
    </row>
    <row r="823" spans="1:11">
      <c r="A823" s="2">
        <f t="shared" si="45"/>
        <v>822</v>
      </c>
      <c r="B823" s="198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02" t="s">
        <v>698</v>
      </c>
      <c r="J823" s="2">
        <v>1</v>
      </c>
      <c r="K823" s="201" t="s">
        <v>744</v>
      </c>
    </row>
    <row r="824" spans="1:11">
      <c r="A824" s="2">
        <f t="shared" si="45"/>
        <v>823</v>
      </c>
      <c r="B824" s="198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693</v>
      </c>
      <c r="J824" s="2">
        <v>1</v>
      </c>
      <c r="K824" s="201" t="s">
        <v>483</v>
      </c>
    </row>
    <row r="825" spans="1:11">
      <c r="A825" s="2">
        <f>A824+1</f>
        <v>824</v>
      </c>
      <c r="B825" s="198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708</v>
      </c>
      <c r="J825" s="2">
        <v>1</v>
      </c>
      <c r="K825" s="200" t="s">
        <v>746</v>
      </c>
    </row>
    <row r="826" spans="1:11">
      <c r="A826" s="2">
        <f>A825+1</f>
        <v>825</v>
      </c>
      <c r="B826" s="198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693</v>
      </c>
      <c r="J826" s="2">
        <v>1</v>
      </c>
      <c r="K826" s="200" t="s">
        <v>747</v>
      </c>
    </row>
    <row r="827" spans="1:11">
      <c r="A827" s="2">
        <f>A826+1</f>
        <v>826</v>
      </c>
      <c r="B827" s="198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199" t="s">
        <v>1470</v>
      </c>
      <c r="J827" s="2">
        <v>1</v>
      </c>
      <c r="K827" s="202" t="s">
        <v>188</v>
      </c>
    </row>
    <row r="828" spans="1:11">
      <c r="A828" s="2">
        <f t="shared" ref="A828:A829" si="46">A827+1</f>
        <v>827</v>
      </c>
      <c r="B828" s="198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02" t="s">
        <v>188</v>
      </c>
    </row>
    <row r="829" spans="1:11">
      <c r="A829" s="2">
        <f t="shared" si="46"/>
        <v>828</v>
      </c>
      <c r="B829" s="198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199" t="s">
        <v>1468</v>
      </c>
      <c r="J829" s="2">
        <v>2</v>
      </c>
      <c r="K829" s="202" t="s">
        <v>185</v>
      </c>
    </row>
    <row r="830" spans="1:11">
      <c r="A830" s="2">
        <f>A829+1</f>
        <v>829</v>
      </c>
      <c r="B830" s="198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02" t="s">
        <v>185</v>
      </c>
    </row>
    <row r="831" spans="1:11">
      <c r="A831" s="2">
        <f>A830+1</f>
        <v>830</v>
      </c>
      <c r="B831" s="198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199" t="s">
        <v>187</v>
      </c>
    </row>
    <row r="832" spans="1:11">
      <c r="A832" s="2">
        <f>A831+1</f>
        <v>831</v>
      </c>
      <c r="B832" s="198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693</v>
      </c>
      <c r="J832" s="2">
        <v>1</v>
      </c>
      <c r="K832" s="36" t="s">
        <v>582</v>
      </c>
    </row>
    <row r="833" spans="1:11">
      <c r="A833" s="2">
        <f t="shared" ref="A833:A834" si="47">A832+1</f>
        <v>832</v>
      </c>
      <c r="B833" s="198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708</v>
      </c>
      <c r="J833" s="2">
        <v>1</v>
      </c>
      <c r="K833" s="36" t="s">
        <v>582</v>
      </c>
    </row>
    <row r="834" spans="1:11">
      <c r="A834" s="2">
        <f t="shared" si="47"/>
        <v>833</v>
      </c>
      <c r="B834" s="198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708</v>
      </c>
      <c r="J834" s="2">
        <v>1</v>
      </c>
      <c r="K834" s="36" t="s">
        <v>599</v>
      </c>
    </row>
    <row r="835" spans="1:11">
      <c r="A835" s="2">
        <f>A834+1</f>
        <v>834</v>
      </c>
      <c r="B835" s="198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199" t="s">
        <v>188</v>
      </c>
    </row>
    <row r="836" spans="1:11">
      <c r="A836" s="2">
        <f t="shared" ref="A836:A839" si="48">A835+1</f>
        <v>835</v>
      </c>
      <c r="B836" s="198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02" t="s">
        <v>698</v>
      </c>
      <c r="J836" s="2">
        <v>1</v>
      </c>
      <c r="K836" s="36" t="s">
        <v>582</v>
      </c>
    </row>
    <row r="837" spans="1:11">
      <c r="A837" s="2">
        <f t="shared" si="48"/>
        <v>836</v>
      </c>
      <c r="B837" s="198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693</v>
      </c>
      <c r="J837" s="2">
        <v>1</v>
      </c>
      <c r="K837" s="201" t="s">
        <v>748</v>
      </c>
    </row>
    <row r="838" spans="1:11">
      <c r="A838" s="2">
        <f t="shared" si="48"/>
        <v>837</v>
      </c>
      <c r="B838" s="198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199" t="s">
        <v>380</v>
      </c>
      <c r="J838" s="2">
        <v>1</v>
      </c>
      <c r="K838" s="202" t="s">
        <v>187</v>
      </c>
    </row>
    <row r="839" spans="1:11">
      <c r="A839" s="2">
        <f t="shared" si="48"/>
        <v>838</v>
      </c>
      <c r="B839" s="198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02" t="s">
        <v>188</v>
      </c>
    </row>
    <row r="840" spans="1:11">
      <c r="A840" s="2">
        <f>A839+1</f>
        <v>839</v>
      </c>
      <c r="B840" s="198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708</v>
      </c>
      <c r="J840" s="2">
        <v>1</v>
      </c>
      <c r="K840" s="200" t="s">
        <v>749</v>
      </c>
    </row>
    <row r="841" spans="1:11">
      <c r="A841" s="2">
        <f>A840+1</f>
        <v>840</v>
      </c>
      <c r="B841" s="198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199" t="s">
        <v>1466</v>
      </c>
      <c r="J841" s="2">
        <v>2</v>
      </c>
      <c r="K841" s="202" t="s">
        <v>188</v>
      </c>
    </row>
    <row r="842" spans="1:11">
      <c r="A842" s="2">
        <f t="shared" ref="A842:A844" si="49">A841+1</f>
        <v>841</v>
      </c>
      <c r="B842" s="198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199" t="s">
        <v>1467</v>
      </c>
      <c r="J842" s="2">
        <v>1</v>
      </c>
      <c r="K842" s="202" t="s">
        <v>188</v>
      </c>
    </row>
    <row r="843" spans="1:11">
      <c r="A843" s="2">
        <f t="shared" si="49"/>
        <v>842</v>
      </c>
      <c r="B843" s="198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199" t="s">
        <v>188</v>
      </c>
    </row>
    <row r="844" spans="1:11">
      <c r="A844" s="2">
        <f t="shared" si="49"/>
        <v>843</v>
      </c>
      <c r="B844" s="198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199" t="s">
        <v>188</v>
      </c>
    </row>
    <row r="845" spans="1:11">
      <c r="A845" s="2">
        <f t="shared" ref="A845:A848" si="50">A844+1</f>
        <v>844</v>
      </c>
      <c r="B845" s="198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199" t="s">
        <v>188</v>
      </c>
    </row>
    <row r="846" spans="1:11">
      <c r="A846" s="2">
        <f t="shared" si="50"/>
        <v>845</v>
      </c>
      <c r="B846" s="198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199" t="s">
        <v>320</v>
      </c>
      <c r="J846" s="2">
        <v>1</v>
      </c>
      <c r="K846" s="202" t="s">
        <v>185</v>
      </c>
    </row>
    <row r="847" spans="1:11">
      <c r="A847" s="2">
        <f t="shared" si="50"/>
        <v>846</v>
      </c>
      <c r="B847" s="198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199" t="s">
        <v>360</v>
      </c>
      <c r="J847" s="2">
        <v>1</v>
      </c>
      <c r="K847" s="202" t="s">
        <v>186</v>
      </c>
    </row>
    <row r="848" spans="1:11">
      <c r="A848" s="2">
        <f t="shared" si="50"/>
        <v>847</v>
      </c>
      <c r="B848" s="198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02" t="s">
        <v>184</v>
      </c>
    </row>
    <row r="849" spans="1:11">
      <c r="A849" s="2">
        <f t="shared" ref="A849:A850" si="51">A848+1</f>
        <v>848</v>
      </c>
      <c r="B849" s="198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199" t="s">
        <v>1460</v>
      </c>
      <c r="J849" s="2">
        <v>1</v>
      </c>
      <c r="K849" s="202" t="s">
        <v>188</v>
      </c>
    </row>
    <row r="850" spans="1:11">
      <c r="A850" s="2">
        <f t="shared" si="51"/>
        <v>849</v>
      </c>
      <c r="B850" s="198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02" t="s">
        <v>188</v>
      </c>
    </row>
    <row r="851" spans="1:11">
      <c r="A851" s="2">
        <f t="shared" ref="A851:A852" si="52">A850+1</f>
        <v>850</v>
      </c>
      <c r="B851" s="198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02" t="s">
        <v>189</v>
      </c>
    </row>
    <row r="852" spans="1:11">
      <c r="A852" s="2">
        <f t="shared" si="52"/>
        <v>851</v>
      </c>
      <c r="B852" s="198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199" t="s">
        <v>380</v>
      </c>
      <c r="J852" s="2">
        <v>1</v>
      </c>
      <c r="K852" s="202" t="s">
        <v>185</v>
      </c>
    </row>
    <row r="853" spans="1:11">
      <c r="A853" s="2">
        <f t="shared" ref="A853:A854" si="53">A852+1</f>
        <v>852</v>
      </c>
      <c r="B853" s="198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199" t="s">
        <v>365</v>
      </c>
      <c r="J853" s="2">
        <v>1</v>
      </c>
      <c r="K853" s="202" t="s">
        <v>189</v>
      </c>
    </row>
    <row r="854" spans="1:11">
      <c r="A854" s="2">
        <f t="shared" si="53"/>
        <v>853</v>
      </c>
      <c r="B854" s="198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199" t="s">
        <v>334</v>
      </c>
      <c r="J854" s="2">
        <v>2</v>
      </c>
      <c r="K854" s="202" t="s">
        <v>185</v>
      </c>
    </row>
    <row r="855" spans="1:11">
      <c r="A855" s="2">
        <f>A854+1</f>
        <v>854</v>
      </c>
      <c r="B855" s="198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02" t="s">
        <v>184</v>
      </c>
    </row>
    <row r="856" spans="1:11">
      <c r="A856" s="2">
        <f t="shared" ref="A856:A857" si="54">A855+1</f>
        <v>855</v>
      </c>
      <c r="B856" s="198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02" t="s">
        <v>189</v>
      </c>
    </row>
    <row r="857" spans="1:11">
      <c r="A857" s="2">
        <f t="shared" si="54"/>
        <v>856</v>
      </c>
      <c r="B857" s="198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199" t="s">
        <v>334</v>
      </c>
      <c r="J857" s="2">
        <v>2</v>
      </c>
      <c r="K857" s="202" t="s">
        <v>185</v>
      </c>
    </row>
    <row r="858" spans="1:11">
      <c r="A858" s="2">
        <f t="shared" ref="A858:A861" si="55">A857+1</f>
        <v>857</v>
      </c>
      <c r="B858" s="198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199" t="s">
        <v>1460</v>
      </c>
      <c r="J858" s="2">
        <v>1</v>
      </c>
      <c r="K858" s="202" t="s">
        <v>184</v>
      </c>
    </row>
    <row r="859" spans="1:11">
      <c r="A859" s="2">
        <f t="shared" si="55"/>
        <v>858</v>
      </c>
      <c r="B859" s="198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199" t="s">
        <v>365</v>
      </c>
      <c r="J859" s="2">
        <v>1</v>
      </c>
      <c r="K859" s="202" t="s">
        <v>189</v>
      </c>
    </row>
    <row r="860" spans="1:11">
      <c r="A860" s="2">
        <f t="shared" si="55"/>
        <v>859</v>
      </c>
      <c r="B860" s="198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02" t="s">
        <v>186</v>
      </c>
    </row>
    <row r="861" spans="1:11">
      <c r="A861" s="2">
        <f t="shared" si="55"/>
        <v>860</v>
      </c>
      <c r="B861" s="198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02" t="s">
        <v>698</v>
      </c>
      <c r="J861" s="2">
        <v>1</v>
      </c>
      <c r="K861" s="200" t="s">
        <v>750</v>
      </c>
    </row>
    <row r="862" spans="1:11">
      <c r="A862" s="2">
        <f t="shared" ref="A862:A868" si="56">A861+1</f>
        <v>861</v>
      </c>
      <c r="B862" s="198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693</v>
      </c>
      <c r="J862" s="2">
        <v>1</v>
      </c>
      <c r="K862" s="200" t="s">
        <v>751</v>
      </c>
    </row>
    <row r="863" spans="1:11">
      <c r="A863" s="2">
        <f t="shared" si="56"/>
        <v>862</v>
      </c>
      <c r="B863" s="198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199" t="s">
        <v>187</v>
      </c>
    </row>
    <row r="864" spans="1:11">
      <c r="A864" s="2">
        <f t="shared" si="56"/>
        <v>863</v>
      </c>
      <c r="B864" s="198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199" t="s">
        <v>188</v>
      </c>
    </row>
    <row r="865" spans="1:11">
      <c r="A865" s="2">
        <f t="shared" si="56"/>
        <v>864</v>
      </c>
      <c r="B865" s="198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693</v>
      </c>
      <c r="J865" s="2">
        <v>1</v>
      </c>
      <c r="K865" s="200" t="s">
        <v>752</v>
      </c>
    </row>
    <row r="866" spans="1:11">
      <c r="A866" s="2">
        <f t="shared" si="56"/>
        <v>865</v>
      </c>
      <c r="B866" s="198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199" t="s">
        <v>365</v>
      </c>
      <c r="J866" s="2">
        <v>1</v>
      </c>
      <c r="K866" s="199" t="s">
        <v>189</v>
      </c>
    </row>
    <row r="867" spans="1:11">
      <c r="A867" s="2">
        <f t="shared" si="56"/>
        <v>866</v>
      </c>
      <c r="B867" s="198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199" t="s">
        <v>188</v>
      </c>
    </row>
    <row r="868" spans="1:11">
      <c r="A868" s="2">
        <f t="shared" si="56"/>
        <v>867</v>
      </c>
      <c r="B868" s="198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199" t="s">
        <v>320</v>
      </c>
      <c r="J868" s="2">
        <v>1</v>
      </c>
      <c r="K868" s="199" t="s">
        <v>186</v>
      </c>
    </row>
    <row r="869" spans="1:11">
      <c r="A869" s="2">
        <f t="shared" ref="A869:A871" si="57">A868+1</f>
        <v>868</v>
      </c>
      <c r="B869" s="198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199" t="s">
        <v>365</v>
      </c>
      <c r="J869" s="2">
        <v>1</v>
      </c>
      <c r="K869" s="202" t="s">
        <v>189</v>
      </c>
    </row>
    <row r="870" spans="1:11">
      <c r="A870" s="2">
        <f t="shared" si="57"/>
        <v>869</v>
      </c>
      <c r="B870" s="198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199" t="s">
        <v>365</v>
      </c>
      <c r="J870" s="2">
        <v>1</v>
      </c>
      <c r="K870" s="202" t="s">
        <v>185</v>
      </c>
    </row>
    <row r="871" spans="1:11">
      <c r="A871" s="2">
        <f t="shared" si="57"/>
        <v>870</v>
      </c>
      <c r="B871" s="198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199" t="s">
        <v>334</v>
      </c>
      <c r="J871" s="2">
        <v>2</v>
      </c>
      <c r="K871" s="202" t="s">
        <v>186</v>
      </c>
    </row>
    <row r="872" spans="1:11">
      <c r="A872" s="2">
        <f>A871+1</f>
        <v>871</v>
      </c>
      <c r="B872" s="198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199" t="s">
        <v>365</v>
      </c>
      <c r="J872" s="2">
        <v>1</v>
      </c>
      <c r="K872" s="202" t="s">
        <v>185</v>
      </c>
    </row>
    <row r="873" spans="1:11">
      <c r="A873" s="2">
        <f t="shared" ref="A873:A874" si="58">A872+1</f>
        <v>872</v>
      </c>
      <c r="B873" s="198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02" t="s">
        <v>186</v>
      </c>
    </row>
    <row r="874" spans="1:11">
      <c r="A874" s="2">
        <f t="shared" si="58"/>
        <v>873</v>
      </c>
      <c r="B874" s="198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02" t="s">
        <v>185</v>
      </c>
    </row>
    <row r="875" spans="1:11">
      <c r="A875" s="2">
        <f t="shared" ref="A875:A878" si="59">A874+1</f>
        <v>874</v>
      </c>
      <c r="B875" s="198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02" t="s">
        <v>187</v>
      </c>
    </row>
    <row r="876" spans="1:11">
      <c r="A876" s="2">
        <f t="shared" si="59"/>
        <v>875</v>
      </c>
      <c r="B876" s="198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199" t="s">
        <v>380</v>
      </c>
      <c r="J876" s="2">
        <v>1</v>
      </c>
      <c r="K876" s="202" t="s">
        <v>186</v>
      </c>
    </row>
    <row r="877" spans="1:11">
      <c r="A877" s="2">
        <f t="shared" si="59"/>
        <v>876</v>
      </c>
      <c r="B877" s="198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02" t="s">
        <v>188</v>
      </c>
    </row>
    <row r="878" spans="1:11">
      <c r="A878" s="2">
        <f t="shared" si="59"/>
        <v>877</v>
      </c>
      <c r="B878" s="198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199" t="s">
        <v>334</v>
      </c>
      <c r="J878" s="2">
        <v>2</v>
      </c>
      <c r="K878" s="202" t="s">
        <v>185</v>
      </c>
    </row>
    <row r="879" spans="1:11">
      <c r="A879" s="2">
        <f>A878+1</f>
        <v>878</v>
      </c>
      <c r="B879" s="198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02" t="s">
        <v>187</v>
      </c>
    </row>
    <row r="880" spans="1:11">
      <c r="A880" s="2">
        <f t="shared" ref="A880:A881" si="60">A879+1</f>
        <v>879</v>
      </c>
      <c r="B880" s="198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02" t="s">
        <v>185</v>
      </c>
    </row>
    <row r="881" spans="1:11">
      <c r="A881" s="2">
        <f t="shared" si="60"/>
        <v>880</v>
      </c>
      <c r="B881" s="198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708</v>
      </c>
      <c r="J881" s="2">
        <v>1</v>
      </c>
      <c r="K881" s="200" t="s">
        <v>750</v>
      </c>
    </row>
    <row r="882" spans="1:11">
      <c r="A882" s="2">
        <f>A881+1</f>
        <v>881</v>
      </c>
      <c r="B882" s="198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02" t="s">
        <v>188</v>
      </c>
    </row>
    <row r="883" spans="1:11">
      <c r="A883" s="2">
        <f t="shared" ref="A883:A884" si="61">A882+1</f>
        <v>882</v>
      </c>
      <c r="B883" s="198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708</v>
      </c>
      <c r="J883" s="2">
        <v>1</v>
      </c>
      <c r="K883" s="201" t="s">
        <v>1471</v>
      </c>
    </row>
    <row r="884" spans="1:11">
      <c r="A884" s="2">
        <f t="shared" si="61"/>
        <v>883</v>
      </c>
      <c r="B884" s="198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708</v>
      </c>
      <c r="J884" s="2">
        <v>1</v>
      </c>
      <c r="K884" s="200" t="s">
        <v>754</v>
      </c>
    </row>
    <row r="885" spans="1:11">
      <c r="A885" s="2">
        <f t="shared" ref="A885:A886" si="62">A884+1</f>
        <v>884</v>
      </c>
      <c r="B885" s="198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199" t="s">
        <v>365</v>
      </c>
      <c r="J885" s="2">
        <v>1</v>
      </c>
      <c r="K885" s="202" t="s">
        <v>189</v>
      </c>
    </row>
    <row r="886" spans="1:11">
      <c r="A886" s="2">
        <f t="shared" si="62"/>
        <v>885</v>
      </c>
      <c r="B886" s="198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693</v>
      </c>
      <c r="J886" s="2">
        <v>1</v>
      </c>
      <c r="K886" s="201" t="s">
        <v>755</v>
      </c>
    </row>
    <row r="887" spans="1:11">
      <c r="A887" s="2">
        <f t="shared" ref="A887:A890" si="63">A886+1</f>
        <v>886</v>
      </c>
      <c r="B887" s="198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708</v>
      </c>
      <c r="J887" s="2">
        <v>1</v>
      </c>
      <c r="K887" s="201" t="s">
        <v>756</v>
      </c>
    </row>
    <row r="888" spans="1:11">
      <c r="A888" s="2">
        <f t="shared" si="63"/>
        <v>887</v>
      </c>
      <c r="B888" s="198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199" t="s">
        <v>320</v>
      </c>
      <c r="J888" s="2">
        <v>1</v>
      </c>
      <c r="K888" s="202" t="s">
        <v>187</v>
      </c>
    </row>
    <row r="889" spans="1:11">
      <c r="A889" s="2">
        <f t="shared" si="63"/>
        <v>888</v>
      </c>
      <c r="B889" s="198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199" t="s">
        <v>365</v>
      </c>
      <c r="J889" s="2">
        <v>1</v>
      </c>
      <c r="K889" s="202" t="s">
        <v>189</v>
      </c>
    </row>
    <row r="890" spans="1:11">
      <c r="A890" s="2">
        <f t="shared" si="63"/>
        <v>889</v>
      </c>
      <c r="B890" s="198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693</v>
      </c>
      <c r="J890" s="2">
        <v>1</v>
      </c>
      <c r="K890" s="201" t="s">
        <v>757</v>
      </c>
    </row>
    <row r="891" spans="1:11">
      <c r="A891" s="2">
        <f>A890+1</f>
        <v>890</v>
      </c>
      <c r="B891" s="198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199" t="s">
        <v>186</v>
      </c>
    </row>
    <row r="892" spans="1:11">
      <c r="A892" s="2">
        <f t="shared" ref="A892:A893" si="64">A891+1</f>
        <v>891</v>
      </c>
      <c r="B892" s="198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02" t="s">
        <v>187</v>
      </c>
    </row>
    <row r="893" spans="1:11">
      <c r="A893" s="2">
        <f t="shared" si="64"/>
        <v>892</v>
      </c>
      <c r="B893" s="198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02" t="s">
        <v>186</v>
      </c>
    </row>
    <row r="894" spans="1:11">
      <c r="A894" s="2">
        <f>A893+1</f>
        <v>893</v>
      </c>
      <c r="B894" s="198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199" t="s">
        <v>334</v>
      </c>
      <c r="J894" s="2">
        <v>2</v>
      </c>
      <c r="K894" s="202" t="s">
        <v>186</v>
      </c>
    </row>
    <row r="895" spans="1:11">
      <c r="A895" s="2">
        <f t="shared" ref="A895:A896" si="65">A894+1</f>
        <v>894</v>
      </c>
      <c r="B895" s="198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693</v>
      </c>
      <c r="J895" s="2">
        <v>1</v>
      </c>
      <c r="K895" s="200" t="s">
        <v>591</v>
      </c>
    </row>
    <row r="896" spans="1:11">
      <c r="A896" s="2">
        <f t="shared" si="65"/>
        <v>895</v>
      </c>
      <c r="B896" s="198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02" t="s">
        <v>189</v>
      </c>
    </row>
    <row r="897" spans="1:11">
      <c r="A897" s="2">
        <f>A896+1</f>
        <v>896</v>
      </c>
      <c r="B897" s="198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02" t="s">
        <v>698</v>
      </c>
      <c r="J897" s="2">
        <v>1</v>
      </c>
      <c r="K897" s="200" t="s">
        <v>758</v>
      </c>
    </row>
    <row r="898" spans="1:11">
      <c r="A898" s="2">
        <f>A897+1</f>
        <v>897</v>
      </c>
      <c r="B898" s="198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708</v>
      </c>
      <c r="J898" s="2">
        <v>1</v>
      </c>
      <c r="K898" s="200" t="s">
        <v>759</v>
      </c>
    </row>
    <row r="899" spans="1:11">
      <c r="A899" s="2">
        <f>A898+1</f>
        <v>898</v>
      </c>
      <c r="B899" s="198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199" t="s">
        <v>389</v>
      </c>
      <c r="J899" s="2">
        <v>2</v>
      </c>
      <c r="K899" s="202" t="s">
        <v>185</v>
      </c>
    </row>
    <row r="900" spans="1:11">
      <c r="A900" s="2">
        <f>A899+1</f>
        <v>899</v>
      </c>
      <c r="B900" s="198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199" t="s">
        <v>186</v>
      </c>
    </row>
    <row r="901" spans="1:11">
      <c r="A901" s="2">
        <f t="shared" ref="A901:A902" si="66">A900+1</f>
        <v>900</v>
      </c>
      <c r="B901" s="198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199" t="s">
        <v>186</v>
      </c>
    </row>
    <row r="902" spans="1:11">
      <c r="A902" s="2">
        <f t="shared" si="66"/>
        <v>901</v>
      </c>
      <c r="B902" s="198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199" t="s">
        <v>186</v>
      </c>
    </row>
    <row r="903" spans="1:11">
      <c r="A903" s="2">
        <f t="shared" ref="A903:A905" si="67">A902+1</f>
        <v>902</v>
      </c>
      <c r="B903" s="198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199" t="s">
        <v>187</v>
      </c>
    </row>
    <row r="904" spans="1:11">
      <c r="A904" s="2">
        <f t="shared" si="67"/>
        <v>903</v>
      </c>
      <c r="B904" s="198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693</v>
      </c>
      <c r="J904" s="2">
        <v>1</v>
      </c>
      <c r="K904" s="200" t="s">
        <v>610</v>
      </c>
    </row>
    <row r="905" spans="1:11">
      <c r="A905" s="2">
        <f t="shared" si="67"/>
        <v>904</v>
      </c>
      <c r="B905" s="198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199" t="s">
        <v>184</v>
      </c>
    </row>
    <row r="906" spans="1:11">
      <c r="A906" s="2">
        <f t="shared" ref="A906:A911" si="68">A905+1</f>
        <v>905</v>
      </c>
      <c r="B906" s="198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708</v>
      </c>
      <c r="J906" s="2">
        <v>1</v>
      </c>
      <c r="K906" s="200" t="s">
        <v>760</v>
      </c>
    </row>
    <row r="907" spans="1:11">
      <c r="A907" s="2">
        <f t="shared" si="68"/>
        <v>906</v>
      </c>
      <c r="B907" s="198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708</v>
      </c>
      <c r="J907" s="2">
        <v>1</v>
      </c>
      <c r="K907" s="200" t="s">
        <v>549</v>
      </c>
    </row>
    <row r="908" spans="1:11">
      <c r="A908" s="2">
        <f t="shared" si="68"/>
        <v>907</v>
      </c>
      <c r="B908" s="198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02" t="s">
        <v>698</v>
      </c>
      <c r="J908" s="2">
        <v>1</v>
      </c>
      <c r="K908" s="200" t="s">
        <v>761</v>
      </c>
    </row>
    <row r="909" spans="1:11">
      <c r="A909" s="2">
        <f t="shared" si="68"/>
        <v>908</v>
      </c>
      <c r="B909" s="198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199" t="s">
        <v>187</v>
      </c>
    </row>
    <row r="910" spans="1:11">
      <c r="A910" s="2">
        <f t="shared" si="68"/>
        <v>909</v>
      </c>
      <c r="B910" s="198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02" t="s">
        <v>698</v>
      </c>
      <c r="J910" s="2">
        <v>1</v>
      </c>
      <c r="K910" s="200" t="s">
        <v>750</v>
      </c>
    </row>
    <row r="911" spans="1:11">
      <c r="A911" s="2">
        <f t="shared" si="68"/>
        <v>910</v>
      </c>
      <c r="B911" s="198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199" t="s">
        <v>334</v>
      </c>
      <c r="J911" s="2">
        <v>2</v>
      </c>
      <c r="K911" s="202" t="s">
        <v>185</v>
      </c>
    </row>
    <row r="912" spans="1:11">
      <c r="A912" s="2">
        <f t="shared" ref="A912:A913" si="69">A911+1</f>
        <v>911</v>
      </c>
      <c r="B912" s="198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02" t="s">
        <v>189</v>
      </c>
    </row>
    <row r="913" spans="1:11">
      <c r="A913" s="2">
        <f t="shared" si="69"/>
        <v>912</v>
      </c>
      <c r="B913" s="198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02" t="s">
        <v>698</v>
      </c>
      <c r="J913" s="2">
        <v>1</v>
      </c>
      <c r="K913" s="200" t="s">
        <v>762</v>
      </c>
    </row>
    <row r="914" spans="1:11">
      <c r="A914" s="2">
        <f t="shared" ref="A914:A915" si="70">A913+1</f>
        <v>913</v>
      </c>
      <c r="B914" s="198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02" t="s">
        <v>698</v>
      </c>
      <c r="J914" s="2">
        <v>1</v>
      </c>
      <c r="K914" s="201" t="s">
        <v>763</v>
      </c>
    </row>
    <row r="915" spans="1:11">
      <c r="A915" s="2">
        <f t="shared" si="70"/>
        <v>914</v>
      </c>
      <c r="B915" s="198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708</v>
      </c>
      <c r="J915" s="2">
        <v>1</v>
      </c>
      <c r="K915" s="201" t="s">
        <v>734</v>
      </c>
    </row>
    <row r="916" spans="1:11">
      <c r="A916" s="2">
        <f t="shared" ref="A916:A922" si="71">A915+1</f>
        <v>915</v>
      </c>
      <c r="B916" s="198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02" t="s">
        <v>698</v>
      </c>
      <c r="J916" s="2">
        <v>2</v>
      </c>
      <c r="K916" s="201" t="s">
        <v>764</v>
      </c>
    </row>
    <row r="917" spans="1:11">
      <c r="A917" s="2">
        <f t="shared" si="71"/>
        <v>916</v>
      </c>
      <c r="B917" s="198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693</v>
      </c>
      <c r="J917" s="2">
        <v>1</v>
      </c>
      <c r="K917" s="201" t="s">
        <v>765</v>
      </c>
    </row>
    <row r="918" spans="1:11">
      <c r="A918" s="2">
        <f t="shared" si="71"/>
        <v>917</v>
      </c>
      <c r="B918" s="198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02" t="s">
        <v>698</v>
      </c>
      <c r="J918" s="2">
        <v>1</v>
      </c>
      <c r="K918" s="201" t="s">
        <v>507</v>
      </c>
    </row>
    <row r="919" spans="1:11">
      <c r="A919" s="2">
        <f t="shared" si="71"/>
        <v>918</v>
      </c>
      <c r="B919" s="198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199" t="s">
        <v>184</v>
      </c>
    </row>
    <row r="920" spans="1:11">
      <c r="A920" s="2">
        <f t="shared" si="71"/>
        <v>919</v>
      </c>
      <c r="B920" s="198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199" t="s">
        <v>334</v>
      </c>
      <c r="J920" s="2">
        <v>2</v>
      </c>
      <c r="K920" s="199" t="s">
        <v>184</v>
      </c>
    </row>
    <row r="921" spans="1:11">
      <c r="A921" s="2">
        <f t="shared" si="71"/>
        <v>920</v>
      </c>
      <c r="B921" s="198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199" t="s">
        <v>187</v>
      </c>
    </row>
    <row r="922" spans="1:11">
      <c r="A922" s="2">
        <f t="shared" si="71"/>
        <v>921</v>
      </c>
      <c r="B922" s="198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199" t="s">
        <v>184</v>
      </c>
    </row>
    <row r="923" spans="1:11">
      <c r="A923" s="2">
        <f t="shared" ref="A923:A924" si="72">A922+1</f>
        <v>922</v>
      </c>
      <c r="B923" s="198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199" t="s">
        <v>334</v>
      </c>
      <c r="J923" s="2">
        <v>2</v>
      </c>
      <c r="K923" s="202" t="s">
        <v>187</v>
      </c>
    </row>
    <row r="924" spans="1:11">
      <c r="A924" s="2">
        <f t="shared" si="72"/>
        <v>923</v>
      </c>
      <c r="B924" s="198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708</v>
      </c>
      <c r="J924" s="2">
        <v>1</v>
      </c>
      <c r="K924" s="200" t="s">
        <v>738</v>
      </c>
    </row>
    <row r="925" spans="1:11">
      <c r="A925" s="2">
        <f>A924+1</f>
        <v>924</v>
      </c>
      <c r="B925" s="198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02" t="s">
        <v>184</v>
      </c>
    </row>
    <row r="926" spans="1:11">
      <c r="A926" s="2">
        <f>A925+1</f>
        <v>925</v>
      </c>
      <c r="B926" s="198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02" t="s">
        <v>184</v>
      </c>
    </row>
    <row r="927" spans="1:11">
      <c r="A927" s="2">
        <f>A926+1</f>
        <v>926</v>
      </c>
      <c r="B927" s="198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199" t="s">
        <v>334</v>
      </c>
      <c r="J927" s="2">
        <v>2</v>
      </c>
      <c r="K927" s="202" t="s">
        <v>187</v>
      </c>
    </row>
    <row r="928" spans="1:11">
      <c r="A928" s="2">
        <f t="shared" ref="A928:A935" si="73">A927+1</f>
        <v>927</v>
      </c>
      <c r="B928" s="198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02" t="s">
        <v>698</v>
      </c>
      <c r="J928" s="2">
        <v>1</v>
      </c>
      <c r="K928" s="200" t="s">
        <v>766</v>
      </c>
    </row>
    <row r="929" spans="1:11">
      <c r="A929" s="2">
        <f t="shared" si="73"/>
        <v>928</v>
      </c>
      <c r="B929" s="198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693</v>
      </c>
      <c r="J929" s="2">
        <v>1</v>
      </c>
      <c r="K929" s="201" t="s">
        <v>754</v>
      </c>
    </row>
    <row r="930" spans="1:11">
      <c r="A930" s="2">
        <f t="shared" si="73"/>
        <v>929</v>
      </c>
      <c r="B930" s="198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693</v>
      </c>
      <c r="J930" s="2">
        <v>1</v>
      </c>
      <c r="K930" s="201" t="s">
        <v>743</v>
      </c>
    </row>
    <row r="931" spans="1:11">
      <c r="A931" s="2">
        <f t="shared" si="73"/>
        <v>930</v>
      </c>
      <c r="B931" s="198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02" t="s">
        <v>187</v>
      </c>
    </row>
    <row r="932" spans="1:11">
      <c r="A932" s="2">
        <f t="shared" si="73"/>
        <v>931</v>
      </c>
      <c r="B932" s="198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02" t="s">
        <v>187</v>
      </c>
    </row>
    <row r="933" spans="1:11">
      <c r="A933" s="2">
        <f t="shared" si="73"/>
        <v>932</v>
      </c>
      <c r="B933" s="198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199" t="s">
        <v>364</v>
      </c>
      <c r="J933" s="2">
        <v>1</v>
      </c>
      <c r="K933" s="202" t="s">
        <v>187</v>
      </c>
    </row>
    <row r="934" spans="1:11">
      <c r="A934" s="2">
        <f t="shared" si="73"/>
        <v>933</v>
      </c>
      <c r="B934" s="198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199" t="s">
        <v>1460</v>
      </c>
      <c r="J934" s="2">
        <v>1</v>
      </c>
      <c r="K934" s="202" t="s">
        <v>187</v>
      </c>
    </row>
    <row r="935" spans="1:11">
      <c r="A935" s="2">
        <f t="shared" si="73"/>
        <v>934</v>
      </c>
      <c r="B935" s="198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199" t="s">
        <v>286</v>
      </c>
      <c r="J935" s="2">
        <v>1</v>
      </c>
      <c r="K935" s="199" t="s">
        <v>187</v>
      </c>
    </row>
    <row r="936" spans="1:11">
      <c r="A936" s="2">
        <f>A935+1</f>
        <v>935</v>
      </c>
      <c r="B936" s="198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02" t="s">
        <v>698</v>
      </c>
      <c r="J936" s="2">
        <v>1</v>
      </c>
      <c r="K936" s="201" t="s">
        <v>767</v>
      </c>
    </row>
    <row r="937" spans="1:11">
      <c r="A937" s="2">
        <f t="shared" ref="A937:A938" si="74">A936+1</f>
        <v>936</v>
      </c>
      <c r="B937" s="198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02" t="s">
        <v>188</v>
      </c>
    </row>
    <row r="938" spans="1:11">
      <c r="A938" s="2">
        <f t="shared" si="74"/>
        <v>937</v>
      </c>
      <c r="B938" s="198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199" t="s">
        <v>334</v>
      </c>
      <c r="J938" s="2">
        <v>2</v>
      </c>
      <c r="K938" s="202" t="s">
        <v>189</v>
      </c>
    </row>
    <row r="939" spans="1:11">
      <c r="A939" s="2">
        <f>A938+1</f>
        <v>938</v>
      </c>
      <c r="B939" s="198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693</v>
      </c>
      <c r="J939" s="2">
        <v>1</v>
      </c>
      <c r="K939" s="201" t="s">
        <v>768</v>
      </c>
    </row>
    <row r="940" spans="1:11">
      <c r="A940" s="2">
        <f t="shared" ref="A940:A941" si="75">A939+1</f>
        <v>939</v>
      </c>
      <c r="B940" s="198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02" t="s">
        <v>189</v>
      </c>
    </row>
    <row r="941" spans="1:11">
      <c r="A941" s="2">
        <f t="shared" si="75"/>
        <v>940</v>
      </c>
      <c r="B941" s="198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02" t="s">
        <v>698</v>
      </c>
      <c r="J941" s="2">
        <v>1</v>
      </c>
      <c r="K941" s="201" t="s">
        <v>753</v>
      </c>
    </row>
    <row r="942" spans="1:11">
      <c r="A942" s="2">
        <f>A941+1</f>
        <v>941</v>
      </c>
      <c r="B942" s="198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199" t="s">
        <v>286</v>
      </c>
      <c r="J942" s="2">
        <v>1</v>
      </c>
      <c r="K942" s="199" t="s">
        <v>187</v>
      </c>
    </row>
    <row r="943" spans="1:11">
      <c r="A943" s="2">
        <f t="shared" ref="A943:A944" si="76">A942+1</f>
        <v>942</v>
      </c>
      <c r="B943" s="198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02" t="s">
        <v>185</v>
      </c>
    </row>
    <row r="944" spans="1:11">
      <c r="A944" s="2">
        <f t="shared" si="76"/>
        <v>943</v>
      </c>
      <c r="B944" s="198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02" t="s">
        <v>184</v>
      </c>
    </row>
    <row r="945" spans="1:11">
      <c r="A945" s="2">
        <f t="shared" ref="A945:A946" si="77">A944+1</f>
        <v>944</v>
      </c>
      <c r="B945" s="198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02" t="s">
        <v>188</v>
      </c>
    </row>
    <row r="946" spans="1:11">
      <c r="A946" s="2">
        <f t="shared" si="77"/>
        <v>945</v>
      </c>
      <c r="B946" s="198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199" t="s">
        <v>1465</v>
      </c>
      <c r="J946" s="2">
        <v>1</v>
      </c>
      <c r="K946" s="202" t="s">
        <v>188</v>
      </c>
    </row>
    <row r="947" spans="1:11">
      <c r="A947" s="2">
        <f>A946+1</f>
        <v>946</v>
      </c>
      <c r="B947" s="198" t="s">
        <v>210</v>
      </c>
      <c r="C947" s="2">
        <v>2024</v>
      </c>
      <c r="D947" s="2" t="s">
        <v>211</v>
      </c>
      <c r="E947" s="2" t="s">
        <v>211</v>
      </c>
      <c r="F947" s="31">
        <v>45292</v>
      </c>
      <c r="G947" s="2">
        <v>31</v>
      </c>
      <c r="H947" s="19">
        <v>45292</v>
      </c>
      <c r="I947" t="s">
        <v>328</v>
      </c>
      <c r="J947" s="2">
        <v>1</v>
      </c>
      <c r="K947" s="202" t="s">
        <v>188</v>
      </c>
    </row>
    <row r="948" spans="1:11">
      <c r="A948" s="2">
        <f>A947+1</f>
        <v>947</v>
      </c>
      <c r="B948" s="198" t="s">
        <v>210</v>
      </c>
      <c r="C948" s="2">
        <v>2024</v>
      </c>
      <c r="D948" s="2" t="s">
        <v>211</v>
      </c>
      <c r="E948" s="2" t="s">
        <v>211</v>
      </c>
      <c r="F948" s="31">
        <v>45292</v>
      </c>
      <c r="G948" s="2">
        <v>31</v>
      </c>
      <c r="H948" s="19">
        <v>45292</v>
      </c>
      <c r="I948" t="s">
        <v>319</v>
      </c>
      <c r="J948" s="2">
        <v>1</v>
      </c>
      <c r="K948" s="202" t="s">
        <v>188</v>
      </c>
    </row>
    <row r="949" spans="1:11">
      <c r="A949" s="2">
        <f>A948+1</f>
        <v>948</v>
      </c>
      <c r="B949" s="198" t="s">
        <v>210</v>
      </c>
      <c r="C949" s="2">
        <v>2024</v>
      </c>
      <c r="D949" s="2" t="s">
        <v>211</v>
      </c>
      <c r="E949" s="2" t="s">
        <v>211</v>
      </c>
      <c r="F949" s="31">
        <v>45292</v>
      </c>
      <c r="G949" s="2">
        <v>31</v>
      </c>
      <c r="H949" s="19">
        <v>45293</v>
      </c>
      <c r="I949" s="3" t="s">
        <v>693</v>
      </c>
      <c r="J949" s="2">
        <v>1</v>
      </c>
      <c r="K949" s="201" t="s">
        <v>769</v>
      </c>
    </row>
    <row r="950" spans="1:11">
      <c r="A950" s="2">
        <f>A949+1</f>
        <v>949</v>
      </c>
      <c r="B950" s="198" t="s">
        <v>210</v>
      </c>
      <c r="C950" s="2">
        <v>2024</v>
      </c>
      <c r="D950" s="2" t="s">
        <v>211</v>
      </c>
      <c r="E950" s="2" t="s">
        <v>211</v>
      </c>
      <c r="F950" s="31">
        <v>45292</v>
      </c>
      <c r="G950" s="2">
        <v>31</v>
      </c>
      <c r="H950" s="19">
        <v>45293</v>
      </c>
      <c r="I950" s="3" t="s">
        <v>693</v>
      </c>
      <c r="J950" s="2">
        <v>1</v>
      </c>
      <c r="K950" s="201" t="s">
        <v>770</v>
      </c>
    </row>
    <row r="951" spans="1:11">
      <c r="A951" s="2">
        <f>A950+1</f>
        <v>950</v>
      </c>
      <c r="B951" s="198" t="s">
        <v>210</v>
      </c>
      <c r="C951" s="2">
        <v>2024</v>
      </c>
      <c r="D951" s="2" t="s">
        <v>211</v>
      </c>
      <c r="E951" s="2" t="s">
        <v>211</v>
      </c>
      <c r="F951" s="31">
        <v>45292</v>
      </c>
      <c r="G951" s="2">
        <v>31</v>
      </c>
      <c r="H951" s="19">
        <v>45294</v>
      </c>
      <c r="I951" t="s">
        <v>384</v>
      </c>
      <c r="J951" s="2">
        <v>2</v>
      </c>
      <c r="K951" s="202" t="s">
        <v>184</v>
      </c>
    </row>
    <row r="952" spans="1:11">
      <c r="A952" s="2">
        <f t="shared" ref="A952:A953" si="78">A951+1</f>
        <v>951</v>
      </c>
      <c r="B952" s="198" t="s">
        <v>210</v>
      </c>
      <c r="C952" s="2">
        <v>2024</v>
      </c>
      <c r="D952" s="2" t="s">
        <v>211</v>
      </c>
      <c r="E952" s="2" t="s">
        <v>211</v>
      </c>
      <c r="F952" s="31">
        <v>45292</v>
      </c>
      <c r="G952" s="2">
        <v>31</v>
      </c>
      <c r="H952" s="19">
        <v>45295</v>
      </c>
      <c r="I952" t="s">
        <v>328</v>
      </c>
      <c r="J952" s="2">
        <v>1</v>
      </c>
      <c r="K952" s="202" t="s">
        <v>185</v>
      </c>
    </row>
    <row r="953" spans="1:11">
      <c r="A953" s="2">
        <f t="shared" si="78"/>
        <v>952</v>
      </c>
      <c r="B953" s="198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199" t="s">
        <v>364</v>
      </c>
      <c r="J953" s="2">
        <v>1</v>
      </c>
      <c r="K953" s="199" t="s">
        <v>187</v>
      </c>
    </row>
    <row r="954" spans="1:11">
      <c r="A954" s="2">
        <f>A953+1</f>
        <v>953</v>
      </c>
      <c r="B954" s="198" t="s">
        <v>210</v>
      </c>
      <c r="C954" s="2">
        <v>2024</v>
      </c>
      <c r="D954" s="2" t="s">
        <v>211</v>
      </c>
      <c r="E954" s="2" t="s">
        <v>211</v>
      </c>
      <c r="F954" s="31">
        <v>45292</v>
      </c>
      <c r="G954" s="2">
        <v>31</v>
      </c>
      <c r="H954" s="19">
        <v>45297</v>
      </c>
      <c r="I954" t="s">
        <v>384</v>
      </c>
      <c r="J954" s="2">
        <v>1</v>
      </c>
      <c r="K954" s="202" t="s">
        <v>188</v>
      </c>
    </row>
    <row r="955" spans="1:11">
      <c r="A955" s="2">
        <f t="shared" ref="A955:A974" si="79">A954+1</f>
        <v>954</v>
      </c>
      <c r="B955" s="198" t="s">
        <v>210</v>
      </c>
      <c r="C955" s="2">
        <v>2024</v>
      </c>
      <c r="D955" s="2" t="s">
        <v>211</v>
      </c>
      <c r="E955" s="2" t="s">
        <v>211</v>
      </c>
      <c r="F955" s="31">
        <v>45292</v>
      </c>
      <c r="G955" s="2">
        <v>31</v>
      </c>
      <c r="H955" s="19">
        <v>45297</v>
      </c>
      <c r="I955" t="s">
        <v>328</v>
      </c>
      <c r="J955" s="2">
        <v>1</v>
      </c>
      <c r="K955" s="202" t="s">
        <v>184</v>
      </c>
    </row>
    <row r="956" spans="1:11">
      <c r="A956" s="2">
        <f t="shared" si="79"/>
        <v>955</v>
      </c>
      <c r="B956" s="198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199" t="s">
        <v>771</v>
      </c>
      <c r="J956" s="2">
        <v>1</v>
      </c>
      <c r="K956" s="202" t="s">
        <v>184</v>
      </c>
    </row>
    <row r="957" spans="1:11">
      <c r="A957" s="2">
        <f t="shared" si="79"/>
        <v>956</v>
      </c>
      <c r="B957" s="198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199" t="s">
        <v>334</v>
      </c>
      <c r="J957" s="2">
        <v>2</v>
      </c>
      <c r="K957" s="199" t="s">
        <v>184</v>
      </c>
    </row>
    <row r="958" spans="1:11">
      <c r="A958" s="2">
        <f t="shared" si="79"/>
        <v>957</v>
      </c>
      <c r="B958" s="198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199" t="s">
        <v>189</v>
      </c>
    </row>
    <row r="959" spans="1:11">
      <c r="A959" s="2">
        <f t="shared" si="79"/>
        <v>958</v>
      </c>
      <c r="B959" s="198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199" t="s">
        <v>185</v>
      </c>
    </row>
    <row r="960" spans="1:11">
      <c r="A960" s="2">
        <f t="shared" si="79"/>
        <v>959</v>
      </c>
      <c r="B960" s="198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199" t="s">
        <v>334</v>
      </c>
      <c r="J960" s="2">
        <v>2</v>
      </c>
      <c r="K960" s="199" t="s">
        <v>188</v>
      </c>
    </row>
    <row r="961" spans="1:11">
      <c r="A961" s="2">
        <f t="shared" si="79"/>
        <v>960</v>
      </c>
      <c r="B961" s="198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199" t="s">
        <v>188</v>
      </c>
    </row>
    <row r="962" spans="1:11">
      <c r="A962" s="2">
        <f t="shared" si="79"/>
        <v>961</v>
      </c>
      <c r="B962" s="198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199" t="s">
        <v>188</v>
      </c>
    </row>
    <row r="963" spans="1:11">
      <c r="A963" s="2">
        <f t="shared" si="79"/>
        <v>962</v>
      </c>
      <c r="B963" s="198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199" t="s">
        <v>185</v>
      </c>
    </row>
    <row r="964" spans="1:11">
      <c r="A964" s="2">
        <f t="shared" si="79"/>
        <v>963</v>
      </c>
      <c r="B964" s="198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1472</v>
      </c>
      <c r="J964" s="2">
        <v>1</v>
      </c>
      <c r="K964" s="199" t="s">
        <v>188</v>
      </c>
    </row>
    <row r="965" spans="1:11">
      <c r="A965" s="2">
        <f t="shared" si="79"/>
        <v>964</v>
      </c>
      <c r="B965" s="198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1472</v>
      </c>
      <c r="J965" s="2">
        <v>1</v>
      </c>
      <c r="K965" s="199" t="s">
        <v>185</v>
      </c>
    </row>
    <row r="966" spans="1:11">
      <c r="A966" s="2">
        <f t="shared" si="79"/>
        <v>965</v>
      </c>
      <c r="B966" s="198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693</v>
      </c>
      <c r="J966" s="2">
        <v>1</v>
      </c>
      <c r="K966" s="200" t="s">
        <v>772</v>
      </c>
    </row>
    <row r="967" spans="1:11">
      <c r="A967" s="2">
        <f t="shared" si="79"/>
        <v>966</v>
      </c>
      <c r="B967" s="198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199" t="s">
        <v>334</v>
      </c>
      <c r="J967" s="2">
        <v>2</v>
      </c>
      <c r="K967" s="199" t="s">
        <v>185</v>
      </c>
    </row>
    <row r="968" spans="1:11">
      <c r="A968" s="2">
        <f t="shared" si="79"/>
        <v>967</v>
      </c>
      <c r="B968" s="198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199" t="s">
        <v>334</v>
      </c>
      <c r="J968" s="2">
        <v>2</v>
      </c>
      <c r="K968" s="199" t="s">
        <v>185</v>
      </c>
    </row>
    <row r="969" spans="1:11">
      <c r="A969" s="2">
        <f t="shared" si="79"/>
        <v>968</v>
      </c>
      <c r="B969" s="198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199" t="s">
        <v>188</v>
      </c>
    </row>
    <row r="970" spans="1:11">
      <c r="A970" s="2">
        <f t="shared" si="79"/>
        <v>969</v>
      </c>
      <c r="B970" s="198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199" t="s">
        <v>188</v>
      </c>
    </row>
    <row r="971" spans="1:11">
      <c r="A971" s="2">
        <f t="shared" si="79"/>
        <v>970</v>
      </c>
      <c r="B971" s="198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199" t="s">
        <v>184</v>
      </c>
    </row>
    <row r="972" spans="1:11">
      <c r="A972" s="2">
        <f t="shared" si="79"/>
        <v>971</v>
      </c>
      <c r="B972" s="198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199" t="s">
        <v>187</v>
      </c>
    </row>
    <row r="973" spans="1:11">
      <c r="A973" s="2">
        <f t="shared" si="79"/>
        <v>972</v>
      </c>
      <c r="B973" s="198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199" t="s">
        <v>184</v>
      </c>
    </row>
    <row r="974" spans="1:11">
      <c r="A974" s="2">
        <f t="shared" si="79"/>
        <v>973</v>
      </c>
      <c r="B974" s="198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199" t="s">
        <v>187</v>
      </c>
    </row>
    <row r="975" spans="1:11">
      <c r="A975" s="2">
        <f t="shared" ref="A975:A976" si="80">A974+1</f>
        <v>974</v>
      </c>
      <c r="B975" s="198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02" t="s">
        <v>187</v>
      </c>
    </row>
    <row r="976" spans="1:11">
      <c r="A976" s="2">
        <f t="shared" si="80"/>
        <v>975</v>
      </c>
      <c r="B976" s="198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02" t="s">
        <v>187</v>
      </c>
    </row>
    <row r="977" spans="1:11">
      <c r="A977" s="2">
        <f>A976+1</f>
        <v>976</v>
      </c>
      <c r="B977" s="198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02" t="s">
        <v>189</v>
      </c>
    </row>
    <row r="978" spans="1:11">
      <c r="A978" s="2">
        <f t="shared" ref="A978:A979" si="81">A977+1</f>
        <v>977</v>
      </c>
      <c r="B978" s="198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693</v>
      </c>
      <c r="J978" s="2">
        <v>1</v>
      </c>
      <c r="K978" s="200" t="s">
        <v>697</v>
      </c>
    </row>
    <row r="979" spans="1:11">
      <c r="A979" s="2">
        <f t="shared" si="81"/>
        <v>978</v>
      </c>
      <c r="B979" s="198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02" t="s">
        <v>698</v>
      </c>
      <c r="J979" s="2">
        <v>1</v>
      </c>
      <c r="K979" s="200" t="s">
        <v>773</v>
      </c>
    </row>
    <row r="980" spans="1:11">
      <c r="A980" s="2">
        <f t="shared" ref="A980:A982" si="82">A979+1</f>
        <v>979</v>
      </c>
      <c r="B980" s="198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02" t="s">
        <v>188</v>
      </c>
    </row>
    <row r="981" spans="1:11">
      <c r="A981" s="2">
        <f t="shared" si="82"/>
        <v>980</v>
      </c>
      <c r="B981" s="198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02" t="s">
        <v>188</v>
      </c>
    </row>
    <row r="982" spans="1:11">
      <c r="A982" s="2">
        <f t="shared" si="82"/>
        <v>981</v>
      </c>
      <c r="B982" s="198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199" t="s">
        <v>320</v>
      </c>
      <c r="J982" s="2">
        <v>1</v>
      </c>
      <c r="K982" s="202" t="s">
        <v>188</v>
      </c>
    </row>
    <row r="983" spans="1:11">
      <c r="A983" s="2">
        <f t="shared" ref="A983:A984" si="83">A982+1</f>
        <v>982</v>
      </c>
      <c r="B983" s="198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02" t="s">
        <v>184</v>
      </c>
    </row>
    <row r="984" spans="1:11">
      <c r="A984" s="2">
        <f t="shared" si="83"/>
        <v>983</v>
      </c>
      <c r="B984" s="198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02" t="s">
        <v>189</v>
      </c>
    </row>
    <row r="985" spans="1:11">
      <c r="A985" s="2">
        <f>A984+1</f>
        <v>984</v>
      </c>
      <c r="B985" s="198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693</v>
      </c>
      <c r="J985" s="2">
        <v>1</v>
      </c>
      <c r="K985" s="200" t="s">
        <v>774</v>
      </c>
    </row>
    <row r="986" spans="1:11">
      <c r="A986" s="2">
        <f>A985+1</f>
        <v>985</v>
      </c>
      <c r="B986" s="198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198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02" t="s">
        <v>189</v>
      </c>
    </row>
    <row r="988" spans="1:11">
      <c r="A988" s="2">
        <f>A987+1</f>
        <v>987</v>
      </c>
      <c r="B988" s="198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199" t="s">
        <v>184</v>
      </c>
    </row>
    <row r="989" spans="1:11">
      <c r="A989" s="2">
        <f t="shared" ref="A989:A991" si="84">A988+1</f>
        <v>988</v>
      </c>
      <c r="B989" s="198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693</v>
      </c>
      <c r="J989" s="2">
        <v>1</v>
      </c>
      <c r="K989" s="201" t="s">
        <v>775</v>
      </c>
    </row>
    <row r="990" spans="1:11">
      <c r="A990" s="2">
        <f t="shared" si="84"/>
        <v>989</v>
      </c>
      <c r="B990" s="198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693</v>
      </c>
      <c r="J990" s="2">
        <v>1</v>
      </c>
      <c r="K990" s="201" t="s">
        <v>776</v>
      </c>
    </row>
    <row r="991" spans="1:11">
      <c r="A991" s="2">
        <f t="shared" si="84"/>
        <v>990</v>
      </c>
      <c r="B991" s="198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693</v>
      </c>
      <c r="J991" s="2">
        <v>1</v>
      </c>
      <c r="K991" s="201" t="s">
        <v>739</v>
      </c>
    </row>
    <row r="992" spans="1:11">
      <c r="A992" s="2">
        <f t="shared" ref="A992:A997" si="85">A991+1</f>
        <v>991</v>
      </c>
      <c r="B992" s="198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02" t="s">
        <v>184</v>
      </c>
    </row>
    <row r="993" spans="1:11">
      <c r="A993" s="2">
        <f t="shared" si="85"/>
        <v>992</v>
      </c>
      <c r="B993" s="198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02" t="s">
        <v>188</v>
      </c>
    </row>
    <row r="994" spans="1:11">
      <c r="A994" s="2">
        <f t="shared" si="85"/>
        <v>993</v>
      </c>
      <c r="B994" s="198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199" t="s">
        <v>334</v>
      </c>
      <c r="J994" s="2">
        <v>2</v>
      </c>
      <c r="K994" s="202" t="s">
        <v>188</v>
      </c>
    </row>
    <row r="995" spans="1:11">
      <c r="A995" s="2">
        <f t="shared" si="85"/>
        <v>994</v>
      </c>
      <c r="B995" s="198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02" t="s">
        <v>187</v>
      </c>
    </row>
    <row r="996" spans="1:11">
      <c r="A996" s="2">
        <f t="shared" si="85"/>
        <v>995</v>
      </c>
      <c r="B996" s="198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693</v>
      </c>
      <c r="J996" s="2">
        <v>1</v>
      </c>
      <c r="K996" s="202" t="s">
        <v>187</v>
      </c>
    </row>
    <row r="997" spans="1:11">
      <c r="A997" s="2">
        <f t="shared" si="85"/>
        <v>996</v>
      </c>
      <c r="B997" s="198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02" t="s">
        <v>189</v>
      </c>
    </row>
    <row r="998" spans="1:11">
      <c r="A998" s="2">
        <f t="shared" ref="A998:A1010" si="86">A997+1</f>
        <v>997</v>
      </c>
      <c r="B998" s="198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199" t="s">
        <v>360</v>
      </c>
      <c r="J998" s="2">
        <v>1</v>
      </c>
      <c r="K998" s="202" t="s">
        <v>188</v>
      </c>
    </row>
    <row r="999" spans="1:11">
      <c r="A999" s="2">
        <f t="shared" si="86"/>
        <v>998</v>
      </c>
      <c r="B999" s="198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199" t="s">
        <v>320</v>
      </c>
      <c r="J999" s="2">
        <v>1</v>
      </c>
      <c r="K999" s="202" t="s">
        <v>188</v>
      </c>
    </row>
    <row r="1000" spans="1:11">
      <c r="A1000" s="2">
        <f t="shared" si="86"/>
        <v>999</v>
      </c>
      <c r="B1000" s="198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199" t="s">
        <v>187</v>
      </c>
    </row>
    <row r="1001" spans="1:11">
      <c r="A1001" s="2">
        <f t="shared" si="86"/>
        <v>1000</v>
      </c>
      <c r="B1001" s="198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199" t="s">
        <v>185</v>
      </c>
    </row>
    <row r="1002" spans="1:11">
      <c r="A1002" s="2">
        <f t="shared" si="86"/>
        <v>1001</v>
      </c>
      <c r="B1002" s="198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199" t="s">
        <v>188</v>
      </c>
    </row>
    <row r="1003" spans="1:11">
      <c r="A1003" s="2">
        <f t="shared" si="86"/>
        <v>1002</v>
      </c>
      <c r="B1003" s="198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199" t="s">
        <v>187</v>
      </c>
    </row>
    <row r="1004" spans="1:11">
      <c r="A1004" s="2">
        <f t="shared" si="86"/>
        <v>1003</v>
      </c>
      <c r="B1004" s="198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199" t="s">
        <v>334</v>
      </c>
      <c r="J1004" s="2">
        <v>2</v>
      </c>
      <c r="K1004" s="199" t="s">
        <v>185</v>
      </c>
    </row>
    <row r="1005" spans="1:11">
      <c r="A1005" s="2">
        <f t="shared" si="86"/>
        <v>1004</v>
      </c>
      <c r="B1005" s="198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199" t="s">
        <v>188</v>
      </c>
    </row>
    <row r="1006" spans="1:11">
      <c r="A1006" s="2">
        <f t="shared" si="86"/>
        <v>1005</v>
      </c>
      <c r="B1006" s="198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693</v>
      </c>
      <c r="J1006" s="2">
        <v>1</v>
      </c>
      <c r="K1006" s="202" t="s">
        <v>189</v>
      </c>
    </row>
    <row r="1007" spans="1:11">
      <c r="A1007" s="2">
        <f t="shared" si="86"/>
        <v>1006</v>
      </c>
      <c r="B1007" s="198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693</v>
      </c>
      <c r="J1007" s="2">
        <v>1</v>
      </c>
      <c r="K1007" s="202" t="s">
        <v>189</v>
      </c>
    </row>
    <row r="1008" spans="1:11">
      <c r="A1008" s="2">
        <f t="shared" si="86"/>
        <v>1007</v>
      </c>
      <c r="B1008" s="198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693</v>
      </c>
      <c r="J1008" s="2">
        <v>1</v>
      </c>
      <c r="K1008" s="199" t="s">
        <v>187</v>
      </c>
    </row>
    <row r="1009" spans="1:11">
      <c r="A1009" s="2">
        <f t="shared" si="86"/>
        <v>1008</v>
      </c>
      <c r="B1009" s="198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693</v>
      </c>
      <c r="J1009" s="2">
        <v>1</v>
      </c>
      <c r="K1009" s="199" t="s">
        <v>187</v>
      </c>
    </row>
    <row r="1010" spans="1:11">
      <c r="A1010" s="2">
        <f t="shared" si="86"/>
        <v>1009</v>
      </c>
      <c r="B1010" s="198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199" t="s">
        <v>189</v>
      </c>
    </row>
    <row r="1011" spans="1:11">
      <c r="A1011" s="2">
        <f t="shared" ref="A1011:A1016" si="87">A1010+1</f>
        <v>1010</v>
      </c>
      <c r="B1011" s="198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199" t="s">
        <v>185</v>
      </c>
    </row>
    <row r="1012" spans="1:11">
      <c r="A1012" s="2">
        <f t="shared" si="87"/>
        <v>1011</v>
      </c>
      <c r="B1012" s="198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693</v>
      </c>
      <c r="J1012" s="2">
        <v>1</v>
      </c>
      <c r="K1012" s="199" t="s">
        <v>187</v>
      </c>
    </row>
    <row r="1013" spans="1:11">
      <c r="A1013" s="2">
        <f t="shared" si="87"/>
        <v>1012</v>
      </c>
      <c r="B1013" s="198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199" t="s">
        <v>1460</v>
      </c>
      <c r="J1013" s="2">
        <v>1</v>
      </c>
      <c r="K1013" s="199" t="s">
        <v>185</v>
      </c>
    </row>
    <row r="1014" spans="1:11">
      <c r="A1014" s="2">
        <f t="shared" si="87"/>
        <v>1013</v>
      </c>
      <c r="B1014" s="198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199" t="s">
        <v>1460</v>
      </c>
      <c r="J1014" s="2">
        <v>1</v>
      </c>
      <c r="K1014" s="199" t="s">
        <v>187</v>
      </c>
    </row>
    <row r="1015" spans="1:11">
      <c r="A1015" s="2">
        <f t="shared" si="87"/>
        <v>1014</v>
      </c>
      <c r="B1015" s="198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199" t="s">
        <v>1460</v>
      </c>
      <c r="J1015" s="2">
        <v>1</v>
      </c>
      <c r="K1015" s="199" t="s">
        <v>186</v>
      </c>
    </row>
    <row r="1016" spans="1:11">
      <c r="A1016" s="2">
        <f t="shared" si="87"/>
        <v>1015</v>
      </c>
      <c r="B1016" s="198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199" t="s">
        <v>1460</v>
      </c>
      <c r="J1016" s="2">
        <v>1</v>
      </c>
      <c r="K1016" s="199" t="s">
        <v>189</v>
      </c>
    </row>
    <row r="1017" spans="1:11">
      <c r="A1017" s="2">
        <f t="shared" ref="A1017:A1018" si="88">A1016+1</f>
        <v>1016</v>
      </c>
      <c r="B1017" s="198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199" t="s">
        <v>1460</v>
      </c>
      <c r="J1017" s="2">
        <v>1</v>
      </c>
      <c r="K1017" s="199" t="s">
        <v>189</v>
      </c>
    </row>
    <row r="1018" spans="1:11">
      <c r="A1018" s="2">
        <f t="shared" si="88"/>
        <v>1017</v>
      </c>
      <c r="B1018" s="198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199" t="s">
        <v>1460</v>
      </c>
      <c r="J1018" s="2">
        <v>1</v>
      </c>
      <c r="K1018" s="199" t="s">
        <v>189</v>
      </c>
    </row>
    <row r="1019" spans="1:11">
      <c r="A1019" s="2">
        <f>A1018+1</f>
        <v>1018</v>
      </c>
      <c r="B1019" s="198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00" t="s">
        <v>500</v>
      </c>
      <c r="J1019" s="2">
        <v>1</v>
      </c>
      <c r="K1019" s="201" t="s">
        <v>777</v>
      </c>
    </row>
    <row r="1020" spans="1:11">
      <c r="A1020" s="2">
        <f>A1019+1</f>
        <v>1019</v>
      </c>
      <c r="B1020" s="198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198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199" t="s">
        <v>185</v>
      </c>
    </row>
    <row r="1022" spans="1:11">
      <c r="A1022" s="2">
        <f>A1021+1</f>
        <v>1021</v>
      </c>
      <c r="B1022" s="198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199" t="s">
        <v>185</v>
      </c>
    </row>
    <row r="1023" spans="1:11">
      <c r="A1023" s="2">
        <f t="shared" ref="A1023:A1024" si="89">A1022+1</f>
        <v>1022</v>
      </c>
      <c r="B1023" s="198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199" t="s">
        <v>334</v>
      </c>
      <c r="J1023" s="2">
        <v>2</v>
      </c>
      <c r="K1023" s="202" t="s">
        <v>189</v>
      </c>
    </row>
    <row r="1024" spans="1:11">
      <c r="A1024" s="2">
        <f t="shared" si="89"/>
        <v>1023</v>
      </c>
      <c r="B1024" s="198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02" t="s">
        <v>188</v>
      </c>
    </row>
    <row r="1025" spans="1:11">
      <c r="A1025" s="2">
        <f t="shared" ref="A1025:A1026" si="90">A1024+1</f>
        <v>1024</v>
      </c>
      <c r="B1025" s="198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02" t="s">
        <v>185</v>
      </c>
    </row>
    <row r="1026" spans="1:11">
      <c r="A1026" s="2">
        <f t="shared" si="90"/>
        <v>1025</v>
      </c>
      <c r="B1026" s="198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199" t="s">
        <v>360</v>
      </c>
      <c r="J1026" s="2">
        <v>1</v>
      </c>
      <c r="K1026" s="202" t="s">
        <v>189</v>
      </c>
    </row>
    <row r="1027" spans="1:11">
      <c r="A1027" s="2">
        <f>A1026+1</f>
        <v>1026</v>
      </c>
      <c r="B1027" s="198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00" t="s">
        <v>500</v>
      </c>
      <c r="J1027" s="2">
        <v>1</v>
      </c>
      <c r="K1027" s="201" t="s">
        <v>500</v>
      </c>
    </row>
    <row r="1028" spans="1:11">
      <c r="A1028" s="2">
        <f>A1027+1</f>
        <v>1027</v>
      </c>
      <c r="B1028" s="198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00" t="s">
        <v>1473</v>
      </c>
      <c r="J1028" s="2">
        <v>1</v>
      </c>
      <c r="K1028" s="201" t="s">
        <v>1473</v>
      </c>
    </row>
    <row r="1029" spans="1:11">
      <c r="A1029" s="2">
        <f t="shared" ref="A1029:A1030" si="91">A1028+1</f>
        <v>1028</v>
      </c>
      <c r="B1029" s="198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693</v>
      </c>
      <c r="J1029" s="2">
        <v>1</v>
      </c>
      <c r="K1029" s="201" t="s">
        <v>778</v>
      </c>
    </row>
    <row r="1030" spans="1:11">
      <c r="A1030" s="2">
        <f t="shared" si="91"/>
        <v>1029</v>
      </c>
      <c r="B1030" s="198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02" t="s">
        <v>698</v>
      </c>
      <c r="J1030" s="2">
        <v>1</v>
      </c>
      <c r="K1030" s="201" t="s">
        <v>779</v>
      </c>
    </row>
    <row r="1031" spans="1:11">
      <c r="A1031" s="2">
        <f t="shared" ref="A1031:A1032" si="92">A1030+1</f>
        <v>1030</v>
      </c>
      <c r="B1031" s="198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199" t="s">
        <v>320</v>
      </c>
      <c r="J1031" s="2">
        <v>1</v>
      </c>
      <c r="K1031" s="202" t="s">
        <v>185</v>
      </c>
    </row>
    <row r="1032" spans="1:11">
      <c r="A1032" s="2">
        <f t="shared" si="92"/>
        <v>1031</v>
      </c>
      <c r="B1032" s="198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199" t="s">
        <v>286</v>
      </c>
      <c r="J1032" s="2">
        <v>1</v>
      </c>
      <c r="K1032" s="202" t="s">
        <v>185</v>
      </c>
    </row>
    <row r="1033" spans="1:11">
      <c r="A1033" s="2">
        <f>A1032+1</f>
        <v>1032</v>
      </c>
      <c r="B1033" s="198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693</v>
      </c>
      <c r="J1033" s="2">
        <v>1</v>
      </c>
      <c r="K1033" s="201" t="s">
        <v>780</v>
      </c>
    </row>
    <row r="1034" spans="1:11">
      <c r="A1034" s="2">
        <f>A1033+1</f>
        <v>1033</v>
      </c>
      <c r="B1034" s="198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693</v>
      </c>
      <c r="J1034" s="2">
        <v>1</v>
      </c>
      <c r="K1034" s="200" t="s">
        <v>781</v>
      </c>
    </row>
    <row r="1035" spans="1:11">
      <c r="A1035" s="2">
        <f>A1034+1</f>
        <v>1034</v>
      </c>
      <c r="B1035" s="198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693</v>
      </c>
      <c r="J1035" s="2">
        <v>1</v>
      </c>
      <c r="K1035" s="200" t="s">
        <v>782</v>
      </c>
    </row>
    <row r="1036" spans="1:11">
      <c r="A1036" s="2">
        <f>A1035+1</f>
        <v>1035</v>
      </c>
      <c r="B1036" s="198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693</v>
      </c>
      <c r="J1036" s="2">
        <v>1</v>
      </c>
      <c r="K1036" s="200" t="s">
        <v>783</v>
      </c>
    </row>
    <row r="1037" spans="1:11">
      <c r="A1037" s="2">
        <f>A1036+1</f>
        <v>1036</v>
      </c>
      <c r="B1037" s="198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693</v>
      </c>
      <c r="J1037" s="2">
        <v>1</v>
      </c>
      <c r="K1037" s="200" t="s">
        <v>784</v>
      </c>
    </row>
    <row r="1038" spans="1:11">
      <c r="A1038" s="2">
        <f t="shared" ref="A1038:A1040" si="93">A1037+1</f>
        <v>1037</v>
      </c>
      <c r="B1038" s="198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693</v>
      </c>
      <c r="J1038" s="2">
        <v>1</v>
      </c>
      <c r="K1038" s="201" t="s">
        <v>785</v>
      </c>
    </row>
    <row r="1039" spans="1:11">
      <c r="A1039" s="2">
        <f t="shared" si="93"/>
        <v>1038</v>
      </c>
      <c r="B1039" s="198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693</v>
      </c>
      <c r="J1039" s="2">
        <v>1</v>
      </c>
      <c r="K1039" s="201" t="s">
        <v>786</v>
      </c>
    </row>
    <row r="1040" spans="1:11">
      <c r="A1040" s="2">
        <f t="shared" si="93"/>
        <v>1039</v>
      </c>
      <c r="B1040" s="198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693</v>
      </c>
      <c r="J1040" s="2">
        <v>1</v>
      </c>
      <c r="K1040" s="201" t="s">
        <v>787</v>
      </c>
    </row>
    <row r="1041" spans="1:11">
      <c r="A1041" s="2">
        <f>A1040+1</f>
        <v>1040</v>
      </c>
      <c r="B1041" s="198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199" t="s">
        <v>1460</v>
      </c>
      <c r="J1041" s="2">
        <v>1</v>
      </c>
      <c r="K1041" s="199" t="s">
        <v>1460</v>
      </c>
    </row>
    <row r="1042" spans="1:11">
      <c r="A1042" s="2">
        <f t="shared" ref="A1042:A1043" si="94">A1041+1</f>
        <v>1041</v>
      </c>
      <c r="B1042" s="198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02" t="s">
        <v>185</v>
      </c>
    </row>
    <row r="1043" spans="1:11">
      <c r="A1043" s="2">
        <f t="shared" si="94"/>
        <v>1042</v>
      </c>
      <c r="B1043" s="198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02" t="s">
        <v>185</v>
      </c>
    </row>
    <row r="1044" spans="1:11">
      <c r="A1044" s="2">
        <f>A1043+1</f>
        <v>1043</v>
      </c>
      <c r="B1044" s="198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02" t="s">
        <v>188</v>
      </c>
    </row>
    <row r="1045" spans="1:11">
      <c r="A1045" s="2">
        <f t="shared" ref="A1045:A1047" si="95">A1044+1</f>
        <v>1044</v>
      </c>
      <c r="B1045" s="198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693</v>
      </c>
      <c r="J1045" s="2">
        <v>1</v>
      </c>
      <c r="K1045" s="200" t="s">
        <v>788</v>
      </c>
    </row>
    <row r="1046" spans="1:11">
      <c r="A1046" s="2">
        <f t="shared" si="95"/>
        <v>1045</v>
      </c>
      <c r="B1046" s="198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693</v>
      </c>
      <c r="J1046" s="2">
        <v>1</v>
      </c>
      <c r="K1046" s="200" t="s">
        <v>729</v>
      </c>
    </row>
    <row r="1047" spans="1:11">
      <c r="A1047" s="2">
        <f t="shared" si="95"/>
        <v>1046</v>
      </c>
      <c r="B1047" s="198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693</v>
      </c>
      <c r="J1047" s="2">
        <v>1</v>
      </c>
      <c r="K1047" s="200" t="s">
        <v>789</v>
      </c>
    </row>
    <row r="1048" spans="1:11">
      <c r="A1048" s="2">
        <f>A1047+1</f>
        <v>1047</v>
      </c>
      <c r="B1048" s="198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693</v>
      </c>
      <c r="J1048" s="2">
        <v>1</v>
      </c>
      <c r="K1048" s="201" t="s">
        <v>790</v>
      </c>
    </row>
    <row r="1049" spans="1:11">
      <c r="A1049" s="2">
        <f t="shared" ref="A1049:A1052" si="96">A1048+1</f>
        <v>1048</v>
      </c>
      <c r="B1049" s="198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693</v>
      </c>
      <c r="J1049" s="2">
        <v>1</v>
      </c>
      <c r="K1049" s="201" t="s">
        <v>791</v>
      </c>
    </row>
    <row r="1050" spans="1:11">
      <c r="A1050" s="2">
        <f t="shared" si="96"/>
        <v>1049</v>
      </c>
      <c r="B1050" s="198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693</v>
      </c>
      <c r="J1050" s="2">
        <v>1</v>
      </c>
      <c r="K1050" s="201" t="s">
        <v>792</v>
      </c>
    </row>
    <row r="1051" spans="1:11">
      <c r="A1051" s="2">
        <f t="shared" si="96"/>
        <v>1050</v>
      </c>
      <c r="B1051" s="198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693</v>
      </c>
      <c r="J1051" s="2">
        <v>1</v>
      </c>
      <c r="K1051" s="201" t="s">
        <v>793</v>
      </c>
    </row>
    <row r="1052" spans="1:11">
      <c r="A1052" s="2">
        <f t="shared" si="96"/>
        <v>1051</v>
      </c>
      <c r="B1052" s="198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693</v>
      </c>
      <c r="J1052" s="2">
        <v>1</v>
      </c>
      <c r="K1052" s="201" t="s">
        <v>701</v>
      </c>
    </row>
    <row r="1053" spans="1:11">
      <c r="A1053" s="2">
        <f t="shared" ref="A1053:A1058" si="97">A1052+1</f>
        <v>1052</v>
      </c>
      <c r="B1053" s="198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693</v>
      </c>
      <c r="J1053" s="2">
        <v>1</v>
      </c>
      <c r="K1053" s="201" t="s">
        <v>794</v>
      </c>
    </row>
    <row r="1054" spans="1:11">
      <c r="A1054" s="2">
        <f t="shared" si="97"/>
        <v>1053</v>
      </c>
      <c r="B1054" s="198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199" t="s">
        <v>188</v>
      </c>
    </row>
    <row r="1055" spans="1:11">
      <c r="A1055" s="2">
        <f t="shared" si="97"/>
        <v>1054</v>
      </c>
      <c r="B1055" s="198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199" t="s">
        <v>189</v>
      </c>
    </row>
    <row r="1056" spans="1:11">
      <c r="A1056" s="2">
        <f t="shared" si="97"/>
        <v>1055</v>
      </c>
      <c r="B1056" s="198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199" t="s">
        <v>320</v>
      </c>
      <c r="J1056" s="2">
        <v>1</v>
      </c>
      <c r="K1056" s="199" t="s">
        <v>189</v>
      </c>
    </row>
    <row r="1057" spans="1:11">
      <c r="A1057" s="2">
        <f t="shared" si="97"/>
        <v>1056</v>
      </c>
      <c r="B1057" s="198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199" t="s">
        <v>188</v>
      </c>
    </row>
    <row r="1058" spans="1:11">
      <c r="A1058" s="2">
        <f t="shared" si="97"/>
        <v>1057</v>
      </c>
      <c r="B1058" s="198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199" t="s">
        <v>334</v>
      </c>
      <c r="J1058" s="2">
        <v>1</v>
      </c>
      <c r="K1058" s="199" t="s">
        <v>186</v>
      </c>
    </row>
    <row r="1059" spans="1:11">
      <c r="A1059" s="2">
        <f t="shared" ref="A1059:A1068" si="98">A1058+1</f>
        <v>1058</v>
      </c>
      <c r="B1059" s="198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693</v>
      </c>
      <c r="J1059" s="2">
        <v>1</v>
      </c>
      <c r="K1059" s="201" t="s">
        <v>795</v>
      </c>
    </row>
    <row r="1060" spans="1:11">
      <c r="A1060" s="2">
        <f t="shared" si="98"/>
        <v>1059</v>
      </c>
      <c r="B1060" s="198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693</v>
      </c>
      <c r="J1060" s="2">
        <v>1</v>
      </c>
      <c r="K1060" s="201" t="s">
        <v>796</v>
      </c>
    </row>
    <row r="1061" spans="1:11">
      <c r="A1061" s="2">
        <f t="shared" si="98"/>
        <v>1060</v>
      </c>
      <c r="B1061" s="198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693</v>
      </c>
      <c r="J1061" s="2">
        <v>1</v>
      </c>
      <c r="K1061" s="201" t="s">
        <v>797</v>
      </c>
    </row>
    <row r="1062" spans="1:11">
      <c r="A1062" s="2">
        <f t="shared" si="98"/>
        <v>1061</v>
      </c>
      <c r="B1062" s="198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693</v>
      </c>
      <c r="J1062" s="2">
        <v>1</v>
      </c>
      <c r="K1062" s="201" t="s">
        <v>798</v>
      </c>
    </row>
    <row r="1063" spans="1:11">
      <c r="A1063" s="2">
        <f t="shared" si="98"/>
        <v>1062</v>
      </c>
      <c r="B1063" s="198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693</v>
      </c>
      <c r="J1063" s="2">
        <v>1</v>
      </c>
      <c r="K1063" s="200" t="s">
        <v>557</v>
      </c>
    </row>
    <row r="1064" spans="1:11">
      <c r="A1064" s="2">
        <f t="shared" si="98"/>
        <v>1063</v>
      </c>
      <c r="B1064" s="198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693</v>
      </c>
      <c r="J1064" s="2">
        <v>1</v>
      </c>
      <c r="K1064" s="200" t="s">
        <v>737</v>
      </c>
    </row>
    <row r="1065" spans="1:11">
      <c r="A1065" s="2">
        <f t="shared" si="98"/>
        <v>1064</v>
      </c>
      <c r="B1065" s="198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693</v>
      </c>
      <c r="J1065" s="2">
        <v>1</v>
      </c>
      <c r="K1065" s="200" t="s">
        <v>498</v>
      </c>
    </row>
    <row r="1066" spans="1:11">
      <c r="A1066" s="2">
        <f t="shared" si="98"/>
        <v>1065</v>
      </c>
      <c r="B1066" s="198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00" t="s">
        <v>187</v>
      </c>
    </row>
    <row r="1067" spans="1:11">
      <c r="A1067" s="2">
        <f t="shared" si="98"/>
        <v>1066</v>
      </c>
      <c r="B1067" s="198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00" t="s">
        <v>189</v>
      </c>
    </row>
    <row r="1068" spans="1:11">
      <c r="A1068" s="2">
        <f t="shared" si="98"/>
        <v>1067</v>
      </c>
      <c r="B1068" s="198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00" t="s">
        <v>189</v>
      </c>
    </row>
    <row r="1069" spans="1:11">
      <c r="A1069" s="2">
        <f t="shared" ref="A1069:A1070" si="99">A1068+1</f>
        <v>1068</v>
      </c>
      <c r="B1069" s="198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693</v>
      </c>
      <c r="J1069" s="2">
        <v>1</v>
      </c>
      <c r="K1069" s="201" t="s">
        <v>799</v>
      </c>
    </row>
    <row r="1070" spans="1:11">
      <c r="A1070" s="2">
        <f t="shared" si="99"/>
        <v>1069</v>
      </c>
      <c r="B1070" s="198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693</v>
      </c>
      <c r="J1070" s="2">
        <v>1</v>
      </c>
      <c r="K1070" s="201" t="s">
        <v>800</v>
      </c>
    </row>
    <row r="1071" spans="1:11">
      <c r="A1071" s="2">
        <f t="shared" ref="A1071:A1075" si="100">A1070+1</f>
        <v>1070</v>
      </c>
      <c r="B1071" s="198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02" t="s">
        <v>185</v>
      </c>
    </row>
    <row r="1072" spans="1:11">
      <c r="A1072" s="2">
        <f t="shared" si="100"/>
        <v>1071</v>
      </c>
      <c r="B1072" s="198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02" t="s">
        <v>187</v>
      </c>
    </row>
    <row r="1073" spans="1:11">
      <c r="A1073" s="2">
        <f t="shared" si="100"/>
        <v>1072</v>
      </c>
      <c r="B1073" s="198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02" t="s">
        <v>186</v>
      </c>
    </row>
    <row r="1074" spans="1:11">
      <c r="A1074" s="2">
        <f t="shared" si="100"/>
        <v>1073</v>
      </c>
      <c r="B1074" s="198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199" t="s">
        <v>186</v>
      </c>
    </row>
    <row r="1075" spans="1:11">
      <c r="A1075" s="2">
        <f t="shared" si="100"/>
        <v>1074</v>
      </c>
      <c r="B1075" s="198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199" t="s">
        <v>187</v>
      </c>
    </row>
    <row r="1076" spans="1:11">
      <c r="A1076" s="2">
        <f t="shared" ref="A1076:A1078" si="101">A1075+1</f>
        <v>1075</v>
      </c>
      <c r="B1076" s="198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199" t="s">
        <v>334</v>
      </c>
      <c r="J1076" s="2">
        <v>2</v>
      </c>
      <c r="K1076" s="202" t="s">
        <v>185</v>
      </c>
    </row>
    <row r="1077" spans="1:11">
      <c r="A1077" s="2">
        <f t="shared" si="101"/>
        <v>1076</v>
      </c>
      <c r="B1077" s="198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02" t="s">
        <v>188</v>
      </c>
    </row>
    <row r="1078" spans="1:11">
      <c r="A1078" s="2">
        <f t="shared" si="101"/>
        <v>1077</v>
      </c>
      <c r="B1078" s="198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02" t="s">
        <v>188</v>
      </c>
    </row>
    <row r="1079" spans="1:11">
      <c r="A1079" s="2">
        <f>A1078+1</f>
        <v>1078</v>
      </c>
      <c r="B1079" s="198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693</v>
      </c>
      <c r="J1079" s="2">
        <v>1</v>
      </c>
      <c r="K1079" s="200" t="s">
        <v>781</v>
      </c>
    </row>
    <row r="1080" spans="1:11">
      <c r="A1080" s="2">
        <f t="shared" ref="A1080:A1082" si="102">A1079+1</f>
        <v>1079</v>
      </c>
      <c r="B1080" s="198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693</v>
      </c>
      <c r="J1080" s="2">
        <v>1</v>
      </c>
      <c r="K1080" s="200" t="s">
        <v>801</v>
      </c>
    </row>
    <row r="1081" spans="1:11">
      <c r="A1081" s="2">
        <f t="shared" si="102"/>
        <v>1080</v>
      </c>
      <c r="B1081" s="198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693</v>
      </c>
      <c r="J1081" s="2">
        <v>1</v>
      </c>
      <c r="K1081" s="200" t="s">
        <v>802</v>
      </c>
    </row>
    <row r="1082" spans="1:11">
      <c r="A1082" s="2">
        <f t="shared" si="102"/>
        <v>1081</v>
      </c>
      <c r="B1082" s="198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693</v>
      </c>
      <c r="J1082" s="2">
        <v>1</v>
      </c>
      <c r="K1082" s="200" t="s">
        <v>769</v>
      </c>
    </row>
    <row r="1083" spans="1:11">
      <c r="A1083" s="2">
        <f>A1082+1</f>
        <v>1082</v>
      </c>
      <c r="B1083" s="198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199" t="s">
        <v>1465</v>
      </c>
      <c r="J1083" s="2">
        <v>1</v>
      </c>
      <c r="K1083" s="202" t="s">
        <v>185</v>
      </c>
    </row>
    <row r="1084" spans="1:11">
      <c r="A1084" s="2">
        <f t="shared" ref="A1084:A1085" si="103">A1083+1</f>
        <v>1083</v>
      </c>
      <c r="B1084" s="198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693</v>
      </c>
      <c r="J1084" s="2">
        <v>1</v>
      </c>
      <c r="K1084" s="201" t="s">
        <v>803</v>
      </c>
    </row>
    <row r="1085" spans="1:11">
      <c r="A1085" s="2">
        <f t="shared" si="103"/>
        <v>1084</v>
      </c>
      <c r="B1085" s="198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693</v>
      </c>
      <c r="J1085" s="2">
        <v>1</v>
      </c>
      <c r="K1085" s="201" t="s">
        <v>804</v>
      </c>
    </row>
    <row r="1086" spans="1:11">
      <c r="A1086" s="2">
        <f>A1085+1</f>
        <v>1085</v>
      </c>
      <c r="B1086" s="198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199" t="s">
        <v>1460</v>
      </c>
      <c r="J1086" s="2">
        <v>1</v>
      </c>
      <c r="K1086" s="202" t="s">
        <v>188</v>
      </c>
    </row>
    <row r="1087" spans="1:11">
      <c r="A1087" s="2">
        <f t="shared" ref="A1087:A1088" si="104">A1086+1</f>
        <v>1086</v>
      </c>
      <c r="B1087" s="198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199" t="s">
        <v>1465</v>
      </c>
      <c r="J1087" s="2">
        <v>1</v>
      </c>
      <c r="K1087" s="202" t="s">
        <v>189</v>
      </c>
    </row>
    <row r="1088" spans="1:11">
      <c r="A1088" s="2">
        <f t="shared" si="104"/>
        <v>1087</v>
      </c>
      <c r="B1088" s="198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02" t="s">
        <v>189</v>
      </c>
    </row>
    <row r="1089" spans="1:11">
      <c r="A1089" s="2">
        <f>A1088+1</f>
        <v>1088</v>
      </c>
      <c r="B1089" s="198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02" t="s">
        <v>189</v>
      </c>
    </row>
    <row r="1090" spans="1:11">
      <c r="A1090" s="2">
        <f>A1089+1</f>
        <v>1089</v>
      </c>
      <c r="B1090" s="198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02" t="s">
        <v>189</v>
      </c>
    </row>
    <row r="1091" spans="1:11">
      <c r="A1091" s="2">
        <f t="shared" ref="A1091:A1097" si="105">A1090+1</f>
        <v>1090</v>
      </c>
      <c r="B1091" s="198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02" t="s">
        <v>189</v>
      </c>
    </row>
    <row r="1092" spans="1:11">
      <c r="A1092" s="2">
        <f t="shared" si="105"/>
        <v>1091</v>
      </c>
      <c r="B1092" s="198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02" t="s">
        <v>188</v>
      </c>
    </row>
    <row r="1093" spans="1:11">
      <c r="A1093" s="2">
        <f t="shared" si="105"/>
        <v>1092</v>
      </c>
      <c r="B1093" s="198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199" t="s">
        <v>188</v>
      </c>
    </row>
    <row r="1094" spans="1:11">
      <c r="A1094" s="2">
        <f t="shared" si="105"/>
        <v>1093</v>
      </c>
      <c r="B1094" s="198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02" t="s">
        <v>185</v>
      </c>
    </row>
    <row r="1095" spans="1:11">
      <c r="A1095" s="2">
        <f t="shared" si="105"/>
        <v>1094</v>
      </c>
      <c r="B1095" s="198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199" t="s">
        <v>186</v>
      </c>
    </row>
    <row r="1096" spans="1:11">
      <c r="A1096" s="2">
        <f t="shared" si="105"/>
        <v>1095</v>
      </c>
      <c r="B1096" s="198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199" t="s">
        <v>334</v>
      </c>
      <c r="J1096" s="2">
        <v>2</v>
      </c>
      <c r="K1096" s="199" t="s">
        <v>189</v>
      </c>
    </row>
    <row r="1097" spans="1:11">
      <c r="A1097" s="2">
        <f t="shared" si="105"/>
        <v>1096</v>
      </c>
      <c r="B1097" s="198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199" t="s">
        <v>189</v>
      </c>
    </row>
    <row r="1098" spans="1:11">
      <c r="A1098" s="2">
        <f>A1097+1</f>
        <v>1097</v>
      </c>
      <c r="B1098" s="198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693</v>
      </c>
      <c r="J1098" s="2">
        <v>1</v>
      </c>
      <c r="K1098" s="201" t="s">
        <v>805</v>
      </c>
    </row>
    <row r="1099" spans="1:11">
      <c r="A1099" s="2">
        <f>A1098+1</f>
        <v>1098</v>
      </c>
      <c r="B1099" s="198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199" t="s">
        <v>364</v>
      </c>
      <c r="J1099" s="2">
        <v>1</v>
      </c>
      <c r="K1099" s="202" t="s">
        <v>188</v>
      </c>
    </row>
    <row r="1100" spans="1:11">
      <c r="A1100" s="2">
        <f t="shared" ref="A1100:A1101" si="106">A1099+1</f>
        <v>1099</v>
      </c>
      <c r="B1100" s="198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199" t="s">
        <v>334</v>
      </c>
      <c r="J1100" s="2">
        <v>2</v>
      </c>
      <c r="K1100" s="202" t="s">
        <v>189</v>
      </c>
    </row>
    <row r="1101" spans="1:11">
      <c r="A1101" s="2">
        <f t="shared" si="106"/>
        <v>1100</v>
      </c>
      <c r="B1101" s="198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02" t="s">
        <v>186</v>
      </c>
    </row>
    <row r="1102" spans="1:11">
      <c r="A1102" s="2">
        <f t="shared" ref="A1102:A1104" si="107">A1101+1</f>
        <v>1101</v>
      </c>
      <c r="B1102" s="198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199" t="s">
        <v>334</v>
      </c>
      <c r="J1102" s="2">
        <v>2</v>
      </c>
      <c r="K1102" s="202" t="s">
        <v>189</v>
      </c>
    </row>
    <row r="1103" spans="1:11">
      <c r="A1103" s="2">
        <f t="shared" si="107"/>
        <v>1102</v>
      </c>
      <c r="B1103" s="198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02" t="s">
        <v>185</v>
      </c>
    </row>
    <row r="1104" spans="1:11">
      <c r="A1104" s="2">
        <f t="shared" si="107"/>
        <v>1103</v>
      </c>
      <c r="B1104" s="198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02" t="s">
        <v>186</v>
      </c>
    </row>
    <row r="1105" spans="1:11">
      <c r="A1105" s="2">
        <f>A1104+1</f>
        <v>1104</v>
      </c>
      <c r="B1105" s="198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199" t="s">
        <v>334</v>
      </c>
      <c r="J1105" s="2">
        <v>2</v>
      </c>
      <c r="K1105" s="202" t="s">
        <v>188</v>
      </c>
    </row>
    <row r="1106" spans="1:11">
      <c r="A1106" s="2">
        <f>A1105+1</f>
        <v>1105</v>
      </c>
      <c r="B1106" s="198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693</v>
      </c>
      <c r="J1106" s="2">
        <v>1</v>
      </c>
      <c r="K1106" s="202" t="s">
        <v>188</v>
      </c>
    </row>
    <row r="1107" spans="1:11">
      <c r="A1107" s="2">
        <f>A1106+1</f>
        <v>1106</v>
      </c>
      <c r="B1107" s="198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02" t="s">
        <v>184</v>
      </c>
    </row>
    <row r="1108" spans="1:11">
      <c r="A1108" s="2">
        <f t="shared" ref="A1108:A1110" si="108">A1107+1</f>
        <v>1107</v>
      </c>
      <c r="B1108" s="198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02" t="s">
        <v>185</v>
      </c>
    </row>
    <row r="1109" spans="1:11">
      <c r="A1109" s="2">
        <f t="shared" si="108"/>
        <v>1108</v>
      </c>
      <c r="B1109" s="198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02" t="s">
        <v>188</v>
      </c>
    </row>
    <row r="1110" spans="1:11">
      <c r="A1110" s="2">
        <f t="shared" si="108"/>
        <v>1109</v>
      </c>
      <c r="B1110" s="198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02" t="s">
        <v>185</v>
      </c>
    </row>
    <row r="1111" spans="1:11">
      <c r="A1111" s="2">
        <f>A1110+1</f>
        <v>1110</v>
      </c>
      <c r="B1111" s="198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02" t="s">
        <v>188</v>
      </c>
    </row>
    <row r="1112" spans="1:11">
      <c r="A1112" s="2">
        <f t="shared" ref="A1112:A1113" si="109">A1111+1</f>
        <v>1111</v>
      </c>
      <c r="B1112" s="198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806</v>
      </c>
      <c r="J1112" s="2">
        <v>1</v>
      </c>
      <c r="K1112" s="200" t="s">
        <v>490</v>
      </c>
    </row>
    <row r="1113" spans="1:11">
      <c r="A1113" s="2">
        <f t="shared" si="109"/>
        <v>1112</v>
      </c>
      <c r="B1113" s="198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807</v>
      </c>
      <c r="J1113" s="2">
        <v>1</v>
      </c>
      <c r="K1113" s="200" t="s">
        <v>490</v>
      </c>
    </row>
    <row r="1114" spans="1:11">
      <c r="A1114" s="2">
        <f>A1113+1</f>
        <v>1113</v>
      </c>
      <c r="B1114" s="198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02" t="s">
        <v>189</v>
      </c>
    </row>
    <row r="1115" spans="1:11">
      <c r="A1115" s="2">
        <f t="shared" ref="A1115:A1116" si="110">A1114+1</f>
        <v>1114</v>
      </c>
      <c r="B1115" s="198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693</v>
      </c>
      <c r="J1115" s="2">
        <v>1</v>
      </c>
      <c r="K1115" s="201" t="s">
        <v>808</v>
      </c>
    </row>
    <row r="1116" spans="1:11">
      <c r="A1116" s="2">
        <f t="shared" si="110"/>
        <v>1115</v>
      </c>
      <c r="B1116" s="198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693</v>
      </c>
      <c r="J1116" s="2">
        <v>1</v>
      </c>
      <c r="K1116" s="201" t="s">
        <v>809</v>
      </c>
    </row>
    <row r="1117" spans="1:11">
      <c r="A1117" s="2">
        <f>A1116+1</f>
        <v>1116</v>
      </c>
      <c r="B1117" s="198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199" t="s">
        <v>334</v>
      </c>
      <c r="J1117" s="2">
        <v>1</v>
      </c>
      <c r="K1117" s="202" t="s">
        <v>185</v>
      </c>
    </row>
    <row r="1118" spans="1:11">
      <c r="A1118" s="2">
        <f t="shared" ref="A1118:A1137" si="111">A1117+1</f>
        <v>1117</v>
      </c>
      <c r="B1118" s="198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199" t="s">
        <v>811</v>
      </c>
      <c r="J1118" s="2">
        <v>1</v>
      </c>
      <c r="K1118" s="200" t="s">
        <v>810</v>
      </c>
    </row>
    <row r="1119" spans="1:11">
      <c r="A1119" s="2">
        <f t="shared" si="111"/>
        <v>1118</v>
      </c>
      <c r="B1119" s="198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199" t="s">
        <v>813</v>
      </c>
      <c r="J1119" s="2">
        <v>1</v>
      </c>
      <c r="K1119" s="200" t="s">
        <v>812</v>
      </c>
    </row>
    <row r="1120" spans="1:11">
      <c r="A1120" s="2">
        <f t="shared" si="111"/>
        <v>1119</v>
      </c>
      <c r="B1120" s="198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199" t="s">
        <v>815</v>
      </c>
      <c r="J1120" s="2">
        <v>1</v>
      </c>
      <c r="K1120" s="200" t="s">
        <v>814</v>
      </c>
    </row>
    <row r="1121" spans="1:11">
      <c r="A1121" s="2">
        <f t="shared" si="111"/>
        <v>1120</v>
      </c>
      <c r="B1121" s="198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199" t="s">
        <v>817</v>
      </c>
      <c r="J1121" s="2">
        <v>1</v>
      </c>
      <c r="K1121" s="200" t="s">
        <v>816</v>
      </c>
    </row>
    <row r="1122" spans="1:11">
      <c r="A1122" s="2">
        <f t="shared" si="111"/>
        <v>1121</v>
      </c>
      <c r="B1122" s="198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199" t="s">
        <v>819</v>
      </c>
      <c r="J1122" s="2">
        <v>1</v>
      </c>
      <c r="K1122" s="200" t="s">
        <v>818</v>
      </c>
    </row>
    <row r="1123" spans="1:11">
      <c r="A1123" s="2">
        <f t="shared" si="111"/>
        <v>1122</v>
      </c>
      <c r="B1123" s="198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199" t="s">
        <v>820</v>
      </c>
      <c r="J1123" s="2">
        <v>1</v>
      </c>
      <c r="K1123" s="200" t="s">
        <v>719</v>
      </c>
    </row>
    <row r="1124" spans="1:11">
      <c r="A1124" s="2">
        <f t="shared" si="111"/>
        <v>1123</v>
      </c>
      <c r="B1124" s="198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199" t="s">
        <v>821</v>
      </c>
      <c r="J1124" s="2">
        <v>1</v>
      </c>
      <c r="K1124" s="200" t="s">
        <v>728</v>
      </c>
    </row>
    <row r="1125" spans="1:11">
      <c r="A1125" s="2">
        <f t="shared" si="111"/>
        <v>1124</v>
      </c>
      <c r="B1125" s="198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199" t="s">
        <v>823</v>
      </c>
      <c r="J1125" s="2">
        <v>1</v>
      </c>
      <c r="K1125" s="200" t="s">
        <v>822</v>
      </c>
    </row>
    <row r="1126" spans="1:11">
      <c r="A1126" s="2">
        <f t="shared" si="111"/>
        <v>1125</v>
      </c>
      <c r="B1126" s="198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199" t="s">
        <v>825</v>
      </c>
      <c r="J1126" s="2">
        <v>1</v>
      </c>
      <c r="K1126" s="200" t="s">
        <v>824</v>
      </c>
    </row>
    <row r="1127" spans="1:11">
      <c r="A1127" s="2">
        <f t="shared" si="111"/>
        <v>1126</v>
      </c>
      <c r="B1127" s="198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199" t="s">
        <v>827</v>
      </c>
      <c r="J1127" s="2">
        <v>1</v>
      </c>
      <c r="K1127" s="200" t="s">
        <v>826</v>
      </c>
    </row>
    <row r="1128" spans="1:11">
      <c r="A1128" s="2">
        <f t="shared" si="111"/>
        <v>1127</v>
      </c>
      <c r="B1128" s="198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199" t="s">
        <v>829</v>
      </c>
      <c r="J1128" s="2">
        <v>1</v>
      </c>
      <c r="K1128" s="200" t="s">
        <v>828</v>
      </c>
    </row>
    <row r="1129" spans="1:11">
      <c r="A1129" s="2">
        <f t="shared" si="111"/>
        <v>1128</v>
      </c>
      <c r="B1129" s="198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199" t="s">
        <v>830</v>
      </c>
      <c r="J1129" s="2">
        <v>1</v>
      </c>
      <c r="K1129" s="200" t="s">
        <v>828</v>
      </c>
    </row>
    <row r="1130" spans="1:11">
      <c r="A1130" s="2">
        <f t="shared" si="111"/>
        <v>1129</v>
      </c>
      <c r="B1130" s="198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199" t="s">
        <v>832</v>
      </c>
      <c r="J1130" s="2">
        <v>1</v>
      </c>
      <c r="K1130" s="200" t="s">
        <v>831</v>
      </c>
    </row>
    <row r="1131" spans="1:11">
      <c r="A1131" s="2">
        <f t="shared" si="111"/>
        <v>1130</v>
      </c>
      <c r="B1131" s="198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199" t="s">
        <v>833</v>
      </c>
      <c r="J1131" s="2">
        <v>1</v>
      </c>
      <c r="K1131" s="200" t="s">
        <v>478</v>
      </c>
    </row>
    <row r="1132" spans="1:11">
      <c r="A1132" s="2">
        <f t="shared" si="111"/>
        <v>1131</v>
      </c>
      <c r="B1132" s="198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199" t="s">
        <v>835</v>
      </c>
      <c r="J1132" s="2">
        <v>1</v>
      </c>
      <c r="K1132" s="200" t="s">
        <v>834</v>
      </c>
    </row>
    <row r="1133" spans="1:11">
      <c r="A1133" s="2">
        <f t="shared" si="111"/>
        <v>1132</v>
      </c>
      <c r="B1133" s="198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199" t="s">
        <v>837</v>
      </c>
      <c r="J1133" s="2">
        <v>1</v>
      </c>
      <c r="K1133" s="200" t="s">
        <v>836</v>
      </c>
    </row>
    <row r="1134" spans="1:11">
      <c r="A1134" s="2">
        <f t="shared" si="111"/>
        <v>1133</v>
      </c>
      <c r="B1134" s="198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199" t="s">
        <v>839</v>
      </c>
      <c r="J1134" s="2">
        <v>1</v>
      </c>
      <c r="K1134" s="200" t="s">
        <v>838</v>
      </c>
    </row>
    <row r="1135" spans="1:11">
      <c r="A1135" s="2">
        <f t="shared" si="111"/>
        <v>1134</v>
      </c>
      <c r="B1135" s="198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199" t="s">
        <v>840</v>
      </c>
      <c r="J1135" s="2">
        <v>1</v>
      </c>
      <c r="K1135" s="200" t="s">
        <v>735</v>
      </c>
    </row>
    <row r="1136" spans="1:11">
      <c r="A1136" s="2">
        <f t="shared" si="111"/>
        <v>1135</v>
      </c>
      <c r="B1136" s="198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199" t="s">
        <v>842</v>
      </c>
      <c r="J1136" s="2">
        <v>1</v>
      </c>
      <c r="K1136" s="200" t="s">
        <v>841</v>
      </c>
    </row>
    <row r="1137" spans="1:11">
      <c r="A1137" s="2">
        <f t="shared" si="111"/>
        <v>1136</v>
      </c>
      <c r="B1137" s="198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199" t="s">
        <v>843</v>
      </c>
      <c r="J1137" s="2">
        <v>1</v>
      </c>
      <c r="K1137" s="200" t="s">
        <v>613</v>
      </c>
    </row>
    <row r="1138" spans="1:11">
      <c r="A1138" s="2">
        <f>A1137+1</f>
        <v>1137</v>
      </c>
      <c r="B1138" s="198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199" t="s">
        <v>364</v>
      </c>
      <c r="J1138" s="2">
        <v>1</v>
      </c>
      <c r="K1138" s="199" t="s">
        <v>186</v>
      </c>
    </row>
    <row r="1139" spans="1:11">
      <c r="A1139" s="2">
        <f t="shared" ref="A1139:A1148" si="112">A1138+1</f>
        <v>1138</v>
      </c>
      <c r="B1139" s="198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199" t="s">
        <v>844</v>
      </c>
      <c r="J1139" s="2">
        <v>1</v>
      </c>
      <c r="K1139" s="200" t="s">
        <v>550</v>
      </c>
    </row>
    <row r="1140" spans="1:11">
      <c r="A1140" s="2">
        <f t="shared" si="112"/>
        <v>1139</v>
      </c>
      <c r="B1140" s="198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199" t="s">
        <v>846</v>
      </c>
      <c r="J1140" s="2">
        <v>1</v>
      </c>
      <c r="K1140" s="200" t="s">
        <v>845</v>
      </c>
    </row>
    <row r="1141" spans="1:11">
      <c r="A1141" s="2">
        <f t="shared" si="112"/>
        <v>1140</v>
      </c>
      <c r="B1141" s="198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199" t="s">
        <v>848</v>
      </c>
      <c r="J1141" s="2">
        <v>1</v>
      </c>
      <c r="K1141" s="200" t="s">
        <v>847</v>
      </c>
    </row>
    <row r="1142" spans="1:11">
      <c r="A1142" s="2">
        <f t="shared" si="112"/>
        <v>1141</v>
      </c>
      <c r="B1142" s="198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199" t="s">
        <v>850</v>
      </c>
      <c r="J1142" s="2">
        <v>1</v>
      </c>
      <c r="K1142" s="200" t="s">
        <v>849</v>
      </c>
    </row>
    <row r="1143" spans="1:11">
      <c r="A1143" s="2">
        <f t="shared" si="112"/>
        <v>1142</v>
      </c>
      <c r="B1143" s="198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199" t="s">
        <v>851</v>
      </c>
      <c r="J1143" s="2">
        <v>1</v>
      </c>
      <c r="K1143" s="200" t="s">
        <v>561</v>
      </c>
    </row>
    <row r="1144" spans="1:11">
      <c r="A1144" s="2">
        <f t="shared" si="112"/>
        <v>1143</v>
      </c>
      <c r="B1144" s="198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199" t="s">
        <v>852</v>
      </c>
      <c r="J1144" s="2">
        <v>1</v>
      </c>
      <c r="K1144" s="200" t="s">
        <v>701</v>
      </c>
    </row>
    <row r="1145" spans="1:11">
      <c r="A1145" s="2">
        <f t="shared" si="112"/>
        <v>1144</v>
      </c>
      <c r="B1145" s="198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199" t="s">
        <v>853</v>
      </c>
      <c r="J1145" s="2">
        <v>1</v>
      </c>
      <c r="K1145" s="200" t="s">
        <v>768</v>
      </c>
    </row>
    <row r="1146" spans="1:11">
      <c r="A1146" s="2">
        <f t="shared" si="112"/>
        <v>1145</v>
      </c>
      <c r="B1146" s="198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199" t="s">
        <v>854</v>
      </c>
      <c r="J1146" s="2">
        <v>1</v>
      </c>
      <c r="K1146" s="200" t="s">
        <v>595</v>
      </c>
    </row>
    <row r="1147" spans="1:11">
      <c r="A1147" s="2">
        <f t="shared" si="112"/>
        <v>1146</v>
      </c>
      <c r="B1147" s="198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199" t="s">
        <v>855</v>
      </c>
      <c r="J1147" s="2">
        <v>1</v>
      </c>
      <c r="K1147" s="200" t="s">
        <v>758</v>
      </c>
    </row>
    <row r="1148" spans="1:11">
      <c r="A1148" s="2">
        <f t="shared" si="112"/>
        <v>1147</v>
      </c>
      <c r="B1148" s="198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199" t="s">
        <v>857</v>
      </c>
      <c r="J1148" s="2">
        <v>1</v>
      </c>
      <c r="K1148" s="200" t="s">
        <v>856</v>
      </c>
    </row>
    <row r="1149" spans="1:11">
      <c r="A1149" s="2">
        <f t="shared" ref="A1149:A1166" si="113">A1148+1</f>
        <v>1148</v>
      </c>
      <c r="B1149" s="198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859</v>
      </c>
      <c r="J1149" s="2">
        <v>1</v>
      </c>
      <c r="K1149" s="3" t="s">
        <v>858</v>
      </c>
    </row>
    <row r="1150" spans="1:11">
      <c r="A1150" s="2">
        <f t="shared" si="113"/>
        <v>1149</v>
      </c>
      <c r="B1150" s="198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860</v>
      </c>
      <c r="J1150" s="2">
        <v>1</v>
      </c>
      <c r="K1150" s="3" t="s">
        <v>858</v>
      </c>
    </row>
    <row r="1151" spans="1:11">
      <c r="A1151" s="2">
        <f t="shared" si="113"/>
        <v>1150</v>
      </c>
      <c r="B1151" s="198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861</v>
      </c>
      <c r="J1151" s="2">
        <v>1</v>
      </c>
      <c r="K1151" s="3" t="s">
        <v>858</v>
      </c>
    </row>
    <row r="1152" spans="1:11">
      <c r="A1152" s="2">
        <f t="shared" si="113"/>
        <v>1151</v>
      </c>
      <c r="B1152" s="198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863</v>
      </c>
      <c r="J1152" s="2">
        <v>1</v>
      </c>
      <c r="K1152" s="3" t="s">
        <v>862</v>
      </c>
    </row>
    <row r="1153" spans="1:11">
      <c r="A1153" s="2">
        <f t="shared" si="113"/>
        <v>1152</v>
      </c>
      <c r="B1153" s="198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864</v>
      </c>
      <c r="J1153" s="2">
        <v>1</v>
      </c>
      <c r="K1153" s="3" t="s">
        <v>670</v>
      </c>
    </row>
    <row r="1154" spans="1:11">
      <c r="A1154" s="2">
        <f t="shared" si="113"/>
        <v>1153</v>
      </c>
      <c r="B1154" s="198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866</v>
      </c>
      <c r="J1154" s="2">
        <v>1</v>
      </c>
      <c r="K1154" s="3" t="s">
        <v>865</v>
      </c>
    </row>
    <row r="1155" spans="1:11">
      <c r="A1155" s="2">
        <f t="shared" si="113"/>
        <v>1154</v>
      </c>
      <c r="B1155" s="198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868</v>
      </c>
      <c r="J1155" s="2">
        <v>1</v>
      </c>
      <c r="K1155" s="3" t="s">
        <v>867</v>
      </c>
    </row>
    <row r="1156" spans="1:11">
      <c r="A1156" s="2">
        <f t="shared" si="113"/>
        <v>1155</v>
      </c>
      <c r="B1156" s="198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870</v>
      </c>
      <c r="J1156" s="2">
        <v>1</v>
      </c>
      <c r="K1156" s="3" t="s">
        <v>869</v>
      </c>
    </row>
    <row r="1157" spans="1:11">
      <c r="A1157" s="2">
        <f t="shared" si="113"/>
        <v>1156</v>
      </c>
      <c r="B1157" s="198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872</v>
      </c>
      <c r="J1157" s="2">
        <v>1</v>
      </c>
      <c r="K1157" s="3" t="s">
        <v>871</v>
      </c>
    </row>
    <row r="1158" spans="1:11">
      <c r="A1158" s="2">
        <f t="shared" si="113"/>
        <v>1157</v>
      </c>
      <c r="B1158" s="198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874</v>
      </c>
      <c r="J1158" s="2">
        <v>1</v>
      </c>
      <c r="K1158" s="3" t="s">
        <v>873</v>
      </c>
    </row>
    <row r="1159" spans="1:11">
      <c r="A1159" s="2">
        <f t="shared" si="113"/>
        <v>1158</v>
      </c>
      <c r="B1159" s="198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876</v>
      </c>
      <c r="J1159" s="2">
        <v>1</v>
      </c>
      <c r="K1159" s="3" t="s">
        <v>875</v>
      </c>
    </row>
    <row r="1160" spans="1:11">
      <c r="A1160" s="2">
        <f t="shared" si="113"/>
        <v>1159</v>
      </c>
      <c r="B1160" s="198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877</v>
      </c>
      <c r="J1160" s="2">
        <v>1</v>
      </c>
      <c r="K1160" s="3" t="s">
        <v>812</v>
      </c>
    </row>
    <row r="1161" spans="1:11">
      <c r="A1161" s="2">
        <f t="shared" si="113"/>
        <v>1160</v>
      </c>
      <c r="B1161" s="198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879</v>
      </c>
      <c r="J1161" s="2">
        <v>1</v>
      </c>
      <c r="K1161" s="3" t="s">
        <v>878</v>
      </c>
    </row>
    <row r="1162" spans="1:11">
      <c r="A1162" s="2">
        <f t="shared" si="113"/>
        <v>1161</v>
      </c>
      <c r="B1162" s="198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880</v>
      </c>
      <c r="J1162" s="2">
        <v>1</v>
      </c>
      <c r="K1162" s="3" t="s">
        <v>727</v>
      </c>
    </row>
    <row r="1163" spans="1:11">
      <c r="A1163" s="2">
        <f t="shared" si="113"/>
        <v>1162</v>
      </c>
      <c r="B1163" s="198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881</v>
      </c>
      <c r="J1163" s="2">
        <v>1</v>
      </c>
      <c r="K1163" s="3" t="s">
        <v>517</v>
      </c>
    </row>
    <row r="1164" spans="1:11">
      <c r="A1164" s="2">
        <f t="shared" si="113"/>
        <v>1163</v>
      </c>
      <c r="B1164" s="198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882</v>
      </c>
      <c r="J1164" s="2">
        <v>1</v>
      </c>
      <c r="K1164" s="3" t="s">
        <v>805</v>
      </c>
    </row>
    <row r="1165" spans="1:11">
      <c r="A1165" s="2">
        <f t="shared" si="113"/>
        <v>1164</v>
      </c>
      <c r="B1165" s="198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884</v>
      </c>
      <c r="J1165" s="2">
        <v>1</v>
      </c>
      <c r="K1165" s="3" t="s">
        <v>883</v>
      </c>
    </row>
    <row r="1166" spans="1:11">
      <c r="A1166" s="2">
        <f t="shared" si="113"/>
        <v>1165</v>
      </c>
      <c r="B1166" s="198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886</v>
      </c>
      <c r="J1166" s="2">
        <v>1</v>
      </c>
      <c r="K1166" s="3" t="s">
        <v>885</v>
      </c>
    </row>
    <row r="1167" spans="1:11">
      <c r="A1167" s="2">
        <f>A1166+1</f>
        <v>1166</v>
      </c>
      <c r="B1167" s="198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693</v>
      </c>
      <c r="J1167" s="2">
        <v>1</v>
      </c>
      <c r="K1167" s="201" t="s">
        <v>887</v>
      </c>
    </row>
    <row r="1168" spans="1:11">
      <c r="A1168" s="2">
        <f t="shared" ref="A1168:A1169" si="114">A1167+1</f>
        <v>1167</v>
      </c>
      <c r="B1168" s="198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02" t="s">
        <v>189</v>
      </c>
    </row>
    <row r="1169" spans="1:11">
      <c r="A1169" s="2">
        <f t="shared" si="114"/>
        <v>1168</v>
      </c>
      <c r="B1169" s="198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02" t="s">
        <v>185</v>
      </c>
    </row>
    <row r="1170" spans="1:11">
      <c r="A1170" s="2">
        <f t="shared" ref="A1170:A1177" si="115">A1169+1</f>
        <v>1169</v>
      </c>
      <c r="B1170" s="198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02" t="s">
        <v>185</v>
      </c>
    </row>
    <row r="1171" spans="1:11">
      <c r="A1171" s="2">
        <f t="shared" si="115"/>
        <v>1170</v>
      </c>
      <c r="B1171" s="198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02" t="s">
        <v>185</v>
      </c>
    </row>
    <row r="1172" spans="1:11">
      <c r="A1172" s="2">
        <f t="shared" si="115"/>
        <v>1171</v>
      </c>
      <c r="B1172" s="198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02" t="s">
        <v>189</v>
      </c>
    </row>
    <row r="1173" spans="1:11">
      <c r="A1173" s="2">
        <f t="shared" si="115"/>
        <v>1172</v>
      </c>
      <c r="B1173" s="198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199" t="s">
        <v>334</v>
      </c>
      <c r="J1173" s="2">
        <v>2</v>
      </c>
      <c r="K1173" s="202" t="s">
        <v>189</v>
      </c>
    </row>
    <row r="1174" spans="1:11">
      <c r="A1174" s="2">
        <f t="shared" si="115"/>
        <v>1173</v>
      </c>
      <c r="B1174" s="198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198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198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1474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198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1475</v>
      </c>
      <c r="J1177" s="2">
        <v>1</v>
      </c>
      <c r="K1177" s="3" t="s">
        <v>187</v>
      </c>
    </row>
    <row r="1178" spans="1:11">
      <c r="A1178" s="2">
        <f>A1177+1</f>
        <v>1177</v>
      </c>
      <c r="B1178" s="198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198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02" t="s">
        <v>188</v>
      </c>
    </row>
    <row r="1180" spans="1:11">
      <c r="A1180" s="2">
        <f t="shared" ref="A1180:A1181" si="116">A1179+1</f>
        <v>1179</v>
      </c>
      <c r="B1180" s="198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02" t="s">
        <v>184</v>
      </c>
    </row>
    <row r="1181" spans="1:11">
      <c r="A1181" s="2">
        <f t="shared" si="116"/>
        <v>1180</v>
      </c>
      <c r="B1181" s="198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199" t="s">
        <v>334</v>
      </c>
      <c r="J1181" s="2">
        <v>2</v>
      </c>
      <c r="K1181" s="202" t="s">
        <v>189</v>
      </c>
    </row>
    <row r="1182" spans="1:11">
      <c r="A1182" s="2">
        <f t="shared" ref="A1182:A1183" si="117">A1181+1</f>
        <v>1181</v>
      </c>
      <c r="B1182" s="198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692</v>
      </c>
      <c r="J1182" s="2">
        <v>1</v>
      </c>
      <c r="K1182" s="201" t="s">
        <v>888</v>
      </c>
    </row>
    <row r="1183" spans="1:11">
      <c r="A1183" s="2">
        <f t="shared" si="117"/>
        <v>1182</v>
      </c>
      <c r="B1183" s="198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692</v>
      </c>
      <c r="J1183" s="2">
        <v>1</v>
      </c>
      <c r="K1183" s="201" t="s">
        <v>704</v>
      </c>
    </row>
    <row r="1184" spans="1:11">
      <c r="A1184" s="2">
        <f t="shared" ref="A1184:A1189" si="118">A1183+1</f>
        <v>1183</v>
      </c>
      <c r="B1184" s="198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198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1460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198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1460</v>
      </c>
      <c r="J1186" s="2">
        <v>1</v>
      </c>
      <c r="K1186" s="202" t="s">
        <v>185</v>
      </c>
    </row>
    <row r="1187" spans="1:11">
      <c r="A1187" s="2">
        <f t="shared" si="118"/>
        <v>1186</v>
      </c>
      <c r="B1187" s="198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1460</v>
      </c>
      <c r="J1187" s="2">
        <v>1</v>
      </c>
      <c r="K1187" s="202" t="s">
        <v>185</v>
      </c>
    </row>
    <row r="1188" spans="1:11">
      <c r="A1188" s="2">
        <f t="shared" si="118"/>
        <v>1187</v>
      </c>
      <c r="B1188" s="198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02" t="s">
        <v>188</v>
      </c>
    </row>
    <row r="1189" spans="1:11">
      <c r="A1189" s="2">
        <f t="shared" si="118"/>
        <v>1188</v>
      </c>
      <c r="B1189" s="198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199" t="s">
        <v>364</v>
      </c>
      <c r="J1189" s="2">
        <v>1</v>
      </c>
      <c r="K1189" s="199" t="s">
        <v>187</v>
      </c>
    </row>
    <row r="1190" spans="1:11">
      <c r="A1190" s="2">
        <f t="shared" ref="A1190:A1193" si="119">A1189+1</f>
        <v>1189</v>
      </c>
      <c r="B1190" s="198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199" t="s">
        <v>360</v>
      </c>
      <c r="J1190" s="2">
        <v>1</v>
      </c>
      <c r="K1190" s="199" t="s">
        <v>187</v>
      </c>
    </row>
    <row r="1191" spans="1:11">
      <c r="A1191" s="2">
        <f t="shared" si="119"/>
        <v>1190</v>
      </c>
      <c r="B1191" s="198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199" t="s">
        <v>360</v>
      </c>
      <c r="J1191" s="2">
        <v>1</v>
      </c>
      <c r="K1191" s="199" t="s">
        <v>188</v>
      </c>
    </row>
    <row r="1192" spans="1:11">
      <c r="A1192" s="2">
        <f t="shared" si="119"/>
        <v>1191</v>
      </c>
      <c r="B1192" s="198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199" t="s">
        <v>334</v>
      </c>
      <c r="J1192" s="2">
        <v>2</v>
      </c>
      <c r="K1192" s="199" t="s">
        <v>188</v>
      </c>
    </row>
    <row r="1193" spans="1:11">
      <c r="A1193" s="2">
        <f t="shared" si="119"/>
        <v>1192</v>
      </c>
      <c r="B1193" s="198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199" t="s">
        <v>186</v>
      </c>
    </row>
    <row r="1194" spans="1:11">
      <c r="A1194" s="2">
        <f>A1193+1</f>
        <v>1193</v>
      </c>
      <c r="B1194" s="198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199" t="s">
        <v>320</v>
      </c>
      <c r="J1194" s="2">
        <v>1</v>
      </c>
      <c r="K1194" s="199" t="s">
        <v>187</v>
      </c>
    </row>
    <row r="1195" spans="1:11">
      <c r="A1195" s="2">
        <f t="shared" ref="A1195:A1197" si="120">A1194+1</f>
        <v>1194</v>
      </c>
      <c r="B1195" s="198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1460</v>
      </c>
      <c r="J1195" s="2">
        <v>1</v>
      </c>
      <c r="K1195" s="202" t="s">
        <v>186</v>
      </c>
    </row>
    <row r="1196" spans="1:11">
      <c r="A1196" s="2">
        <f t="shared" si="120"/>
        <v>1195</v>
      </c>
      <c r="B1196" s="198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02" t="s">
        <v>185</v>
      </c>
    </row>
    <row r="1197" spans="1:11">
      <c r="A1197" s="2">
        <f t="shared" si="120"/>
        <v>1196</v>
      </c>
      <c r="B1197" s="198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02" t="s">
        <v>186</v>
      </c>
    </row>
    <row r="1198" spans="1:11">
      <c r="A1198" s="2">
        <f t="shared" ref="A1198:A1200" si="121">A1197+1</f>
        <v>1197</v>
      </c>
      <c r="B1198" s="198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02" t="s">
        <v>188</v>
      </c>
    </row>
    <row r="1199" spans="1:11">
      <c r="A1199" s="2">
        <f t="shared" si="121"/>
        <v>1198</v>
      </c>
      <c r="B1199" s="198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02" t="s">
        <v>188</v>
      </c>
    </row>
    <row r="1200" spans="1:11">
      <c r="A1200" s="2">
        <f t="shared" si="121"/>
        <v>1199</v>
      </c>
      <c r="B1200" s="198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199" t="s">
        <v>334</v>
      </c>
      <c r="J1200" s="2">
        <v>2</v>
      </c>
      <c r="K1200" s="202" t="s">
        <v>189</v>
      </c>
    </row>
    <row r="1201" spans="1:11">
      <c r="A1201" s="2">
        <f t="shared" ref="A1201:A1202" si="122">A1200+1</f>
        <v>1200</v>
      </c>
      <c r="B1201" s="198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199" t="s">
        <v>189</v>
      </c>
    </row>
    <row r="1202" spans="1:11">
      <c r="A1202" s="2">
        <f t="shared" si="122"/>
        <v>1201</v>
      </c>
      <c r="B1202" s="198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1474</v>
      </c>
      <c r="J1202" s="2">
        <v>1</v>
      </c>
      <c r="K1202" s="199" t="s">
        <v>189</v>
      </c>
    </row>
    <row r="1203" spans="1:11">
      <c r="A1203" s="2">
        <f>A1202+1</f>
        <v>1202</v>
      </c>
      <c r="B1203" s="198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1475</v>
      </c>
      <c r="J1203" s="2">
        <v>1</v>
      </c>
      <c r="K1203" s="199" t="s">
        <v>187</v>
      </c>
    </row>
    <row r="1204" spans="1:11">
      <c r="A1204" s="2">
        <f t="shared" ref="A1204:A1205" si="123">A1203+1</f>
        <v>1203</v>
      </c>
      <c r="B1204" s="198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02" t="s">
        <v>188</v>
      </c>
    </row>
    <row r="1205" spans="1:11">
      <c r="A1205" s="2">
        <f t="shared" si="123"/>
        <v>1204</v>
      </c>
      <c r="B1205" s="198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02" t="s">
        <v>187</v>
      </c>
    </row>
    <row r="1206" spans="1:11">
      <c r="A1206" s="2">
        <f t="shared" ref="A1206:A1211" si="124">A1205+1</f>
        <v>1205</v>
      </c>
      <c r="B1206" s="198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02" t="s">
        <v>188</v>
      </c>
    </row>
    <row r="1207" spans="1:11">
      <c r="A1207" s="2">
        <f t="shared" si="124"/>
        <v>1206</v>
      </c>
      <c r="B1207" s="198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889</v>
      </c>
      <c r="J1207" s="2">
        <v>1</v>
      </c>
      <c r="K1207" s="202" t="s">
        <v>188</v>
      </c>
    </row>
    <row r="1208" spans="1:11">
      <c r="A1208" s="2">
        <f t="shared" si="124"/>
        <v>1207</v>
      </c>
      <c r="B1208" s="198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02" t="s">
        <v>188</v>
      </c>
    </row>
    <row r="1209" spans="1:11">
      <c r="A1209" s="2">
        <f t="shared" si="124"/>
        <v>1208</v>
      </c>
      <c r="B1209" s="198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198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198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199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198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02" t="s">
        <v>187</v>
      </c>
    </row>
    <row r="1213" spans="1:11">
      <c r="A1213" s="2">
        <f t="shared" si="125"/>
        <v>1212</v>
      </c>
      <c r="B1213" s="198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02" t="s">
        <v>187</v>
      </c>
    </row>
    <row r="1214" spans="1:11">
      <c r="A1214" s="2">
        <f>A1213+1</f>
        <v>1213</v>
      </c>
      <c r="B1214" s="198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02" t="s">
        <v>184</v>
      </c>
    </row>
    <row r="1215" spans="1:11">
      <c r="A1215" s="2">
        <f>A1214+1</f>
        <v>1214</v>
      </c>
      <c r="B1215" s="198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02" t="s">
        <v>187</v>
      </c>
    </row>
    <row r="1216" spans="1:11">
      <c r="A1216" s="2">
        <f>A1215+1</f>
        <v>1215</v>
      </c>
      <c r="B1216" s="198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199" t="s">
        <v>189</v>
      </c>
    </row>
    <row r="1217" spans="1:11">
      <c r="A1217" s="2">
        <f>A1216+1</f>
        <v>1216</v>
      </c>
      <c r="B1217" s="198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1474</v>
      </c>
      <c r="J1217" s="2">
        <v>1</v>
      </c>
      <c r="K1217" s="202" t="s">
        <v>184</v>
      </c>
    </row>
    <row r="1218" spans="1:11">
      <c r="A1218" s="2">
        <f>A1217+1</f>
        <v>1217</v>
      </c>
      <c r="B1218" s="198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1475</v>
      </c>
      <c r="J1218" s="2">
        <v>1</v>
      </c>
      <c r="K1218" s="202" t="s">
        <v>184</v>
      </c>
    </row>
    <row r="1219" spans="1:11">
      <c r="A1219" s="2">
        <f t="shared" ref="A1219:A1221" si="126">A1218+1</f>
        <v>1218</v>
      </c>
      <c r="B1219" s="198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199" t="s">
        <v>185</v>
      </c>
    </row>
    <row r="1220" spans="1:11">
      <c r="A1220" s="2">
        <f t="shared" si="126"/>
        <v>1219</v>
      </c>
      <c r="B1220" s="198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199" t="s">
        <v>184</v>
      </c>
    </row>
    <row r="1221" spans="1:11">
      <c r="A1221" s="2">
        <f t="shared" si="126"/>
        <v>1220</v>
      </c>
      <c r="B1221" s="198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199" t="s">
        <v>184</v>
      </c>
    </row>
    <row r="1222" spans="1:11">
      <c r="A1222" s="2">
        <f>A1221+1</f>
        <v>1221</v>
      </c>
      <c r="B1222" s="198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199" t="s">
        <v>188</v>
      </c>
    </row>
    <row r="1223" spans="1:11">
      <c r="A1223" s="2">
        <f t="shared" ref="A1223:A1231" si="127">A1222+1</f>
        <v>1222</v>
      </c>
      <c r="B1223" s="198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02" t="s">
        <v>187</v>
      </c>
    </row>
    <row r="1224" spans="1:11">
      <c r="A1224" s="2">
        <f t="shared" si="127"/>
        <v>1223</v>
      </c>
      <c r="B1224" s="198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02" t="s">
        <v>184</v>
      </c>
    </row>
    <row r="1225" spans="1:11">
      <c r="A1225" s="2">
        <f t="shared" si="127"/>
        <v>1224</v>
      </c>
      <c r="B1225" s="198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02" t="s">
        <v>184</v>
      </c>
    </row>
    <row r="1226" spans="1:11">
      <c r="A1226" s="2">
        <f t="shared" si="127"/>
        <v>1225</v>
      </c>
      <c r="B1226" s="198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199" t="s">
        <v>1476</v>
      </c>
      <c r="J1226" s="2">
        <v>1</v>
      </c>
      <c r="K1226" s="202" t="s">
        <v>187</v>
      </c>
    </row>
    <row r="1227" spans="1:11">
      <c r="A1227" s="2">
        <f t="shared" si="127"/>
        <v>1226</v>
      </c>
      <c r="B1227" s="198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199" t="s">
        <v>1476</v>
      </c>
      <c r="J1227" s="2">
        <v>1</v>
      </c>
      <c r="K1227" s="202" t="s">
        <v>184</v>
      </c>
    </row>
    <row r="1228" spans="1:11">
      <c r="A1228" s="2">
        <f t="shared" si="127"/>
        <v>1227</v>
      </c>
      <c r="B1228" s="198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199" t="s">
        <v>1476</v>
      </c>
      <c r="J1228" s="2">
        <v>1</v>
      </c>
      <c r="K1228" s="202" t="s">
        <v>186</v>
      </c>
    </row>
    <row r="1229" spans="1:11">
      <c r="A1229" s="2">
        <f t="shared" si="127"/>
        <v>1228</v>
      </c>
      <c r="B1229" s="198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02" t="s">
        <v>186</v>
      </c>
    </row>
    <row r="1230" spans="1:11">
      <c r="A1230" s="2">
        <f t="shared" si="127"/>
        <v>1229</v>
      </c>
      <c r="B1230" s="198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02" t="s">
        <v>186</v>
      </c>
    </row>
    <row r="1231" spans="1:11">
      <c r="A1231" s="2">
        <f t="shared" si="127"/>
        <v>1230</v>
      </c>
      <c r="B1231" s="198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199" t="s">
        <v>402</v>
      </c>
      <c r="J1231" s="2">
        <v>1</v>
      </c>
      <c r="K1231" s="202" t="s">
        <v>186</v>
      </c>
    </row>
    <row r="1232" spans="1:11">
      <c r="A1232" s="2">
        <f t="shared" ref="A1232:A1233" si="128">A1231+1</f>
        <v>1231</v>
      </c>
      <c r="B1232" s="198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199" t="s">
        <v>364</v>
      </c>
      <c r="J1232" s="2">
        <v>1</v>
      </c>
      <c r="K1232" s="199" t="s">
        <v>186</v>
      </c>
    </row>
    <row r="1233" spans="1:11">
      <c r="A1233" s="2">
        <f t="shared" si="128"/>
        <v>1232</v>
      </c>
      <c r="B1233" s="198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199" t="s">
        <v>334</v>
      </c>
      <c r="J1233" s="2">
        <v>2</v>
      </c>
      <c r="K1233" s="199" t="s">
        <v>189</v>
      </c>
    </row>
    <row r="1234" spans="1:11">
      <c r="A1234" s="2">
        <f t="shared" ref="A1234:A1236" si="129">A1233+1</f>
        <v>1233</v>
      </c>
      <c r="B1234" s="198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02" t="s">
        <v>188</v>
      </c>
    </row>
    <row r="1235" spans="1:11">
      <c r="A1235" s="2">
        <f t="shared" si="129"/>
        <v>1234</v>
      </c>
      <c r="B1235" s="198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02" t="s">
        <v>188</v>
      </c>
    </row>
    <row r="1236" spans="1:11">
      <c r="A1236" s="2">
        <f t="shared" si="129"/>
        <v>1235</v>
      </c>
      <c r="B1236" s="198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199" t="s">
        <v>1476</v>
      </c>
      <c r="J1236" s="2">
        <v>1</v>
      </c>
      <c r="K1236" s="202" t="s">
        <v>188</v>
      </c>
    </row>
    <row r="1237" spans="1:11">
      <c r="A1237" s="2">
        <f>A1236+1</f>
        <v>1236</v>
      </c>
      <c r="B1237" s="198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02" t="s">
        <v>188</v>
      </c>
    </row>
    <row r="1238" spans="1:11">
      <c r="A1238" s="2">
        <f t="shared" ref="A1238:A1239" si="130">A1237+1</f>
        <v>1237</v>
      </c>
      <c r="B1238" s="198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199" t="s">
        <v>320</v>
      </c>
      <c r="J1238" s="2">
        <v>1</v>
      </c>
      <c r="K1238" s="202" t="s">
        <v>186</v>
      </c>
    </row>
    <row r="1239" spans="1:11">
      <c r="A1239" s="2">
        <f t="shared" si="130"/>
        <v>1238</v>
      </c>
      <c r="B1239" s="198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199" t="s">
        <v>320</v>
      </c>
      <c r="J1239" s="2">
        <v>1</v>
      </c>
      <c r="K1239" s="202" t="s">
        <v>186</v>
      </c>
    </row>
    <row r="1240" spans="1:11">
      <c r="A1240" s="2">
        <f>A1239+1</f>
        <v>1239</v>
      </c>
      <c r="B1240" s="198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199" t="s">
        <v>185</v>
      </c>
    </row>
    <row r="1241" spans="1:11">
      <c r="A1241" s="2">
        <f t="shared" ref="A1241:A1242" si="131">A1240+1</f>
        <v>1240</v>
      </c>
      <c r="B1241" s="198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199" t="s">
        <v>320</v>
      </c>
      <c r="J1241" s="2">
        <v>1</v>
      </c>
      <c r="K1241" s="202" t="s">
        <v>187</v>
      </c>
    </row>
    <row r="1242" spans="1:11">
      <c r="A1242" s="2">
        <f t="shared" si="131"/>
        <v>1241</v>
      </c>
      <c r="B1242" s="198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02" t="s">
        <v>184</v>
      </c>
    </row>
    <row r="1243" spans="1:11">
      <c r="A1243" s="2">
        <f t="shared" ref="A1243:A1245" si="132">A1242+1</f>
        <v>1242</v>
      </c>
      <c r="B1243" s="198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02" t="s">
        <v>185</v>
      </c>
    </row>
    <row r="1244" spans="1:11">
      <c r="A1244" s="2">
        <f t="shared" si="132"/>
        <v>1243</v>
      </c>
      <c r="B1244" s="198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02" t="s">
        <v>188</v>
      </c>
    </row>
    <row r="1245" spans="1:11">
      <c r="A1245" s="2">
        <f t="shared" si="132"/>
        <v>1244</v>
      </c>
      <c r="B1245" s="198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199" t="s">
        <v>334</v>
      </c>
      <c r="J1245" s="2">
        <v>2</v>
      </c>
      <c r="K1245" s="202" t="s">
        <v>186</v>
      </c>
    </row>
    <row r="1246" spans="1:11">
      <c r="A1246" s="2">
        <f>A1245+1</f>
        <v>1245</v>
      </c>
      <c r="B1246" s="198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199" t="s">
        <v>186</v>
      </c>
    </row>
    <row r="1247" spans="1:11">
      <c r="A1247" s="2">
        <f>A1246+1</f>
        <v>1246</v>
      </c>
      <c r="B1247" s="198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199" t="s">
        <v>189</v>
      </c>
    </row>
    <row r="1248" spans="1:11">
      <c r="A1248" s="2">
        <f>A1247+1</f>
        <v>1247</v>
      </c>
      <c r="B1248" s="198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199" t="s">
        <v>334</v>
      </c>
      <c r="J1248" s="2">
        <v>1</v>
      </c>
      <c r="K1248" s="199" t="s">
        <v>189</v>
      </c>
    </row>
    <row r="1249" spans="1:11">
      <c r="A1249" s="2">
        <f t="shared" ref="A1249:A1250" si="133">A1248+1</f>
        <v>1248</v>
      </c>
      <c r="B1249" s="198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199" t="s">
        <v>186</v>
      </c>
    </row>
    <row r="1250" spans="1:11">
      <c r="A1250" s="2">
        <f t="shared" si="133"/>
        <v>1249</v>
      </c>
      <c r="B1250" s="198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199" t="s">
        <v>328</v>
      </c>
      <c r="J1250" s="2">
        <v>1</v>
      </c>
      <c r="K1250" s="199" t="s">
        <v>184</v>
      </c>
    </row>
    <row r="1251" spans="1:11">
      <c r="A1251" s="2">
        <f t="shared" ref="A1251:A1253" si="134">A1250+1</f>
        <v>1250</v>
      </c>
      <c r="B1251" s="198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199" t="s">
        <v>410</v>
      </c>
      <c r="J1251" s="2">
        <v>2</v>
      </c>
      <c r="K1251" s="202" t="s">
        <v>186</v>
      </c>
    </row>
    <row r="1252" spans="1:11">
      <c r="A1252" s="2">
        <f t="shared" si="134"/>
        <v>1251</v>
      </c>
      <c r="B1252" s="198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199" t="s">
        <v>334</v>
      </c>
      <c r="J1252" s="2">
        <v>2</v>
      </c>
      <c r="K1252" s="202" t="s">
        <v>186</v>
      </c>
    </row>
    <row r="1253" spans="1:11">
      <c r="A1253" s="2">
        <f t="shared" si="134"/>
        <v>1252</v>
      </c>
      <c r="B1253" s="198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02" t="s">
        <v>184</v>
      </c>
    </row>
    <row r="1254" spans="1:11">
      <c r="A1254" s="2">
        <f>A1253+1</f>
        <v>1253</v>
      </c>
      <c r="B1254" s="198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02" t="s">
        <v>188</v>
      </c>
    </row>
    <row r="1255" spans="1:11">
      <c r="A1255" s="2">
        <f t="shared" ref="A1255:A1256" si="135">A1254+1</f>
        <v>1254</v>
      </c>
      <c r="B1255" s="198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02" t="s">
        <v>189</v>
      </c>
    </row>
    <row r="1256" spans="1:11">
      <c r="A1256" s="2">
        <f t="shared" si="135"/>
        <v>1255</v>
      </c>
      <c r="B1256" s="198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199" t="s">
        <v>334</v>
      </c>
      <c r="J1256" s="2">
        <v>2</v>
      </c>
      <c r="K1256" s="202" t="s">
        <v>186</v>
      </c>
    </row>
    <row r="1257" spans="1:11">
      <c r="A1257" s="2">
        <f>A1256+1</f>
        <v>1256</v>
      </c>
      <c r="B1257" s="198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02" t="s">
        <v>188</v>
      </c>
    </row>
    <row r="1258" spans="1:11">
      <c r="A1258" s="2">
        <f>A1257+1</f>
        <v>1257</v>
      </c>
      <c r="B1258" s="198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02" t="s">
        <v>185</v>
      </c>
    </row>
    <row r="1259" spans="1:11">
      <c r="A1259" s="2">
        <f>A1258+1</f>
        <v>1258</v>
      </c>
      <c r="B1259" s="198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02" t="s">
        <v>187</v>
      </c>
    </row>
    <row r="1260" spans="1:11">
      <c r="A1260" s="2">
        <f t="shared" ref="A1260:A1261" si="136">A1259+1</f>
        <v>1259</v>
      </c>
      <c r="B1260" s="198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199" t="s">
        <v>364</v>
      </c>
      <c r="J1260" s="2">
        <v>1</v>
      </c>
      <c r="K1260" s="202" t="s">
        <v>187</v>
      </c>
    </row>
    <row r="1261" spans="1:11">
      <c r="A1261" s="2">
        <f t="shared" si="136"/>
        <v>1260</v>
      </c>
      <c r="B1261" s="198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199" t="s">
        <v>360</v>
      </c>
      <c r="J1261" s="2">
        <v>1</v>
      </c>
      <c r="K1261" s="202" t="s">
        <v>187</v>
      </c>
    </row>
    <row r="1262" spans="1:11">
      <c r="A1262" s="2">
        <f t="shared" ref="A1262:A1265" si="137">A1261+1</f>
        <v>1261</v>
      </c>
      <c r="B1262" s="198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199" t="s">
        <v>361</v>
      </c>
      <c r="J1262" s="2">
        <v>1</v>
      </c>
      <c r="K1262" s="199" t="s">
        <v>187</v>
      </c>
    </row>
    <row r="1263" spans="1:11">
      <c r="A1263" s="2">
        <f t="shared" si="137"/>
        <v>1262</v>
      </c>
      <c r="B1263" s="198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199" t="s">
        <v>186</v>
      </c>
    </row>
    <row r="1264" spans="1:11">
      <c r="A1264" s="2">
        <f t="shared" si="137"/>
        <v>1263</v>
      </c>
      <c r="B1264" s="198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199" t="s">
        <v>188</v>
      </c>
    </row>
    <row r="1265" spans="1:11">
      <c r="A1265" s="2">
        <f t="shared" si="137"/>
        <v>1264</v>
      </c>
      <c r="B1265" s="198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199" t="s">
        <v>360</v>
      </c>
      <c r="J1265" s="2">
        <v>1</v>
      </c>
      <c r="K1265" s="199" t="s">
        <v>189</v>
      </c>
    </row>
    <row r="1266" spans="1:11">
      <c r="A1266" s="2">
        <f t="shared" ref="A1266:A1267" si="138">A1265+1</f>
        <v>1265</v>
      </c>
      <c r="B1266" s="198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199" t="s">
        <v>188</v>
      </c>
    </row>
    <row r="1267" spans="1:11">
      <c r="A1267" s="2">
        <f t="shared" si="138"/>
        <v>1266</v>
      </c>
      <c r="B1267" s="198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199" t="s">
        <v>334</v>
      </c>
      <c r="J1267" s="2">
        <v>2</v>
      </c>
      <c r="K1267" s="199" t="s">
        <v>188</v>
      </c>
    </row>
    <row r="1268" spans="1:11">
      <c r="A1268" s="2">
        <f>A1267+1</f>
        <v>1267</v>
      </c>
      <c r="B1268" s="198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02" t="s">
        <v>188</v>
      </c>
    </row>
    <row r="1269" spans="1:11">
      <c r="A1269" s="2">
        <f t="shared" ref="A1269:A1271" si="139">A1268+1</f>
        <v>1268</v>
      </c>
      <c r="B1269" s="198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02" t="s">
        <v>184</v>
      </c>
    </row>
    <row r="1270" spans="1:11">
      <c r="A1270" s="2">
        <f t="shared" si="139"/>
        <v>1269</v>
      </c>
      <c r="B1270" s="198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02" t="s">
        <v>185</v>
      </c>
    </row>
    <row r="1271" spans="1:11">
      <c r="A1271" s="2">
        <f t="shared" si="139"/>
        <v>1270</v>
      </c>
      <c r="B1271" s="198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02" t="s">
        <v>188</v>
      </c>
    </row>
    <row r="1272" spans="1:11">
      <c r="A1272" s="2">
        <f t="shared" ref="A1272:A1273" si="140">A1271+1</f>
        <v>1271</v>
      </c>
      <c r="B1272" s="198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199" t="s">
        <v>184</v>
      </c>
    </row>
    <row r="1273" spans="1:11">
      <c r="A1273" s="2">
        <f t="shared" si="140"/>
        <v>1272</v>
      </c>
      <c r="B1273" s="198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199" t="s">
        <v>189</v>
      </c>
    </row>
    <row r="1274" spans="1:11">
      <c r="A1274" s="2">
        <f t="shared" ref="A1274:A1275" si="141">A1273+1</f>
        <v>1273</v>
      </c>
      <c r="B1274" s="198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02" t="s">
        <v>189</v>
      </c>
    </row>
    <row r="1275" spans="1:11">
      <c r="A1275" s="2">
        <f t="shared" si="141"/>
        <v>1274</v>
      </c>
      <c r="B1275" s="198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199" t="s">
        <v>334</v>
      </c>
      <c r="J1275" s="2">
        <v>2</v>
      </c>
      <c r="K1275" s="202" t="s">
        <v>189</v>
      </c>
    </row>
    <row r="1276" spans="1:11">
      <c r="A1276" s="2">
        <f>A1275+1</f>
        <v>1275</v>
      </c>
      <c r="B1276" s="198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02" t="s">
        <v>185</v>
      </c>
    </row>
    <row r="1277" spans="1:11">
      <c r="A1277" s="2">
        <f>A1276+1</f>
        <v>1276</v>
      </c>
      <c r="B1277" s="198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02" t="s">
        <v>188</v>
      </c>
    </row>
    <row r="1278" spans="1:11">
      <c r="A1278" s="2">
        <f t="shared" ref="A1278:A1280" si="142">A1277+1</f>
        <v>1277</v>
      </c>
      <c r="B1278" s="198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02" t="s">
        <v>189</v>
      </c>
    </row>
    <row r="1279" spans="1:11">
      <c r="A1279" s="2">
        <f t="shared" si="142"/>
        <v>1278</v>
      </c>
      <c r="B1279" s="198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02" t="s">
        <v>188</v>
      </c>
    </row>
    <row r="1280" spans="1:11">
      <c r="A1280" s="2">
        <f t="shared" si="142"/>
        <v>1279</v>
      </c>
      <c r="B1280" s="198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02" t="s">
        <v>188</v>
      </c>
    </row>
    <row r="1281" spans="1:11">
      <c r="A1281" s="2">
        <f t="shared" ref="A1281:A1282" si="143">A1280+1</f>
        <v>1280</v>
      </c>
      <c r="B1281" s="198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02" t="s">
        <v>188</v>
      </c>
    </row>
    <row r="1282" spans="1:11">
      <c r="A1282" s="2">
        <f t="shared" si="143"/>
        <v>1281</v>
      </c>
      <c r="B1282" s="198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02" t="s">
        <v>185</v>
      </c>
    </row>
    <row r="1283" spans="1:11">
      <c r="A1283" s="2">
        <f t="shared" ref="A1283:A1285" si="144">A1282+1</f>
        <v>1282</v>
      </c>
      <c r="B1283" s="198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02" t="s">
        <v>188</v>
      </c>
    </row>
    <row r="1284" spans="1:11">
      <c r="A1284" s="2">
        <f t="shared" si="144"/>
        <v>1283</v>
      </c>
      <c r="B1284" s="198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02" t="s">
        <v>186</v>
      </c>
    </row>
    <row r="1285" spans="1:11">
      <c r="A1285" s="2">
        <f t="shared" si="144"/>
        <v>1284</v>
      </c>
      <c r="B1285" s="198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02" t="s">
        <v>188</v>
      </c>
    </row>
    <row r="1286" spans="1:11">
      <c r="A1286" s="2">
        <f t="shared" ref="A1286:A1287" si="145">A1285+1</f>
        <v>1285</v>
      </c>
      <c r="B1286" s="198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02" t="s">
        <v>185</v>
      </c>
    </row>
    <row r="1287" spans="1:11">
      <c r="A1287" s="2">
        <f t="shared" si="145"/>
        <v>1286</v>
      </c>
      <c r="B1287" s="198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02" t="s">
        <v>185</v>
      </c>
    </row>
    <row r="1288" spans="1:11">
      <c r="A1288" s="2">
        <f>A1287+1</f>
        <v>1287</v>
      </c>
      <c r="B1288" s="198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02" t="s">
        <v>188</v>
      </c>
    </row>
    <row r="1289" spans="1:11">
      <c r="A1289" s="2">
        <f>A1288+1</f>
        <v>1288</v>
      </c>
      <c r="B1289" s="198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02" t="s">
        <v>185</v>
      </c>
    </row>
    <row r="1290" spans="1:11">
      <c r="A1290" s="2">
        <f>A1289+1</f>
        <v>1289</v>
      </c>
      <c r="B1290" s="198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02" t="s">
        <v>186</v>
      </c>
    </row>
    <row r="1291" spans="1:11">
      <c r="A1291" s="2">
        <f>A1290+1</f>
        <v>1290</v>
      </c>
      <c r="B1291" s="198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02" t="s">
        <v>188</v>
      </c>
    </row>
    <row r="1292" spans="1:11">
      <c r="A1292" s="2">
        <f t="shared" ref="A1292:A1294" si="146">A1291+1</f>
        <v>1291</v>
      </c>
      <c r="B1292" s="198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02" t="s">
        <v>188</v>
      </c>
    </row>
    <row r="1293" spans="1:11">
      <c r="A1293" s="2">
        <f t="shared" si="146"/>
        <v>1292</v>
      </c>
      <c r="B1293" s="198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02" t="s">
        <v>185</v>
      </c>
    </row>
    <row r="1294" spans="1:11">
      <c r="A1294" s="2">
        <f t="shared" si="146"/>
        <v>1293</v>
      </c>
      <c r="B1294" s="198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02" t="s">
        <v>187</v>
      </c>
    </row>
    <row r="1295" spans="1:11">
      <c r="A1295" s="2">
        <f>A1294+1</f>
        <v>1294</v>
      </c>
      <c r="B1295" s="198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02" t="s">
        <v>185</v>
      </c>
    </row>
    <row r="1296" spans="1:11">
      <c r="A1296" s="2">
        <f>A1295+1</f>
        <v>1295</v>
      </c>
      <c r="B1296" s="198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02" t="s">
        <v>188</v>
      </c>
    </row>
    <row r="1297" spans="1:11">
      <c r="A1297" s="2">
        <f t="shared" ref="A1297:A1298" si="147">A1296+1</f>
        <v>1296</v>
      </c>
      <c r="B1297" s="198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199" t="s">
        <v>185</v>
      </c>
    </row>
    <row r="1298" spans="1:11">
      <c r="A1298" s="2">
        <f t="shared" si="147"/>
        <v>1297</v>
      </c>
      <c r="B1298" s="198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199" t="s">
        <v>187</v>
      </c>
    </row>
    <row r="1299" spans="1:11">
      <c r="A1299" s="2">
        <f t="shared" ref="A1299:A1300" si="148">A1298+1</f>
        <v>1298</v>
      </c>
      <c r="B1299" s="198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02" t="s">
        <v>189</v>
      </c>
    </row>
    <row r="1300" spans="1:11">
      <c r="A1300" s="2">
        <f t="shared" si="148"/>
        <v>1299</v>
      </c>
      <c r="B1300" s="198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02" t="s">
        <v>185</v>
      </c>
    </row>
    <row r="1301" spans="1:11">
      <c r="A1301" s="2">
        <f>A1300+1</f>
        <v>1300</v>
      </c>
      <c r="B1301" s="198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1477</v>
      </c>
      <c r="J1301" s="2">
        <v>1</v>
      </c>
      <c r="K1301" s="202" t="s">
        <v>188</v>
      </c>
    </row>
    <row r="1302" spans="1:11">
      <c r="A1302" s="2">
        <f t="shared" ref="A1302:A1305" si="149">A1301+1</f>
        <v>1301</v>
      </c>
      <c r="B1302" s="198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2">
        <v>45538</v>
      </c>
      <c r="I1302" t="s">
        <v>404</v>
      </c>
      <c r="J1302" s="2">
        <v>1</v>
      </c>
      <c r="K1302" s="202" t="s">
        <v>185</v>
      </c>
    </row>
    <row r="1303" spans="1:11">
      <c r="A1303" s="2">
        <f t="shared" si="149"/>
        <v>1302</v>
      </c>
      <c r="B1303" s="198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2">
        <v>45538</v>
      </c>
      <c r="I1303" t="s">
        <v>403</v>
      </c>
      <c r="J1303" s="2">
        <v>2</v>
      </c>
      <c r="K1303" s="202" t="s">
        <v>189</v>
      </c>
    </row>
    <row r="1304" spans="1:11">
      <c r="A1304" s="2">
        <f t="shared" si="149"/>
        <v>1303</v>
      </c>
      <c r="B1304" s="198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2">
        <v>45538</v>
      </c>
      <c r="I1304" t="s">
        <v>404</v>
      </c>
      <c r="J1304" s="2">
        <v>1</v>
      </c>
      <c r="K1304" s="202" t="s">
        <v>186</v>
      </c>
    </row>
    <row r="1305" spans="1:11">
      <c r="A1305" s="2">
        <f t="shared" si="149"/>
        <v>1304</v>
      </c>
      <c r="B1305" s="198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2">
        <v>45538</v>
      </c>
      <c r="I1305" t="s">
        <v>384</v>
      </c>
      <c r="J1305" s="2">
        <v>2</v>
      </c>
      <c r="K1305" s="202" t="s">
        <v>185</v>
      </c>
    </row>
    <row r="1306" spans="1:11">
      <c r="A1306" s="2">
        <f>A1305+1</f>
        <v>1305</v>
      </c>
      <c r="B1306" s="198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02" t="s">
        <v>185</v>
      </c>
    </row>
    <row r="1307" spans="1:11">
      <c r="A1307" s="2">
        <f t="shared" ref="A1307:A1309" si="150">A1306+1</f>
        <v>1306</v>
      </c>
      <c r="B1307" s="198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199" t="s">
        <v>188</v>
      </c>
    </row>
    <row r="1308" spans="1:11">
      <c r="A1308" s="2">
        <f t="shared" si="150"/>
        <v>1307</v>
      </c>
      <c r="B1308" s="198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199" t="s">
        <v>187</v>
      </c>
    </row>
    <row r="1309" spans="1:11">
      <c r="A1309" s="2">
        <f t="shared" si="150"/>
        <v>1308</v>
      </c>
      <c r="B1309" s="198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199" t="s">
        <v>286</v>
      </c>
      <c r="J1309" s="2">
        <v>1</v>
      </c>
      <c r="K1309" s="199" t="s">
        <v>185</v>
      </c>
    </row>
    <row r="1310" spans="1:11">
      <c r="A1310" s="2">
        <f>A1309+1</f>
        <v>1309</v>
      </c>
      <c r="B1310" s="198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02" t="s">
        <v>188</v>
      </c>
    </row>
    <row r="1311" spans="1:11">
      <c r="A1311" s="2">
        <f>A1310+1</f>
        <v>1310</v>
      </c>
      <c r="B1311" s="198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1477</v>
      </c>
      <c r="J1311" s="2">
        <v>1</v>
      </c>
      <c r="K1311" s="202" t="s">
        <v>189</v>
      </c>
    </row>
    <row r="1312" spans="1:11">
      <c r="A1312" s="2">
        <f>A1311+1</f>
        <v>1311</v>
      </c>
      <c r="B1312" s="198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02" t="s">
        <v>188</v>
      </c>
    </row>
    <row r="1313" spans="1:11">
      <c r="A1313" s="2">
        <f t="shared" ref="A1313:A1314" si="151">A1312+1</f>
        <v>1312</v>
      </c>
      <c r="B1313" s="198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02" t="s">
        <v>187</v>
      </c>
    </row>
    <row r="1314" spans="1:11">
      <c r="A1314" s="2">
        <f t="shared" si="151"/>
        <v>1313</v>
      </c>
      <c r="B1314" s="198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02" t="s">
        <v>187</v>
      </c>
    </row>
    <row r="1315" spans="1:11">
      <c r="A1315" s="2">
        <f t="shared" ref="A1315:A1320" si="152">A1314+1</f>
        <v>1314</v>
      </c>
      <c r="B1315" s="198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02" t="s">
        <v>185</v>
      </c>
    </row>
    <row r="1316" spans="1:11">
      <c r="A1316" s="2">
        <f t="shared" si="152"/>
        <v>1315</v>
      </c>
      <c r="B1316" s="198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1477</v>
      </c>
      <c r="J1316" s="2">
        <v>1</v>
      </c>
      <c r="K1316" s="202" t="s">
        <v>189</v>
      </c>
    </row>
    <row r="1317" spans="1:11">
      <c r="A1317" s="2">
        <f t="shared" si="152"/>
        <v>1316</v>
      </c>
      <c r="B1317" s="198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1477</v>
      </c>
      <c r="J1317" s="2">
        <v>1</v>
      </c>
      <c r="K1317" s="202" t="s">
        <v>185</v>
      </c>
    </row>
    <row r="1318" spans="1:11">
      <c r="A1318" s="2">
        <f t="shared" si="152"/>
        <v>1317</v>
      </c>
      <c r="B1318" s="198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04" t="s">
        <v>189</v>
      </c>
    </row>
    <row r="1319" spans="1:11">
      <c r="A1319" s="2">
        <f t="shared" si="152"/>
        <v>1318</v>
      </c>
      <c r="B1319" s="198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04" t="s">
        <v>189</v>
      </c>
    </row>
    <row r="1320" spans="1:11">
      <c r="A1320" s="2">
        <f t="shared" si="152"/>
        <v>1319</v>
      </c>
      <c r="B1320" s="198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199" t="s">
        <v>334</v>
      </c>
      <c r="J1320" s="2">
        <v>2</v>
      </c>
      <c r="K1320" s="204" t="s">
        <v>189</v>
      </c>
    </row>
    <row r="1321" spans="1:11">
      <c r="A1321" s="2">
        <f t="shared" ref="A1321:A1322" si="153">A1320+1</f>
        <v>1320</v>
      </c>
      <c r="B1321" s="198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02" t="s">
        <v>186</v>
      </c>
    </row>
    <row r="1322" spans="1:11">
      <c r="A1322" s="2">
        <f t="shared" si="153"/>
        <v>1321</v>
      </c>
      <c r="B1322" s="198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1477</v>
      </c>
      <c r="J1322" s="2">
        <v>1</v>
      </c>
      <c r="K1322" s="202" t="s">
        <v>189</v>
      </c>
    </row>
    <row r="1323" spans="1:11">
      <c r="A1323" s="2">
        <f t="shared" ref="A1323:A1328" si="154">A1322+1</f>
        <v>1322</v>
      </c>
      <c r="B1323" s="198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1477</v>
      </c>
      <c r="J1323" s="2">
        <v>1</v>
      </c>
      <c r="K1323" s="202" t="s">
        <v>188</v>
      </c>
    </row>
    <row r="1324" spans="1:11">
      <c r="A1324" s="2">
        <f t="shared" si="154"/>
        <v>1323</v>
      </c>
      <c r="B1324" s="198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02" t="s">
        <v>189</v>
      </c>
    </row>
    <row r="1325" spans="1:11">
      <c r="A1325" s="2">
        <f t="shared" si="154"/>
        <v>1324</v>
      </c>
      <c r="B1325" s="198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199" t="s">
        <v>334</v>
      </c>
      <c r="J1325" s="2">
        <v>1</v>
      </c>
      <c r="K1325" s="202" t="s">
        <v>187</v>
      </c>
    </row>
    <row r="1326" spans="1:11">
      <c r="A1326" s="2">
        <f t="shared" si="154"/>
        <v>1325</v>
      </c>
      <c r="B1326" s="198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02" t="s">
        <v>188</v>
      </c>
    </row>
    <row r="1327" spans="1:11">
      <c r="A1327" s="2">
        <f t="shared" si="154"/>
        <v>1326</v>
      </c>
      <c r="B1327" s="198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199" t="s">
        <v>334</v>
      </c>
      <c r="J1327" s="2">
        <v>2</v>
      </c>
      <c r="K1327" s="202" t="s">
        <v>185</v>
      </c>
    </row>
    <row r="1328" spans="1:11">
      <c r="A1328" s="2">
        <f t="shared" si="154"/>
        <v>1327</v>
      </c>
      <c r="B1328" s="198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02" t="s">
        <v>188</v>
      </c>
    </row>
    <row r="1329" spans="1:11">
      <c r="A1329" s="2">
        <f>A1328+1</f>
        <v>1328</v>
      </c>
      <c r="B1329" s="198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02" t="s">
        <v>186</v>
      </c>
    </row>
    <row r="1330" spans="1:11">
      <c r="A1330" s="2">
        <f>A1329+1</f>
        <v>1329</v>
      </c>
      <c r="B1330" s="198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492</v>
      </c>
      <c r="J1330" s="2">
        <v>1</v>
      </c>
      <c r="K1330" s="200" t="s">
        <v>890</v>
      </c>
    </row>
    <row r="1331" spans="1:11">
      <c r="A1331" s="2">
        <f>A1330+1</f>
        <v>1330</v>
      </c>
      <c r="B1331" s="198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693</v>
      </c>
      <c r="J1331" s="2">
        <v>1</v>
      </c>
      <c r="K1331" s="200" t="s">
        <v>891</v>
      </c>
    </row>
    <row r="1332" spans="1:11">
      <c r="A1332" s="2">
        <f t="shared" ref="A1332:A1334" si="155">A1331+1</f>
        <v>1331</v>
      </c>
      <c r="B1332" s="198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02" t="s">
        <v>185</v>
      </c>
    </row>
    <row r="1333" spans="1:11">
      <c r="A1333" s="2">
        <f t="shared" si="155"/>
        <v>1332</v>
      </c>
      <c r="B1333" s="198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199" t="s">
        <v>334</v>
      </c>
      <c r="J1333" s="2">
        <v>1</v>
      </c>
      <c r="K1333" s="202" t="s">
        <v>186</v>
      </c>
    </row>
    <row r="1334" spans="1:11">
      <c r="A1334" s="2">
        <f t="shared" si="155"/>
        <v>1333</v>
      </c>
      <c r="B1334" s="198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1477</v>
      </c>
      <c r="J1334" s="2">
        <v>1</v>
      </c>
      <c r="K1334" s="202" t="s">
        <v>185</v>
      </c>
    </row>
    <row r="1335" spans="1:11">
      <c r="A1335" s="2">
        <f>A1334+1</f>
        <v>1334</v>
      </c>
      <c r="B1335" s="198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02" t="s">
        <v>186</v>
      </c>
    </row>
    <row r="1336" spans="1:11">
      <c r="A1336" s="2">
        <f t="shared" ref="A1336:A1337" si="156">A1335+1</f>
        <v>1335</v>
      </c>
      <c r="B1336" s="198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02" t="s">
        <v>186</v>
      </c>
    </row>
    <row r="1337" spans="1:11">
      <c r="A1337" s="2">
        <f t="shared" si="156"/>
        <v>1336</v>
      </c>
      <c r="B1337" s="198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02" t="s">
        <v>184</v>
      </c>
    </row>
    <row r="1338" spans="1:11">
      <c r="A1338" s="2">
        <f t="shared" ref="A1338:A1339" si="157">A1337+1</f>
        <v>1337</v>
      </c>
      <c r="B1338" s="198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199" t="s">
        <v>334</v>
      </c>
      <c r="J1338" s="2">
        <v>2</v>
      </c>
      <c r="K1338" s="199" t="s">
        <v>186</v>
      </c>
    </row>
    <row r="1339" spans="1:11">
      <c r="A1339" s="2">
        <f t="shared" si="157"/>
        <v>1338</v>
      </c>
      <c r="B1339" s="198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199" t="s">
        <v>185</v>
      </c>
    </row>
    <row r="1340" spans="1:11">
      <c r="A1340" s="2">
        <f>A1339+1</f>
        <v>1339</v>
      </c>
      <c r="B1340" s="198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02" t="s">
        <v>189</v>
      </c>
    </row>
    <row r="1341" spans="1:11">
      <c r="A1341" s="2">
        <f>A1340+1</f>
        <v>1340</v>
      </c>
      <c r="B1341" s="198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02" t="s">
        <v>189</v>
      </c>
    </row>
    <row r="1342" spans="1:11">
      <c r="A1342" s="2">
        <f>A1341+1</f>
        <v>1341</v>
      </c>
      <c r="B1342" s="198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698</v>
      </c>
      <c r="J1342" s="2">
        <v>1</v>
      </c>
      <c r="K1342" s="200" t="s">
        <v>736</v>
      </c>
    </row>
    <row r="1343" spans="1:11">
      <c r="A1343" s="2">
        <f t="shared" ref="A1343:A1344" si="158">A1342+1</f>
        <v>1342</v>
      </c>
      <c r="B1343" s="198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02" t="s">
        <v>185</v>
      </c>
    </row>
    <row r="1344" spans="1:11">
      <c r="A1344" s="2">
        <f t="shared" si="158"/>
        <v>1343</v>
      </c>
      <c r="B1344" s="198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199" t="s">
        <v>334</v>
      </c>
      <c r="J1344" s="2">
        <v>2</v>
      </c>
      <c r="K1344" s="202" t="s">
        <v>185</v>
      </c>
    </row>
    <row r="1345" spans="1:11">
      <c r="A1345" s="2">
        <f>A1344+1</f>
        <v>1344</v>
      </c>
      <c r="B1345" s="198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02" t="s">
        <v>189</v>
      </c>
    </row>
    <row r="1346" spans="1:11">
      <c r="A1346" s="2">
        <f>A1345+1</f>
        <v>1345</v>
      </c>
      <c r="B1346" s="198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02" t="s">
        <v>188</v>
      </c>
    </row>
    <row r="1347" spans="1:11">
      <c r="A1347" s="2">
        <f t="shared" ref="A1347:A1353" si="159">A1346+1</f>
        <v>1346</v>
      </c>
      <c r="B1347" s="198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02" t="s">
        <v>187</v>
      </c>
    </row>
    <row r="1348" spans="1:11">
      <c r="A1348" s="2">
        <f t="shared" si="159"/>
        <v>1347</v>
      </c>
      <c r="B1348" s="198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02" t="s">
        <v>187</v>
      </c>
    </row>
    <row r="1349" spans="1:11">
      <c r="A1349" s="2">
        <f t="shared" si="159"/>
        <v>1348</v>
      </c>
      <c r="B1349" s="198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02" t="s">
        <v>187</v>
      </c>
    </row>
    <row r="1350" spans="1:11">
      <c r="A1350" s="2">
        <f t="shared" si="159"/>
        <v>1349</v>
      </c>
      <c r="B1350" s="198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02" t="s">
        <v>186</v>
      </c>
    </row>
    <row r="1351" spans="1:11">
      <c r="A1351" s="2">
        <f t="shared" si="159"/>
        <v>1350</v>
      </c>
      <c r="B1351" s="198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02" t="s">
        <v>186</v>
      </c>
    </row>
    <row r="1352" spans="1:11">
      <c r="A1352" s="2">
        <f t="shared" si="159"/>
        <v>1351</v>
      </c>
      <c r="B1352" s="198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02" t="s">
        <v>184</v>
      </c>
    </row>
    <row r="1353" spans="1:11">
      <c r="A1353" s="2">
        <f t="shared" si="159"/>
        <v>1352</v>
      </c>
      <c r="B1353" s="198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02" t="s">
        <v>184</v>
      </c>
    </row>
    <row r="1354" spans="1:11">
      <c r="A1354" s="2">
        <f t="shared" ref="A1354:A1356" si="160">A1353+1</f>
        <v>1353</v>
      </c>
      <c r="B1354" s="198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02" t="s">
        <v>184</v>
      </c>
    </row>
    <row r="1355" spans="1:11">
      <c r="A1355" s="2">
        <f t="shared" si="160"/>
        <v>1354</v>
      </c>
      <c r="B1355" s="198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02" t="s">
        <v>184</v>
      </c>
    </row>
    <row r="1356" spans="1:11">
      <c r="A1356" s="2">
        <f t="shared" si="160"/>
        <v>1355</v>
      </c>
      <c r="B1356" s="198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02" t="s">
        <v>187</v>
      </c>
    </row>
    <row r="1357" spans="1:11">
      <c r="A1357" s="2">
        <f t="shared" ref="A1357:A1358" si="161">A1356+1</f>
        <v>1356</v>
      </c>
      <c r="B1357" s="198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02" t="s">
        <v>186</v>
      </c>
    </row>
    <row r="1358" spans="1:11">
      <c r="A1358" s="2">
        <f t="shared" si="161"/>
        <v>1357</v>
      </c>
      <c r="B1358" s="198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02" t="s">
        <v>186</v>
      </c>
    </row>
    <row r="1359" spans="1:11">
      <c r="A1359" s="2">
        <f t="shared" ref="A1359:A1361" si="162">A1358+1</f>
        <v>1358</v>
      </c>
      <c r="B1359" s="198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02" t="s">
        <v>185</v>
      </c>
    </row>
    <row r="1360" spans="1:11">
      <c r="A1360" s="2">
        <f t="shared" si="162"/>
        <v>1359</v>
      </c>
      <c r="B1360" s="198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02" t="s">
        <v>185</v>
      </c>
    </row>
    <row r="1361" spans="1:11">
      <c r="A1361" s="2">
        <f t="shared" si="162"/>
        <v>1360</v>
      </c>
      <c r="B1361" s="198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02" t="s">
        <v>184</v>
      </c>
    </row>
    <row r="1362" spans="1:11">
      <c r="A1362" s="2">
        <f t="shared" ref="A1362:A1363" si="163">A1361+1</f>
        <v>1361</v>
      </c>
      <c r="B1362" s="198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02" t="s">
        <v>188</v>
      </c>
    </row>
    <row r="1363" spans="1:11">
      <c r="A1363" s="2">
        <f t="shared" si="163"/>
        <v>1362</v>
      </c>
      <c r="B1363" s="198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02" t="s">
        <v>188</v>
      </c>
    </row>
    <row r="1364" spans="1:11">
      <c r="A1364" s="2">
        <f t="shared" ref="A1364:A1366" si="164">A1363+1</f>
        <v>1363</v>
      </c>
      <c r="B1364" s="198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02" t="s">
        <v>184</v>
      </c>
    </row>
    <row r="1365" spans="1:11">
      <c r="A1365" s="2">
        <f t="shared" si="164"/>
        <v>1364</v>
      </c>
      <c r="B1365" s="198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02" t="s">
        <v>184</v>
      </c>
    </row>
    <row r="1366" spans="1:11">
      <c r="A1366" s="2">
        <f t="shared" si="164"/>
        <v>1365</v>
      </c>
      <c r="B1366" s="198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02" t="s">
        <v>185</v>
      </c>
    </row>
    <row r="1367" spans="1:11">
      <c r="A1367" s="2">
        <f>A1366+1</f>
        <v>1366</v>
      </c>
      <c r="B1367" s="198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02" t="s">
        <v>184</v>
      </c>
    </row>
    <row r="1368" spans="1:11">
      <c r="A1368" s="2">
        <f t="shared" ref="A1368:A1370" si="165">A1367+1</f>
        <v>1367</v>
      </c>
      <c r="B1368" s="198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02" t="s">
        <v>184</v>
      </c>
    </row>
    <row r="1369" spans="1:11">
      <c r="A1369" s="2">
        <f t="shared" si="165"/>
        <v>1368</v>
      </c>
      <c r="B1369" s="198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02" t="s">
        <v>188</v>
      </c>
    </row>
    <row r="1370" spans="1:11">
      <c r="A1370" s="2">
        <f t="shared" si="165"/>
        <v>1369</v>
      </c>
      <c r="B1370" s="198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02" t="s">
        <v>184</v>
      </c>
    </row>
    <row r="1371" spans="1:11">
      <c r="A1371" s="2">
        <f>A1370+1</f>
        <v>1370</v>
      </c>
      <c r="B1371" s="198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02" t="s">
        <v>189</v>
      </c>
    </row>
    <row r="1372" spans="1:11">
      <c r="A1372" s="2">
        <f t="shared" ref="A1372:A1373" si="166">A1371+1</f>
        <v>1371</v>
      </c>
      <c r="B1372" s="198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199" t="s">
        <v>334</v>
      </c>
      <c r="J1372" s="2">
        <v>2</v>
      </c>
      <c r="K1372" s="202" t="s">
        <v>188</v>
      </c>
    </row>
    <row r="1373" spans="1:11">
      <c r="A1373" s="2">
        <f t="shared" si="166"/>
        <v>1372</v>
      </c>
      <c r="B1373" s="198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02" t="s">
        <v>188</v>
      </c>
    </row>
    <row r="1374" spans="1:11">
      <c r="A1374" s="2">
        <f>A1373+1</f>
        <v>1373</v>
      </c>
      <c r="B1374" s="198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02" t="s">
        <v>184</v>
      </c>
    </row>
    <row r="1375" spans="1:11">
      <c r="A1375" s="2">
        <f>A1374+1</f>
        <v>1374</v>
      </c>
      <c r="B1375" s="198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693</v>
      </c>
      <c r="J1375" s="2">
        <v>1</v>
      </c>
      <c r="K1375" s="200" t="s">
        <v>733</v>
      </c>
    </row>
    <row r="1376" spans="1:11">
      <c r="A1376" s="2">
        <f>A1375+1</f>
        <v>1375</v>
      </c>
      <c r="B1376" s="198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693</v>
      </c>
      <c r="J1376" s="2">
        <v>1</v>
      </c>
      <c r="K1376" s="200" t="s">
        <v>892</v>
      </c>
    </row>
    <row r="1377" spans="1:11">
      <c r="A1377" s="2">
        <f>A1376+1</f>
        <v>1376</v>
      </c>
      <c r="B1377" s="198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02" t="s">
        <v>189</v>
      </c>
    </row>
    <row r="1378" spans="1:11">
      <c r="A1378" s="2">
        <f>A1377+1</f>
        <v>1377</v>
      </c>
      <c r="B1378" s="198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02" t="s">
        <v>184</v>
      </c>
    </row>
    <row r="1379" spans="1:11">
      <c r="A1379" s="2">
        <f t="shared" ref="A1379:A1380" si="167">A1378+1</f>
        <v>1378</v>
      </c>
      <c r="B1379" s="198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02" t="s">
        <v>184</v>
      </c>
    </row>
    <row r="1380" spans="1:11">
      <c r="A1380" s="2">
        <f t="shared" si="167"/>
        <v>1379</v>
      </c>
      <c r="B1380" s="198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199" t="s">
        <v>415</v>
      </c>
      <c r="J1380" s="2">
        <v>1</v>
      </c>
      <c r="K1380" s="202" t="s">
        <v>185</v>
      </c>
    </row>
    <row r="1381" spans="1:11">
      <c r="A1381" s="2">
        <f t="shared" ref="A1381:A1382" si="168">A1380+1</f>
        <v>1380</v>
      </c>
      <c r="B1381" s="198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02" t="s">
        <v>189</v>
      </c>
    </row>
    <row r="1382" spans="1:11">
      <c r="A1382" s="2">
        <f t="shared" si="168"/>
        <v>1381</v>
      </c>
      <c r="B1382" s="198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02" t="s">
        <v>189</v>
      </c>
    </row>
    <row r="1383" spans="1:11">
      <c r="A1383" s="2">
        <f>A1382+1</f>
        <v>1382</v>
      </c>
      <c r="B1383" s="198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02" t="s">
        <v>188</v>
      </c>
    </row>
    <row r="1384" spans="1:11">
      <c r="A1384" s="2">
        <f>A1383+1</f>
        <v>1383</v>
      </c>
      <c r="B1384" s="198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02" t="s">
        <v>188</v>
      </c>
    </row>
    <row r="1385" spans="1:11">
      <c r="A1385" s="2">
        <f t="shared" ref="A1385:A1387" si="169">A1384+1</f>
        <v>1384</v>
      </c>
      <c r="B1385" s="198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199" t="s">
        <v>187</v>
      </c>
    </row>
    <row r="1386" spans="1:11">
      <c r="A1386" s="2">
        <f t="shared" si="169"/>
        <v>1385</v>
      </c>
      <c r="B1386" s="198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199" t="s">
        <v>185</v>
      </c>
    </row>
    <row r="1387" spans="1:11">
      <c r="A1387" s="2">
        <f t="shared" si="169"/>
        <v>1386</v>
      </c>
      <c r="B1387" s="198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199" t="s">
        <v>184</v>
      </c>
    </row>
    <row r="1388" spans="1:11">
      <c r="A1388" s="2">
        <f>A1387+1</f>
        <v>1387</v>
      </c>
      <c r="B1388" s="198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02" t="s">
        <v>185</v>
      </c>
    </row>
    <row r="1389" spans="1:11">
      <c r="A1389" s="2">
        <f>A1388+1</f>
        <v>1388</v>
      </c>
      <c r="B1389" s="198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02" t="s">
        <v>189</v>
      </c>
    </row>
    <row r="1390" spans="1:11">
      <c r="A1390" s="2">
        <f>A1389+1</f>
        <v>1389</v>
      </c>
      <c r="B1390" s="198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02" t="s">
        <v>186</v>
      </c>
    </row>
    <row r="1391" spans="1:11">
      <c r="A1391" s="2">
        <f t="shared" ref="A1391:A1392" si="170">A1390+1</f>
        <v>1390</v>
      </c>
      <c r="B1391" s="198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02" t="s">
        <v>186</v>
      </c>
    </row>
    <row r="1392" spans="1:11">
      <c r="A1392" s="2">
        <f t="shared" si="170"/>
        <v>1391</v>
      </c>
      <c r="B1392" s="198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02" t="s">
        <v>184</v>
      </c>
    </row>
    <row r="1393" spans="1:11">
      <c r="A1393" s="2">
        <f t="shared" ref="A1393:A1395" si="171">A1392+1</f>
        <v>1392</v>
      </c>
      <c r="B1393" s="198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02" t="s">
        <v>185</v>
      </c>
    </row>
    <row r="1394" spans="1:11">
      <c r="A1394" s="2">
        <f t="shared" si="171"/>
        <v>1393</v>
      </c>
      <c r="B1394" s="198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02" t="s">
        <v>185</v>
      </c>
    </row>
    <row r="1395" spans="1:11">
      <c r="A1395" s="2">
        <f t="shared" si="171"/>
        <v>1394</v>
      </c>
      <c r="B1395" s="198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02" t="s">
        <v>185</v>
      </c>
    </row>
    <row r="1396" spans="1:11">
      <c r="A1396" s="2">
        <f>A1395+1</f>
        <v>1395</v>
      </c>
      <c r="B1396" s="198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02" t="s">
        <v>187</v>
      </c>
    </row>
    <row r="1397" spans="1:11">
      <c r="A1397" s="2">
        <f>A1396+1</f>
        <v>1396</v>
      </c>
      <c r="B1397" s="198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02" t="s">
        <v>185</v>
      </c>
    </row>
    <row r="1398" spans="1:11">
      <c r="A1398" s="2">
        <f>A1397+1</f>
        <v>1397</v>
      </c>
      <c r="B1398" s="198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02" t="s">
        <v>188</v>
      </c>
    </row>
    <row r="1399" spans="1:11">
      <c r="A1399" s="2">
        <f t="shared" ref="A1399:A1400" si="172">A1398+1</f>
        <v>1398</v>
      </c>
      <c r="B1399" s="198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02" t="s">
        <v>188</v>
      </c>
    </row>
    <row r="1400" spans="1:11">
      <c r="A1400" s="2">
        <f t="shared" si="172"/>
        <v>1399</v>
      </c>
      <c r="B1400" s="198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02" t="s">
        <v>186</v>
      </c>
    </row>
    <row r="1401" spans="1:11">
      <c r="A1401" s="2">
        <f t="shared" ref="A1401:A1402" si="173">A1400+1</f>
        <v>1400</v>
      </c>
      <c r="B1401" s="198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02" t="s">
        <v>185</v>
      </c>
    </row>
    <row r="1402" spans="1:11">
      <c r="A1402" s="2">
        <f t="shared" si="173"/>
        <v>1401</v>
      </c>
      <c r="B1402" s="198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02" t="s">
        <v>186</v>
      </c>
    </row>
    <row r="1403" spans="1:11">
      <c r="A1403" s="2">
        <f>A1402+1</f>
        <v>1402</v>
      </c>
      <c r="B1403" s="198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02" t="s">
        <v>187</v>
      </c>
    </row>
    <row r="1404" spans="1:11">
      <c r="A1404" s="2">
        <f t="shared" ref="A1404:A1405" si="174">A1403+1</f>
        <v>1403</v>
      </c>
      <c r="B1404" s="198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198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199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198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02" t="s">
        <v>186</v>
      </c>
    </row>
    <row r="1407" spans="1:11">
      <c r="A1407" s="2">
        <f t="shared" ref="A1407:A1408" si="175">A1406+1</f>
        <v>1406</v>
      </c>
      <c r="B1407" s="198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02" t="s">
        <v>189</v>
      </c>
    </row>
    <row r="1408" spans="1:11">
      <c r="A1408" s="2">
        <f t="shared" si="175"/>
        <v>1407</v>
      </c>
      <c r="B1408" s="198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02" t="s">
        <v>1478</v>
      </c>
    </row>
    <row r="1409" spans="1:11">
      <c r="A1409" s="2">
        <f>A1408+1</f>
        <v>1408</v>
      </c>
      <c r="B1409" s="198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02" t="s">
        <v>186</v>
      </c>
    </row>
    <row r="1410" spans="1:11">
      <c r="A1410" s="2">
        <f>A1409+1</f>
        <v>1409</v>
      </c>
      <c r="B1410" s="198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02" t="s">
        <v>188</v>
      </c>
    </row>
    <row r="1411" spans="1:11">
      <c r="A1411" s="2">
        <f t="shared" ref="A1411:A1412" si="176">A1410+1</f>
        <v>1410</v>
      </c>
      <c r="B1411" s="198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02" t="s">
        <v>187</v>
      </c>
    </row>
    <row r="1412" spans="1:11">
      <c r="A1412" s="2">
        <f t="shared" si="176"/>
        <v>1411</v>
      </c>
      <c r="B1412" s="198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02" t="s">
        <v>187</v>
      </c>
    </row>
    <row r="1413" spans="1:11">
      <c r="A1413" s="2">
        <f t="shared" ref="A1413:A1414" si="177">A1412+1</f>
        <v>1412</v>
      </c>
      <c r="B1413" s="198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02" t="s">
        <v>184</v>
      </c>
    </row>
    <row r="1414" spans="1:11">
      <c r="A1414" s="2">
        <f t="shared" si="177"/>
        <v>1413</v>
      </c>
      <c r="B1414" s="198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02" t="s">
        <v>189</v>
      </c>
    </row>
    <row r="1415" spans="1:11">
      <c r="A1415" s="2">
        <f t="shared" ref="A1415:A1417" si="178">A1414+1</f>
        <v>1414</v>
      </c>
      <c r="B1415" s="198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199" t="s">
        <v>334</v>
      </c>
      <c r="J1415" s="2">
        <v>2</v>
      </c>
      <c r="K1415" s="199" t="s">
        <v>189</v>
      </c>
    </row>
    <row r="1416" spans="1:11">
      <c r="A1416" s="2">
        <f t="shared" si="178"/>
        <v>1415</v>
      </c>
      <c r="B1416" s="198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199" t="s">
        <v>417</v>
      </c>
      <c r="J1416" s="2">
        <v>1</v>
      </c>
      <c r="K1416" s="199" t="s">
        <v>184</v>
      </c>
    </row>
    <row r="1417" spans="1:11">
      <c r="A1417" s="2">
        <f t="shared" si="178"/>
        <v>1416</v>
      </c>
      <c r="B1417" s="198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199" t="s">
        <v>184</v>
      </c>
    </row>
    <row r="1418" spans="1:11">
      <c r="A1418" s="2">
        <f>A1417+1</f>
        <v>1417</v>
      </c>
      <c r="B1418" s="198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02" t="s">
        <v>188</v>
      </c>
    </row>
    <row r="1419" spans="1:11">
      <c r="A1419" s="2">
        <f>A1418+1</f>
        <v>1418</v>
      </c>
      <c r="B1419" s="198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02" t="s">
        <v>189</v>
      </c>
    </row>
    <row r="1420" spans="1:11">
      <c r="A1420" s="2">
        <f t="shared" ref="A1420:A1422" si="179">A1419+1</f>
        <v>1419</v>
      </c>
      <c r="B1420" s="198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199" t="s">
        <v>1460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198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199" t="s">
        <v>1460</v>
      </c>
      <c r="J1421" s="2">
        <v>1</v>
      </c>
      <c r="K1421" s="202" t="s">
        <v>185</v>
      </c>
    </row>
    <row r="1422" spans="1:11">
      <c r="A1422" s="2">
        <f t="shared" si="179"/>
        <v>1421</v>
      </c>
      <c r="B1422" s="198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199" t="s">
        <v>1460</v>
      </c>
      <c r="J1422" s="2">
        <v>1</v>
      </c>
      <c r="K1422" s="202" t="s">
        <v>186</v>
      </c>
    </row>
    <row r="1423" spans="1:11">
      <c r="A1423" s="2">
        <f>A1422+1</f>
        <v>1422</v>
      </c>
      <c r="B1423" s="198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02" t="s">
        <v>186</v>
      </c>
    </row>
    <row r="1424" spans="1:11">
      <c r="A1424" s="2">
        <f t="shared" ref="A1424:A1428" si="180">A1423+1</f>
        <v>1423</v>
      </c>
      <c r="B1424" s="198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02" t="s">
        <v>187</v>
      </c>
    </row>
    <row r="1425" spans="1:11">
      <c r="A1425" s="2">
        <f t="shared" si="180"/>
        <v>1424</v>
      </c>
      <c r="B1425" s="198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199" t="s">
        <v>1460</v>
      </c>
      <c r="J1425" s="2">
        <v>1</v>
      </c>
      <c r="K1425" s="202" t="s">
        <v>187</v>
      </c>
    </row>
    <row r="1426" spans="1:11">
      <c r="A1426" s="2">
        <f t="shared" si="180"/>
        <v>1425</v>
      </c>
      <c r="B1426" s="198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199" t="s">
        <v>418</v>
      </c>
      <c r="J1426" s="2">
        <v>1</v>
      </c>
      <c r="K1426" s="202" t="s">
        <v>186</v>
      </c>
    </row>
    <row r="1427" spans="1:11">
      <c r="A1427" s="2">
        <f t="shared" si="180"/>
        <v>1426</v>
      </c>
      <c r="B1427" s="198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199" t="s">
        <v>418</v>
      </c>
      <c r="J1427" s="2">
        <v>1</v>
      </c>
      <c r="K1427" s="202" t="s">
        <v>187</v>
      </c>
    </row>
    <row r="1428" spans="1:11">
      <c r="A1428" s="2">
        <f t="shared" si="180"/>
        <v>1427</v>
      </c>
      <c r="B1428" s="198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199" t="s">
        <v>419</v>
      </c>
      <c r="J1428" s="2">
        <v>1</v>
      </c>
      <c r="K1428" s="202" t="s">
        <v>187</v>
      </c>
    </row>
    <row r="1429" spans="1:11">
      <c r="A1429" s="2">
        <f t="shared" ref="A1429:A1430" si="181">A1428+1</f>
        <v>1428</v>
      </c>
      <c r="B1429" s="198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199" t="s">
        <v>1460</v>
      </c>
      <c r="J1429" s="2">
        <v>1</v>
      </c>
      <c r="K1429" s="202" t="s">
        <v>186</v>
      </c>
    </row>
    <row r="1430" spans="1:11">
      <c r="A1430" s="2">
        <f t="shared" si="181"/>
        <v>1429</v>
      </c>
      <c r="B1430" s="198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199" t="s">
        <v>418</v>
      </c>
      <c r="J1430" s="2">
        <v>1</v>
      </c>
      <c r="K1430" s="202" t="s">
        <v>186</v>
      </c>
    </row>
    <row r="1431" spans="1:11">
      <c r="A1431" s="2">
        <f t="shared" ref="A1431:A1432" si="182">A1430+1</f>
        <v>1430</v>
      </c>
      <c r="B1431" s="198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199" t="s">
        <v>420</v>
      </c>
      <c r="J1431" s="2">
        <v>1</v>
      </c>
      <c r="K1431" s="202" t="s">
        <v>189</v>
      </c>
    </row>
    <row r="1432" spans="1:11">
      <c r="A1432" s="2">
        <f t="shared" si="182"/>
        <v>1431</v>
      </c>
      <c r="B1432" s="198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199" t="s">
        <v>420</v>
      </c>
      <c r="J1432" s="2">
        <v>1</v>
      </c>
      <c r="K1432" s="202" t="s">
        <v>186</v>
      </c>
    </row>
    <row r="1433" spans="1:11">
      <c r="A1433" s="2">
        <f>A1432+1</f>
        <v>1432</v>
      </c>
      <c r="B1433" s="198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198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02" t="s">
        <v>187</v>
      </c>
    </row>
    <row r="1435" spans="1:11">
      <c r="A1435" s="2">
        <f t="shared" si="183"/>
        <v>1434</v>
      </c>
      <c r="B1435" s="198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02" t="s">
        <v>189</v>
      </c>
    </row>
    <row r="1436" spans="1:11">
      <c r="A1436" s="2">
        <f>A1435+1</f>
        <v>1435</v>
      </c>
      <c r="B1436" s="198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02" t="s">
        <v>186</v>
      </c>
    </row>
    <row r="1437" spans="1:11">
      <c r="A1437" s="2">
        <f>A1436+1</f>
        <v>1436</v>
      </c>
      <c r="B1437" s="198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199" t="s">
        <v>420</v>
      </c>
      <c r="J1437" s="2">
        <v>1</v>
      </c>
      <c r="K1437" s="202" t="s">
        <v>186</v>
      </c>
    </row>
    <row r="1438" spans="1:11">
      <c r="A1438" s="2">
        <f t="shared" ref="A1438:A1439" si="184">A1437+1</f>
        <v>1437</v>
      </c>
      <c r="B1438" s="198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199" t="s">
        <v>420</v>
      </c>
      <c r="J1438" s="2">
        <v>1</v>
      </c>
      <c r="K1438" s="202" t="s">
        <v>187</v>
      </c>
    </row>
    <row r="1439" spans="1:11">
      <c r="A1439" s="2">
        <f t="shared" si="184"/>
        <v>1438</v>
      </c>
      <c r="B1439" s="198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199" t="s">
        <v>422</v>
      </c>
      <c r="J1439" s="2">
        <v>1</v>
      </c>
      <c r="K1439" s="202" t="s">
        <v>187</v>
      </c>
    </row>
    <row r="1440" spans="1:11">
      <c r="A1440" s="2">
        <f>A1439+1</f>
        <v>1439</v>
      </c>
      <c r="B1440" s="198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02" t="s">
        <v>186</v>
      </c>
    </row>
    <row r="1441" spans="1:11">
      <c r="A1441" s="2">
        <f>A1440+1</f>
        <v>1440</v>
      </c>
      <c r="B1441" s="198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199" t="s">
        <v>423</v>
      </c>
      <c r="J1441" s="2">
        <v>1</v>
      </c>
      <c r="K1441" s="202" t="s">
        <v>189</v>
      </c>
    </row>
    <row r="1442" spans="1:11">
      <c r="A1442" s="2">
        <f>A1441+1</f>
        <v>1441</v>
      </c>
      <c r="B1442" s="198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02" t="s">
        <v>184</v>
      </c>
    </row>
    <row r="1443" spans="1:11">
      <c r="A1443" s="2">
        <f>A1442+1</f>
        <v>1442</v>
      </c>
      <c r="B1443" s="198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02" t="s">
        <v>186</v>
      </c>
    </row>
    <row r="1444" spans="1:11">
      <c r="A1444" s="2">
        <f t="shared" ref="A1444:A1445" si="185">A1443+1</f>
        <v>1443</v>
      </c>
      <c r="B1444" s="198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02" t="s">
        <v>184</v>
      </c>
    </row>
    <row r="1445" spans="1:11">
      <c r="A1445" s="2">
        <f t="shared" si="185"/>
        <v>1444</v>
      </c>
      <c r="B1445" s="198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02" t="s">
        <v>186</v>
      </c>
    </row>
    <row r="1446" spans="1:11">
      <c r="A1446" s="2">
        <f t="shared" ref="A1446:A1447" si="186">A1445+1</f>
        <v>1445</v>
      </c>
      <c r="B1446" s="198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02" t="s">
        <v>185</v>
      </c>
    </row>
    <row r="1447" spans="1:11">
      <c r="A1447" s="2">
        <f t="shared" si="186"/>
        <v>1446</v>
      </c>
      <c r="B1447" s="198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02" t="s">
        <v>185</v>
      </c>
    </row>
    <row r="1448" spans="1:11">
      <c r="A1448" s="2">
        <f t="shared" ref="A1448:A1449" si="187">A1447+1</f>
        <v>1447</v>
      </c>
      <c r="B1448" s="198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199" t="s">
        <v>334</v>
      </c>
      <c r="J1448" s="2">
        <v>2</v>
      </c>
      <c r="K1448" s="199" t="s">
        <v>186</v>
      </c>
    </row>
    <row r="1449" spans="1:11">
      <c r="A1449" s="2">
        <f t="shared" si="187"/>
        <v>1448</v>
      </c>
      <c r="B1449" s="198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199" t="s">
        <v>417</v>
      </c>
      <c r="J1449" s="2">
        <v>1</v>
      </c>
      <c r="K1449" s="199" t="s">
        <v>186</v>
      </c>
    </row>
    <row r="1450" spans="1:11">
      <c r="A1450" s="2">
        <f>A1449+1</f>
        <v>1449</v>
      </c>
      <c r="B1450" s="198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199" t="s">
        <v>1460</v>
      </c>
      <c r="J1450" s="2">
        <v>1</v>
      </c>
      <c r="K1450" s="199" t="s">
        <v>187</v>
      </c>
    </row>
    <row r="1451" spans="1:11">
      <c r="A1451" s="2">
        <f>A1450+1</f>
        <v>1450</v>
      </c>
      <c r="B1451" s="198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199" t="s">
        <v>1460</v>
      </c>
      <c r="J1451" s="2">
        <v>1</v>
      </c>
      <c r="K1451" s="199" t="s">
        <v>186</v>
      </c>
    </row>
    <row r="1452" spans="1:11">
      <c r="A1452" s="2">
        <f>A1451+1</f>
        <v>1451</v>
      </c>
      <c r="B1452" s="198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199" t="s">
        <v>417</v>
      </c>
      <c r="J1452" s="2">
        <v>1</v>
      </c>
      <c r="K1452" s="202" t="s">
        <v>186</v>
      </c>
    </row>
    <row r="1453" spans="1:11">
      <c r="A1453" s="2">
        <f t="shared" ref="A1453:A1456" si="188">A1452+1</f>
        <v>1452</v>
      </c>
      <c r="B1453" s="198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199" t="s">
        <v>187</v>
      </c>
    </row>
    <row r="1454" spans="1:11">
      <c r="A1454" s="2">
        <f t="shared" si="188"/>
        <v>1453</v>
      </c>
      <c r="B1454" s="198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199" t="s">
        <v>187</v>
      </c>
    </row>
    <row r="1455" spans="1:11">
      <c r="A1455" s="2">
        <f t="shared" si="188"/>
        <v>1454</v>
      </c>
      <c r="B1455" s="198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199" t="s">
        <v>187</v>
      </c>
    </row>
    <row r="1456" spans="1:11">
      <c r="A1456" s="2">
        <f t="shared" si="188"/>
        <v>1455</v>
      </c>
      <c r="B1456" s="198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199" t="s">
        <v>187</v>
      </c>
    </row>
    <row r="1457" spans="1:11">
      <c r="A1457" s="2">
        <f t="shared" ref="A1457:A1458" si="189">A1456+1</f>
        <v>1456</v>
      </c>
      <c r="B1457" s="198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199" t="s">
        <v>334</v>
      </c>
      <c r="J1457" s="2">
        <v>2</v>
      </c>
      <c r="K1457" s="202" t="s">
        <v>186</v>
      </c>
    </row>
    <row r="1458" spans="1:11">
      <c r="A1458" s="2">
        <f t="shared" si="189"/>
        <v>1457</v>
      </c>
      <c r="B1458" s="198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02" t="s">
        <v>186</v>
      </c>
    </row>
    <row r="1459" spans="1:11">
      <c r="A1459" s="2">
        <f>A1458+1</f>
        <v>1458</v>
      </c>
      <c r="B1459" s="198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199" t="s">
        <v>1460</v>
      </c>
      <c r="J1459" s="2">
        <v>1</v>
      </c>
      <c r="K1459" s="202" t="s">
        <v>185</v>
      </c>
    </row>
    <row r="1460" spans="1:11">
      <c r="A1460" s="2">
        <f>A1459+1</f>
        <v>1459</v>
      </c>
      <c r="B1460" s="198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02" t="s">
        <v>189</v>
      </c>
    </row>
    <row r="1461" spans="1:11">
      <c r="A1461" s="2">
        <f>A1460+1</f>
        <v>1460</v>
      </c>
      <c r="B1461" s="198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199" t="s">
        <v>1460</v>
      </c>
      <c r="J1461" s="2">
        <v>1</v>
      </c>
      <c r="K1461" s="202" t="s">
        <v>186</v>
      </c>
    </row>
    <row r="1462" spans="1:11">
      <c r="A1462" s="2">
        <f>A1461+1</f>
        <v>1461</v>
      </c>
      <c r="B1462" s="198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199" t="s">
        <v>334</v>
      </c>
      <c r="J1462" s="2">
        <v>2</v>
      </c>
      <c r="K1462" s="202" t="s">
        <v>189</v>
      </c>
    </row>
    <row r="1463" spans="1:11">
      <c r="A1463" s="2">
        <f>A1462+1</f>
        <v>1462</v>
      </c>
      <c r="B1463" s="198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02" t="s">
        <v>189</v>
      </c>
    </row>
    <row r="1464" spans="1:11">
      <c r="A1464" s="2">
        <f t="shared" ref="A1464:A1465" si="190">A1463+1</f>
        <v>1463</v>
      </c>
      <c r="B1464" s="198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02" t="s">
        <v>189</v>
      </c>
    </row>
    <row r="1465" spans="1:11">
      <c r="A1465" s="2">
        <f t="shared" si="190"/>
        <v>1464</v>
      </c>
      <c r="B1465" s="198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02" t="s">
        <v>185</v>
      </c>
    </row>
    <row r="1466" spans="1:11">
      <c r="A1466" s="2">
        <f t="shared" ref="A1466:A1467" si="191">A1465+1</f>
        <v>1465</v>
      </c>
      <c r="B1466" s="198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199" t="s">
        <v>417</v>
      </c>
      <c r="J1466" s="2">
        <v>1</v>
      </c>
      <c r="K1466" s="202" t="s">
        <v>185</v>
      </c>
    </row>
    <row r="1467" spans="1:11">
      <c r="A1467" s="2">
        <f t="shared" si="191"/>
        <v>1466</v>
      </c>
      <c r="B1467" s="198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02" t="s">
        <v>186</v>
      </c>
    </row>
    <row r="1468" spans="1:11">
      <c r="A1468" s="2">
        <f>A1467+1</f>
        <v>1467</v>
      </c>
      <c r="B1468" s="198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199" t="s">
        <v>334</v>
      </c>
      <c r="J1468" s="2">
        <v>2</v>
      </c>
      <c r="K1468" s="202" t="s">
        <v>189</v>
      </c>
    </row>
    <row r="1469" spans="1:11">
      <c r="A1469" s="2">
        <f t="shared" ref="A1469:A1472" si="192">A1468+1</f>
        <v>1468</v>
      </c>
      <c r="B1469" s="198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199" t="s">
        <v>334</v>
      </c>
      <c r="J1469" s="2">
        <v>2</v>
      </c>
      <c r="K1469" s="199" t="s">
        <v>189</v>
      </c>
    </row>
    <row r="1470" spans="1:11">
      <c r="A1470" s="2">
        <f t="shared" si="192"/>
        <v>1469</v>
      </c>
      <c r="B1470" s="198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199" t="s">
        <v>417</v>
      </c>
      <c r="J1470" s="2">
        <v>1</v>
      </c>
      <c r="K1470" s="199" t="s">
        <v>189</v>
      </c>
    </row>
    <row r="1471" spans="1:11">
      <c r="A1471" s="2">
        <f t="shared" si="192"/>
        <v>1470</v>
      </c>
      <c r="B1471" s="198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199" t="s">
        <v>184</v>
      </c>
    </row>
    <row r="1472" spans="1:11">
      <c r="A1472" s="2">
        <f t="shared" si="192"/>
        <v>1471</v>
      </c>
      <c r="B1472" s="198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199" t="s">
        <v>186</v>
      </c>
    </row>
    <row r="1473" spans="1:11">
      <c r="A1473" s="2">
        <f>A1472+1</f>
        <v>1472</v>
      </c>
      <c r="B1473" s="198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199" t="s">
        <v>189</v>
      </c>
    </row>
    <row r="1474" spans="1:11">
      <c r="A1474" s="2">
        <f>A1473+1</f>
        <v>1473</v>
      </c>
      <c r="B1474" s="198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199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198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199" t="s">
        <v>426</v>
      </c>
      <c r="J1475" s="2">
        <v>1</v>
      </c>
      <c r="K1475" s="199" t="s">
        <v>188</v>
      </c>
    </row>
    <row r="1476" spans="1:11">
      <c r="A1476" s="2">
        <f t="shared" si="193"/>
        <v>1475</v>
      </c>
      <c r="B1476" s="198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199" t="s">
        <v>332</v>
      </c>
      <c r="J1476" s="2">
        <v>1</v>
      </c>
      <c r="K1476" s="199" t="s">
        <v>184</v>
      </c>
    </row>
    <row r="1477" spans="1:11">
      <c r="A1477" s="2">
        <f t="shared" ref="A1477:A1478" si="194">A1476+1</f>
        <v>1476</v>
      </c>
      <c r="B1477" s="198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199" t="s">
        <v>332</v>
      </c>
      <c r="J1477" s="2">
        <v>2</v>
      </c>
      <c r="K1477" s="199" t="s">
        <v>188</v>
      </c>
    </row>
    <row r="1478" spans="1:11">
      <c r="A1478" s="2">
        <f t="shared" si="194"/>
        <v>1477</v>
      </c>
      <c r="B1478" s="198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199" t="s">
        <v>334</v>
      </c>
      <c r="J1478" s="2">
        <v>2</v>
      </c>
      <c r="K1478" s="199" t="s">
        <v>186</v>
      </c>
    </row>
    <row r="1479" spans="1:11">
      <c r="A1479" s="2">
        <f t="shared" ref="A1479:A1480" si="195">A1478+1</f>
        <v>1478</v>
      </c>
      <c r="B1479" s="198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199" t="s">
        <v>332</v>
      </c>
      <c r="J1479" s="2">
        <v>1</v>
      </c>
      <c r="K1479" s="202" t="s">
        <v>185</v>
      </c>
    </row>
    <row r="1480" spans="1:11">
      <c r="A1480" s="2">
        <f t="shared" si="195"/>
        <v>1479</v>
      </c>
      <c r="B1480" s="198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02" t="s">
        <v>186</v>
      </c>
    </row>
    <row r="1481" spans="1:11">
      <c r="A1481" s="2">
        <f>A1480+1</f>
        <v>1480</v>
      </c>
      <c r="B1481" s="198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199" t="s">
        <v>332</v>
      </c>
      <c r="J1481" s="2">
        <v>1</v>
      </c>
      <c r="K1481" s="202" t="s">
        <v>186</v>
      </c>
    </row>
    <row r="1482" spans="1:11">
      <c r="A1482" s="2">
        <f>A1481+1</f>
        <v>1481</v>
      </c>
      <c r="B1482" s="198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199" t="s">
        <v>332</v>
      </c>
      <c r="J1482" s="2">
        <v>1</v>
      </c>
      <c r="K1482" s="202" t="s">
        <v>186</v>
      </c>
    </row>
    <row r="1483" spans="1:11">
      <c r="A1483" s="2">
        <f t="shared" ref="A1483:A1484" si="196">A1482+1</f>
        <v>1482</v>
      </c>
      <c r="B1483" s="198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199" t="s">
        <v>185</v>
      </c>
    </row>
    <row r="1484" spans="1:11">
      <c r="A1484" s="2">
        <f t="shared" si="196"/>
        <v>1483</v>
      </c>
      <c r="B1484" s="198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199" t="s">
        <v>411</v>
      </c>
      <c r="J1484" s="2">
        <v>1</v>
      </c>
      <c r="K1484" s="199" t="s">
        <v>188</v>
      </c>
    </row>
    <row r="1485" spans="1:11">
      <c r="A1485" s="2">
        <f t="shared" ref="A1485:A1486" si="197">A1484+1</f>
        <v>1484</v>
      </c>
      <c r="B1485" s="198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02" t="s">
        <v>188</v>
      </c>
    </row>
    <row r="1486" spans="1:11">
      <c r="A1486" s="2">
        <f t="shared" si="197"/>
        <v>1485</v>
      </c>
      <c r="B1486" s="198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199" t="s">
        <v>332</v>
      </c>
      <c r="J1486" s="2">
        <v>1</v>
      </c>
      <c r="K1486" s="202" t="s">
        <v>186</v>
      </c>
    </row>
    <row r="1487" spans="1:11">
      <c r="A1487" s="2">
        <f>A1486+1</f>
        <v>1486</v>
      </c>
      <c r="B1487" s="198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199" t="s">
        <v>411</v>
      </c>
      <c r="J1487" s="2">
        <v>1</v>
      </c>
      <c r="K1487" s="202" t="s">
        <v>186</v>
      </c>
    </row>
    <row r="1488" spans="1:11">
      <c r="A1488" s="2">
        <f t="shared" ref="A1488:A1489" si="198">A1487+1</f>
        <v>1487</v>
      </c>
      <c r="B1488" s="198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199" t="s">
        <v>334</v>
      </c>
      <c r="J1488" s="2">
        <v>2</v>
      </c>
      <c r="K1488" s="202" t="s">
        <v>186</v>
      </c>
    </row>
    <row r="1489" spans="1:11">
      <c r="A1489" s="2">
        <f t="shared" si="198"/>
        <v>1488</v>
      </c>
      <c r="B1489" s="198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199" t="s">
        <v>332</v>
      </c>
      <c r="J1489" s="2">
        <v>1</v>
      </c>
      <c r="K1489" s="202" t="s">
        <v>187</v>
      </c>
    </row>
    <row r="1490" spans="1:11">
      <c r="A1490" s="2">
        <f t="shared" ref="A1490:A1491" si="199">A1489+1</f>
        <v>1489</v>
      </c>
      <c r="B1490" s="198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199" t="s">
        <v>417</v>
      </c>
      <c r="J1490" s="2">
        <v>1</v>
      </c>
      <c r="K1490" s="199" t="s">
        <v>184</v>
      </c>
    </row>
    <row r="1491" spans="1:11">
      <c r="A1491" s="2">
        <f t="shared" si="199"/>
        <v>1490</v>
      </c>
      <c r="B1491" s="198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199" t="s">
        <v>184</v>
      </c>
    </row>
    <row r="1492" spans="1:11">
      <c r="A1492" s="2">
        <f t="shared" ref="A1492:A1493" si="200">A1491+1</f>
        <v>1491</v>
      </c>
      <c r="B1492" s="198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199" t="s">
        <v>188</v>
      </c>
    </row>
    <row r="1493" spans="1:11">
      <c r="A1493" s="2">
        <f t="shared" si="200"/>
        <v>1492</v>
      </c>
      <c r="B1493" s="198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199" t="s">
        <v>334</v>
      </c>
      <c r="J1493" s="2">
        <v>2</v>
      </c>
      <c r="K1493" s="199" t="s">
        <v>188</v>
      </c>
    </row>
    <row r="1494" spans="1:11">
      <c r="A1494" s="2">
        <f>A1493+1</f>
        <v>1493</v>
      </c>
      <c r="B1494" s="198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1479</v>
      </c>
      <c r="J1494" s="2">
        <v>1</v>
      </c>
      <c r="K1494" s="199" t="s">
        <v>184</v>
      </c>
    </row>
    <row r="1495" spans="1:11">
      <c r="A1495" s="2">
        <f>A1494+1</f>
        <v>1494</v>
      </c>
      <c r="B1495" s="198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199" t="s">
        <v>332</v>
      </c>
      <c r="J1495" s="2">
        <v>1</v>
      </c>
      <c r="K1495" s="202" t="s">
        <v>184</v>
      </c>
    </row>
    <row r="1496" spans="1:11">
      <c r="A1496" s="2">
        <f t="shared" ref="A1496:A1497" si="201">A1495+1</f>
        <v>1495</v>
      </c>
      <c r="B1496" s="198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02" t="s">
        <v>186</v>
      </c>
    </row>
    <row r="1497" spans="1:11">
      <c r="A1497" s="2">
        <f t="shared" si="201"/>
        <v>1496</v>
      </c>
      <c r="B1497" s="198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02" t="s">
        <v>186</v>
      </c>
    </row>
    <row r="1498" spans="1:11">
      <c r="A1498" s="2">
        <f t="shared" ref="A1498:A1503" si="202">A1497+1</f>
        <v>1497</v>
      </c>
      <c r="B1498" s="198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02" t="s">
        <v>188</v>
      </c>
    </row>
    <row r="1499" spans="1:11">
      <c r="A1499" s="2">
        <f t="shared" si="202"/>
        <v>1498</v>
      </c>
      <c r="B1499" s="198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199" t="s">
        <v>334</v>
      </c>
      <c r="J1499" s="2">
        <v>2</v>
      </c>
      <c r="K1499" s="202" t="s">
        <v>188</v>
      </c>
    </row>
    <row r="1500" spans="1:11">
      <c r="A1500" s="2">
        <f t="shared" si="202"/>
        <v>1499</v>
      </c>
      <c r="B1500" s="198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02" t="s">
        <v>188</v>
      </c>
    </row>
    <row r="1501" spans="1:11">
      <c r="A1501" s="2">
        <f t="shared" si="202"/>
        <v>1500</v>
      </c>
      <c r="B1501" s="198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199" t="s">
        <v>334</v>
      </c>
      <c r="J1501" s="2">
        <v>2</v>
      </c>
      <c r="K1501" s="202" t="s">
        <v>188</v>
      </c>
    </row>
    <row r="1502" spans="1:11">
      <c r="A1502" s="2">
        <f t="shared" si="202"/>
        <v>1501</v>
      </c>
      <c r="B1502" s="198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02" t="s">
        <v>188</v>
      </c>
    </row>
    <row r="1503" spans="1:11">
      <c r="A1503" s="2">
        <f t="shared" si="202"/>
        <v>1502</v>
      </c>
      <c r="B1503" s="198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02" t="s">
        <v>188</v>
      </c>
    </row>
    <row r="1504" spans="1:11">
      <c r="A1504" s="2">
        <f t="shared" ref="A1504:A1505" si="203">A1503+1</f>
        <v>1503</v>
      </c>
      <c r="B1504" s="198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199" t="s">
        <v>334</v>
      </c>
      <c r="J1504" s="2">
        <v>2</v>
      </c>
      <c r="K1504" s="202" t="s">
        <v>189</v>
      </c>
    </row>
    <row r="1505" spans="1:11">
      <c r="A1505" s="2">
        <f t="shared" si="203"/>
        <v>1504</v>
      </c>
      <c r="B1505" s="198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199" t="s">
        <v>332</v>
      </c>
      <c r="J1505" s="2">
        <v>1</v>
      </c>
      <c r="K1505" s="202" t="s">
        <v>189</v>
      </c>
    </row>
    <row r="1506" spans="1:11">
      <c r="A1506" s="2">
        <f t="shared" ref="A1506:A1514" si="204">A1505+1</f>
        <v>1505</v>
      </c>
      <c r="B1506" s="198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02" t="s">
        <v>188</v>
      </c>
    </row>
    <row r="1507" spans="1:11">
      <c r="A1507" s="2">
        <f t="shared" si="204"/>
        <v>1506</v>
      </c>
      <c r="B1507" s="198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02" t="s">
        <v>188</v>
      </c>
    </row>
    <row r="1508" spans="1:11">
      <c r="A1508" s="2">
        <f t="shared" si="204"/>
        <v>1507</v>
      </c>
      <c r="B1508" s="198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199" t="s">
        <v>188</v>
      </c>
    </row>
    <row r="1509" spans="1:11">
      <c r="A1509" s="2">
        <f t="shared" si="204"/>
        <v>1508</v>
      </c>
      <c r="B1509" s="198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199" t="s">
        <v>188</v>
      </c>
    </row>
    <row r="1510" spans="1:11">
      <c r="A1510" s="2">
        <f t="shared" si="204"/>
        <v>1509</v>
      </c>
      <c r="B1510" s="198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199" t="s">
        <v>188</v>
      </c>
    </row>
    <row r="1511" spans="1:11">
      <c r="A1511" s="2">
        <f t="shared" si="204"/>
        <v>1510</v>
      </c>
      <c r="B1511" s="198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02" t="s">
        <v>187</v>
      </c>
    </row>
    <row r="1512" spans="1:11">
      <c r="A1512" s="2">
        <f t="shared" si="204"/>
        <v>1511</v>
      </c>
      <c r="B1512" s="198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02" t="s">
        <v>186</v>
      </c>
    </row>
    <row r="1513" spans="1:11">
      <c r="A1513" s="2">
        <f t="shared" si="204"/>
        <v>1512</v>
      </c>
      <c r="B1513" s="198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02" t="s">
        <v>185</v>
      </c>
    </row>
    <row r="1514" spans="1:11">
      <c r="A1514" s="2">
        <f t="shared" si="204"/>
        <v>1513</v>
      </c>
      <c r="B1514" s="198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02" t="s">
        <v>186</v>
      </c>
    </row>
    <row r="1515" spans="1:11">
      <c r="A1515" s="2">
        <f t="shared" ref="A1515:A1516" si="205">A1514+1</f>
        <v>1514</v>
      </c>
      <c r="B1515" s="198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199" t="s">
        <v>334</v>
      </c>
      <c r="J1515" s="2">
        <v>2</v>
      </c>
      <c r="K1515" s="199" t="s">
        <v>186</v>
      </c>
    </row>
    <row r="1516" spans="1:11">
      <c r="A1516" s="2">
        <f t="shared" si="205"/>
        <v>1515</v>
      </c>
      <c r="B1516" s="198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199" t="s">
        <v>184</v>
      </c>
    </row>
    <row r="1517" spans="1:11">
      <c r="A1517" s="2">
        <f t="shared" ref="A1517:A1520" si="206">A1516+1</f>
        <v>1516</v>
      </c>
      <c r="B1517" s="198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199" t="s">
        <v>186</v>
      </c>
    </row>
    <row r="1518" spans="1:11">
      <c r="A1518" s="2">
        <f t="shared" si="206"/>
        <v>1517</v>
      </c>
      <c r="B1518" s="198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199" t="s">
        <v>185</v>
      </c>
    </row>
    <row r="1519" spans="1:11">
      <c r="A1519" s="2">
        <f t="shared" si="206"/>
        <v>1518</v>
      </c>
      <c r="B1519" s="198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199" t="s">
        <v>184</v>
      </c>
    </row>
    <row r="1520" spans="1:11">
      <c r="A1520" s="2">
        <f t="shared" si="206"/>
        <v>1519</v>
      </c>
      <c r="B1520" s="198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199" t="s">
        <v>334</v>
      </c>
      <c r="J1520" s="2">
        <v>2</v>
      </c>
      <c r="K1520" s="199" t="s">
        <v>184</v>
      </c>
    </row>
    <row r="1521" spans="1:11">
      <c r="A1521" s="2">
        <f t="shared" ref="A1521:A1523" si="207">A1520+1</f>
        <v>1520</v>
      </c>
      <c r="B1521" s="198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02" t="s">
        <v>188</v>
      </c>
    </row>
    <row r="1522" spans="1:11">
      <c r="A1522" s="2">
        <f t="shared" si="207"/>
        <v>1521</v>
      </c>
      <c r="B1522" s="198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199" t="s">
        <v>334</v>
      </c>
      <c r="J1522" s="2">
        <v>2</v>
      </c>
      <c r="K1522" s="202" t="s">
        <v>187</v>
      </c>
    </row>
    <row r="1523" spans="1:11">
      <c r="A1523" s="2">
        <f t="shared" si="207"/>
        <v>1522</v>
      </c>
      <c r="B1523" s="198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02" t="s">
        <v>187</v>
      </c>
    </row>
    <row r="1524" spans="1:11">
      <c r="A1524" s="2">
        <f t="shared" ref="A1524:A1526" si="208">A1523+1</f>
        <v>1523</v>
      </c>
      <c r="B1524" s="198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199" t="s">
        <v>188</v>
      </c>
    </row>
    <row r="1525" spans="1:11">
      <c r="A1525" s="2">
        <f t="shared" si="208"/>
        <v>1524</v>
      </c>
      <c r="B1525" s="198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199" t="s">
        <v>184</v>
      </c>
    </row>
    <row r="1526" spans="1:11">
      <c r="A1526" s="2">
        <f t="shared" si="208"/>
        <v>1525</v>
      </c>
      <c r="B1526" s="198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199" t="s">
        <v>334</v>
      </c>
      <c r="J1526" s="2">
        <v>2</v>
      </c>
      <c r="K1526" s="199" t="s">
        <v>185</v>
      </c>
    </row>
    <row r="1527" spans="1:11">
      <c r="A1527" s="2">
        <f>A1526+1</f>
        <v>1526</v>
      </c>
      <c r="B1527" s="198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1480</v>
      </c>
      <c r="J1527" s="2">
        <v>1</v>
      </c>
      <c r="K1527" s="199" t="s">
        <v>187</v>
      </c>
    </row>
    <row r="1528" spans="1:11">
      <c r="A1528" s="2">
        <f>A1527+1</f>
        <v>1527</v>
      </c>
      <c r="B1528" s="198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896</v>
      </c>
      <c r="J1528" s="2">
        <v>1</v>
      </c>
      <c r="K1528" s="202" t="s">
        <v>187</v>
      </c>
    </row>
    <row r="1529" spans="1:11">
      <c r="A1529" s="2">
        <f t="shared" ref="A1529:A1537" si="209">A1528+1</f>
        <v>1528</v>
      </c>
      <c r="B1529" s="198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199" t="s">
        <v>1460</v>
      </c>
      <c r="J1529" s="2">
        <v>1</v>
      </c>
      <c r="K1529" s="202" t="s">
        <v>186</v>
      </c>
    </row>
    <row r="1530" spans="1:11">
      <c r="A1530" s="2">
        <f t="shared" si="209"/>
        <v>1529</v>
      </c>
      <c r="B1530" s="198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199" t="s">
        <v>1460</v>
      </c>
      <c r="J1530" s="2">
        <v>1</v>
      </c>
      <c r="K1530" s="202" t="s">
        <v>189</v>
      </c>
    </row>
    <row r="1531" spans="1:11">
      <c r="A1531" s="2">
        <f t="shared" si="209"/>
        <v>1530</v>
      </c>
      <c r="B1531" s="198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199" t="s">
        <v>1460</v>
      </c>
      <c r="J1531" s="2">
        <v>1</v>
      </c>
      <c r="K1531" s="202" t="s">
        <v>189</v>
      </c>
    </row>
    <row r="1532" spans="1:11">
      <c r="A1532" s="2">
        <f t="shared" si="209"/>
        <v>1531</v>
      </c>
      <c r="B1532" s="198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199" t="s">
        <v>1460</v>
      </c>
      <c r="J1532" s="2">
        <v>1</v>
      </c>
      <c r="K1532" s="202" t="s">
        <v>189</v>
      </c>
    </row>
    <row r="1533" spans="1:11">
      <c r="A1533" s="2">
        <f t="shared" si="209"/>
        <v>1532</v>
      </c>
      <c r="B1533" s="198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199" t="s">
        <v>1460</v>
      </c>
      <c r="J1533" s="2">
        <v>1</v>
      </c>
      <c r="K1533" s="202" t="s">
        <v>189</v>
      </c>
    </row>
    <row r="1534" spans="1:11">
      <c r="A1534" s="2">
        <f t="shared" si="209"/>
        <v>1533</v>
      </c>
      <c r="B1534" s="198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199" t="s">
        <v>1460</v>
      </c>
      <c r="J1534" s="2">
        <v>1</v>
      </c>
      <c r="K1534" s="202" t="s">
        <v>189</v>
      </c>
    </row>
    <row r="1535" spans="1:11">
      <c r="A1535" s="2">
        <f t="shared" si="209"/>
        <v>1534</v>
      </c>
      <c r="B1535" s="198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199" t="s">
        <v>1460</v>
      </c>
      <c r="J1535" s="2">
        <v>1</v>
      </c>
      <c r="K1535" s="202" t="s">
        <v>187</v>
      </c>
    </row>
    <row r="1536" spans="1:11">
      <c r="A1536" s="2">
        <f t="shared" si="209"/>
        <v>1535</v>
      </c>
      <c r="B1536" s="198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199" t="s">
        <v>1460</v>
      </c>
      <c r="J1536" s="2">
        <v>1</v>
      </c>
      <c r="K1536" s="202" t="s">
        <v>184</v>
      </c>
    </row>
    <row r="1537" spans="1:11">
      <c r="A1537" s="2">
        <f t="shared" si="209"/>
        <v>1536</v>
      </c>
      <c r="B1537" s="198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199" t="s">
        <v>1460</v>
      </c>
      <c r="J1537" s="2">
        <v>1</v>
      </c>
      <c r="K1537" s="202" t="s">
        <v>187</v>
      </c>
    </row>
    <row r="1538" spans="1:11">
      <c r="A1538" s="2">
        <f t="shared" ref="A1538:A1539" si="210">A1537+1</f>
        <v>1537</v>
      </c>
      <c r="B1538" s="198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02" t="s">
        <v>187</v>
      </c>
    </row>
    <row r="1539" spans="1:11">
      <c r="A1539" s="2">
        <f t="shared" si="210"/>
        <v>1538</v>
      </c>
      <c r="B1539" s="198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199" t="s">
        <v>334</v>
      </c>
      <c r="J1539" s="2">
        <v>2</v>
      </c>
      <c r="K1539" s="202" t="s">
        <v>185</v>
      </c>
    </row>
    <row r="1540" spans="1:11">
      <c r="A1540" s="2">
        <f t="shared" ref="A1540:A1542" si="211">A1539+1</f>
        <v>1539</v>
      </c>
      <c r="B1540" s="198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02" t="s">
        <v>188</v>
      </c>
    </row>
    <row r="1541" spans="1:11">
      <c r="A1541" s="2">
        <f t="shared" si="211"/>
        <v>1540</v>
      </c>
      <c r="B1541" s="198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199" t="s">
        <v>334</v>
      </c>
      <c r="J1541" s="2">
        <v>2</v>
      </c>
      <c r="K1541" s="202" t="s">
        <v>188</v>
      </c>
    </row>
    <row r="1542" spans="1:11">
      <c r="A1542" s="2">
        <f t="shared" si="211"/>
        <v>1541</v>
      </c>
      <c r="B1542" s="198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02" t="s">
        <v>188</v>
      </c>
    </row>
    <row r="1543" spans="1:11">
      <c r="A1543" s="2">
        <f>A1542+1</f>
        <v>1542</v>
      </c>
      <c r="B1543" s="198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199" t="s">
        <v>1460</v>
      </c>
      <c r="J1543" s="2">
        <v>1</v>
      </c>
      <c r="K1543" s="202" t="s">
        <v>188</v>
      </c>
    </row>
    <row r="1544" spans="1:11">
      <c r="A1544" s="2">
        <f>A1543+1</f>
        <v>1543</v>
      </c>
      <c r="B1544" s="198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02" t="s">
        <v>188</v>
      </c>
    </row>
    <row r="1545" spans="1:11">
      <c r="A1545" s="2">
        <f t="shared" ref="A1545:A1546" si="212">A1544+1</f>
        <v>1544</v>
      </c>
      <c r="B1545" s="198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02" t="s">
        <v>184</v>
      </c>
    </row>
    <row r="1546" spans="1:11">
      <c r="A1546" s="2">
        <f t="shared" si="212"/>
        <v>1545</v>
      </c>
      <c r="B1546" s="198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02" t="s">
        <v>184</v>
      </c>
    </row>
    <row r="1547" spans="1:11">
      <c r="A1547" s="2">
        <f>A1546+1</f>
        <v>1546</v>
      </c>
      <c r="B1547" s="198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02" t="s">
        <v>186</v>
      </c>
    </row>
    <row r="1548" spans="1:11">
      <c r="A1548" s="2">
        <f t="shared" ref="A1548:A1550" si="213">A1547+1</f>
        <v>1547</v>
      </c>
      <c r="B1548" s="198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199" t="s">
        <v>187</v>
      </c>
    </row>
    <row r="1549" spans="1:11">
      <c r="A1549" s="2">
        <f t="shared" si="213"/>
        <v>1548</v>
      </c>
      <c r="B1549" s="198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199" t="s">
        <v>187</v>
      </c>
    </row>
    <row r="1550" spans="1:11">
      <c r="A1550" s="2">
        <f t="shared" si="213"/>
        <v>1549</v>
      </c>
      <c r="B1550" s="198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199" t="s">
        <v>186</v>
      </c>
    </row>
    <row r="1551" spans="1:11">
      <c r="A1551" s="2">
        <f>A1550+1</f>
        <v>1550</v>
      </c>
      <c r="B1551" s="198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199" t="s">
        <v>185</v>
      </c>
    </row>
    <row r="1552" spans="1:11">
      <c r="A1552" s="2">
        <f t="shared" ref="A1552:A1554" si="214">A1551+1</f>
        <v>1551</v>
      </c>
      <c r="B1552" s="198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199" t="s">
        <v>186</v>
      </c>
    </row>
    <row r="1553" spans="1:11">
      <c r="A1553" s="2">
        <f t="shared" si="214"/>
        <v>1552</v>
      </c>
      <c r="B1553" s="198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199" t="s">
        <v>184</v>
      </c>
    </row>
    <row r="1554" spans="1:11">
      <c r="A1554" s="2">
        <f t="shared" si="214"/>
        <v>1553</v>
      </c>
      <c r="B1554" s="198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199" t="s">
        <v>184</v>
      </c>
    </row>
    <row r="1555" spans="1:11">
      <c r="A1555" s="2">
        <f>A1554+1</f>
        <v>1554</v>
      </c>
      <c r="B1555" s="198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28" t="s">
        <v>1481</v>
      </c>
      <c r="J1555" s="2">
        <v>1</v>
      </c>
      <c r="K1555" s="199" t="s">
        <v>187</v>
      </c>
    </row>
    <row r="1556" spans="1:11">
      <c r="A1556" s="2">
        <f>A1555+1</f>
        <v>1555</v>
      </c>
      <c r="B1556" s="198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28" t="s">
        <v>1482</v>
      </c>
      <c r="J1556" s="2">
        <v>1</v>
      </c>
      <c r="K1556" s="199" t="s">
        <v>187</v>
      </c>
    </row>
    <row r="1557" spans="1:11">
      <c r="A1557" s="2">
        <f t="shared" ref="A1557:A1558" si="215">A1556+1</f>
        <v>1556</v>
      </c>
      <c r="B1557" s="198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199" t="s">
        <v>187</v>
      </c>
    </row>
    <row r="1558" spans="1:11">
      <c r="A1558" s="2">
        <f t="shared" si="215"/>
        <v>1557</v>
      </c>
      <c r="B1558" s="198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199" t="s">
        <v>188</v>
      </c>
    </row>
    <row r="1559" spans="1:11">
      <c r="A1559" s="2">
        <f t="shared" ref="A1559:A1560" si="216">A1558+1</f>
        <v>1558</v>
      </c>
      <c r="B1559" s="198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199" t="s">
        <v>334</v>
      </c>
      <c r="J1559" s="2">
        <v>2</v>
      </c>
      <c r="K1559" s="199" t="s">
        <v>189</v>
      </c>
    </row>
    <row r="1560" spans="1:11">
      <c r="A1560" s="2">
        <f t="shared" si="216"/>
        <v>1559</v>
      </c>
      <c r="B1560" s="198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199" t="s">
        <v>189</v>
      </c>
    </row>
    <row r="1561" spans="1:11">
      <c r="A1561" s="2">
        <f t="shared" ref="A1561:A1562" si="217">A1560+1</f>
        <v>1560</v>
      </c>
      <c r="B1561" s="198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199" t="s">
        <v>334</v>
      </c>
      <c r="J1561" s="2">
        <v>2</v>
      </c>
      <c r="K1561" s="199" t="s">
        <v>189</v>
      </c>
    </row>
    <row r="1562" spans="1:11">
      <c r="A1562" s="2">
        <f t="shared" si="217"/>
        <v>1561</v>
      </c>
      <c r="B1562" s="198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199" t="s">
        <v>189</v>
      </c>
    </row>
    <row r="1563" spans="1:11">
      <c r="A1563" s="2">
        <f t="shared" ref="A1563:A1564" si="218">A1562+1</f>
        <v>1562</v>
      </c>
      <c r="B1563" s="198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199" t="s">
        <v>189</v>
      </c>
    </row>
    <row r="1564" spans="1:11">
      <c r="A1564" s="2">
        <f t="shared" si="218"/>
        <v>1563</v>
      </c>
      <c r="B1564" s="198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199" t="s">
        <v>334</v>
      </c>
      <c r="J1564" s="2">
        <v>2</v>
      </c>
      <c r="K1564" s="199" t="s">
        <v>189</v>
      </c>
    </row>
    <row r="1565" spans="1:11">
      <c r="A1565" s="2">
        <f>A1564+1</f>
        <v>1564</v>
      </c>
      <c r="B1565" s="198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199" t="s">
        <v>184</v>
      </c>
    </row>
    <row r="1566" spans="1:11">
      <c r="A1566" s="2">
        <f t="shared" ref="A1566:A1568" si="219">A1565+1</f>
        <v>1565</v>
      </c>
      <c r="B1566" s="198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199" t="s">
        <v>334</v>
      </c>
      <c r="J1566" s="2">
        <v>2</v>
      </c>
      <c r="K1566" s="199" t="s">
        <v>184</v>
      </c>
    </row>
    <row r="1567" spans="1:11">
      <c r="A1567" s="2">
        <f t="shared" si="219"/>
        <v>1566</v>
      </c>
      <c r="B1567" s="198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199" t="s">
        <v>185</v>
      </c>
    </row>
    <row r="1568" spans="1:11">
      <c r="A1568" s="2">
        <f t="shared" si="219"/>
        <v>1567</v>
      </c>
      <c r="B1568" s="198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199" t="s">
        <v>185</v>
      </c>
    </row>
    <row r="1569" spans="1:11">
      <c r="A1569" s="2">
        <f t="shared" ref="A1569:A1570" si="220">A1568+1</f>
        <v>1568</v>
      </c>
      <c r="B1569" s="198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02" t="s">
        <v>184</v>
      </c>
    </row>
    <row r="1570" spans="1:11">
      <c r="A1570" s="2">
        <f t="shared" si="220"/>
        <v>1569</v>
      </c>
      <c r="B1570" s="198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06" t="s">
        <v>185</v>
      </c>
    </row>
    <row r="1571" spans="1:11">
      <c r="A1571" s="2">
        <f>A1570+1</f>
        <v>1570</v>
      </c>
      <c r="B1571" s="198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02" t="s">
        <v>184</v>
      </c>
    </row>
    <row r="1572" spans="1:11">
      <c r="A1572" s="2">
        <f t="shared" ref="A1572:A1573" si="221">A1571+1</f>
        <v>1571</v>
      </c>
      <c r="B1572" s="198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199" t="s">
        <v>334</v>
      </c>
      <c r="J1572" s="2">
        <v>2</v>
      </c>
      <c r="K1572" s="202" t="s">
        <v>184</v>
      </c>
    </row>
    <row r="1573" spans="1:11">
      <c r="A1573" s="2">
        <f t="shared" si="221"/>
        <v>1572</v>
      </c>
      <c r="B1573" s="198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06" t="s">
        <v>185</v>
      </c>
    </row>
    <row r="1574" spans="1:11">
      <c r="A1574" s="2">
        <f t="shared" ref="A1574:A1575" si="222">A1573+1</f>
        <v>1573</v>
      </c>
      <c r="B1574" s="198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07" t="s">
        <v>184</v>
      </c>
    </row>
    <row r="1575" spans="1:11">
      <c r="A1575" s="2">
        <f t="shared" si="222"/>
        <v>1574</v>
      </c>
      <c r="B1575" s="198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199" t="s">
        <v>334</v>
      </c>
      <c r="J1575" s="2">
        <v>2</v>
      </c>
      <c r="K1575" s="205" t="s">
        <v>185</v>
      </c>
    </row>
    <row r="1576" spans="1:11">
      <c r="A1576" s="2">
        <f>A1575+1</f>
        <v>1575</v>
      </c>
      <c r="B1576" s="198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199" t="s">
        <v>184</v>
      </c>
    </row>
    <row r="1577" spans="1:11">
      <c r="A1577" s="2">
        <f t="shared" ref="A1577:A1578" si="223">A1576+1</f>
        <v>1576</v>
      </c>
      <c r="B1577" s="198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199" t="s">
        <v>185</v>
      </c>
    </row>
    <row r="1578" spans="1:11">
      <c r="A1578" s="2">
        <f t="shared" si="223"/>
        <v>1577</v>
      </c>
      <c r="B1578" s="198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08" t="s">
        <v>184</v>
      </c>
    </row>
    <row r="1579" spans="1:11">
      <c r="A1579" s="2">
        <f>A1578+1</f>
        <v>1578</v>
      </c>
      <c r="B1579" s="198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09" t="s">
        <v>189</v>
      </c>
    </row>
    <row r="1580" spans="1:11">
      <c r="A1580" s="2">
        <f>A1579+1</f>
        <v>1579</v>
      </c>
      <c r="B1580" s="198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06" t="s">
        <v>185</v>
      </c>
    </row>
    <row r="1581" spans="1:11">
      <c r="A1581" s="2">
        <f t="shared" ref="A1581:A1582" si="224">A1580+1</f>
        <v>1580</v>
      </c>
      <c r="B1581" s="198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14" t="s">
        <v>186</v>
      </c>
    </row>
    <row r="1582" spans="1:11">
      <c r="A1582" s="2">
        <f t="shared" si="224"/>
        <v>1581</v>
      </c>
      <c r="B1582" s="198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14" t="s">
        <v>186</v>
      </c>
    </row>
    <row r="1583" spans="1:11">
      <c r="A1583" s="2">
        <f>A1582+1</f>
        <v>1582</v>
      </c>
      <c r="B1583" s="198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16" t="s">
        <v>189</v>
      </c>
    </row>
    <row r="1584" spans="1:11">
      <c r="A1584" s="2">
        <f>A1583+1</f>
        <v>1583</v>
      </c>
      <c r="B1584" s="198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17" t="s">
        <v>186</v>
      </c>
    </row>
    <row r="1585" spans="1:11">
      <c r="A1585" s="2">
        <f t="shared" ref="A1585:A1586" si="225">A1584+1</f>
        <v>1584</v>
      </c>
      <c r="B1585" s="198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18" t="s">
        <v>187</v>
      </c>
    </row>
    <row r="1586" spans="1:11">
      <c r="A1586" s="2">
        <f t="shared" si="225"/>
        <v>1585</v>
      </c>
      <c r="B1586" s="198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09" t="s">
        <v>189</v>
      </c>
    </row>
    <row r="1587" spans="1:11">
      <c r="A1587" s="2">
        <f>A1586+1</f>
        <v>1586</v>
      </c>
      <c r="B1587" s="198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1617</v>
      </c>
      <c r="J1587" s="2">
        <v>1</v>
      </c>
      <c r="K1587" s="218" t="s">
        <v>187</v>
      </c>
    </row>
    <row r="1588" spans="1:11">
      <c r="A1588" s="2">
        <f>A1587+1</f>
        <v>1587</v>
      </c>
      <c r="B1588" s="198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1618</v>
      </c>
      <c r="J1588" s="2">
        <v>1</v>
      </c>
      <c r="K1588" s="218" t="s">
        <v>187</v>
      </c>
    </row>
    <row r="1589" spans="1:11">
      <c r="A1589" s="2">
        <f>A1588+1</f>
        <v>1588</v>
      </c>
      <c r="B1589" s="198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199" t="s">
        <v>334</v>
      </c>
      <c r="J1589" s="2">
        <v>2</v>
      </c>
      <c r="K1589" s="205" t="s">
        <v>185</v>
      </c>
    </row>
    <row r="1590" spans="1:11">
      <c r="A1590" s="2">
        <f t="shared" ref="A1590:A1591" si="226">A1589+1</f>
        <v>1589</v>
      </c>
      <c r="B1590" s="198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17" t="s">
        <v>186</v>
      </c>
    </row>
    <row r="1591" spans="1:11">
      <c r="A1591" s="2">
        <f t="shared" si="226"/>
        <v>1590</v>
      </c>
      <c r="B1591" s="198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17" t="s">
        <v>186</v>
      </c>
    </row>
    <row r="1592" spans="1:11">
      <c r="A1592" s="2">
        <f t="shared" ref="A1592:A1593" si="227">A1591+1</f>
        <v>1591</v>
      </c>
      <c r="B1592" s="198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199" t="s">
        <v>334</v>
      </c>
      <c r="J1592" s="2">
        <v>1</v>
      </c>
      <c r="K1592" s="218" t="s">
        <v>187</v>
      </c>
    </row>
    <row r="1593" spans="1:11">
      <c r="A1593" s="2">
        <f t="shared" si="227"/>
        <v>1592</v>
      </c>
      <c r="B1593" s="198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09" t="s">
        <v>189</v>
      </c>
    </row>
    <row r="1594" spans="1:11">
      <c r="A1594" s="2">
        <f>A1593+1</f>
        <v>1593</v>
      </c>
      <c r="B1594" s="198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17" t="s">
        <v>186</v>
      </c>
    </row>
    <row r="1595" spans="1:11">
      <c r="A1595" s="2">
        <f t="shared" ref="A1595:A1597" si="228">A1594+1</f>
        <v>1594</v>
      </c>
      <c r="B1595" s="198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05" t="s">
        <v>185</v>
      </c>
    </row>
    <row r="1596" spans="1:11">
      <c r="A1596" s="2">
        <f t="shared" si="228"/>
        <v>1595</v>
      </c>
      <c r="B1596" s="198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18" t="s">
        <v>187</v>
      </c>
    </row>
    <row r="1597" spans="1:11">
      <c r="A1597" s="2">
        <f t="shared" si="228"/>
        <v>1596</v>
      </c>
      <c r="B1597" s="198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05" t="s">
        <v>185</v>
      </c>
    </row>
    <row r="1598" spans="1:11">
      <c r="A1598" s="2">
        <f t="shared" ref="A1598:A1599" si="229">A1597+1</f>
        <v>1597</v>
      </c>
      <c r="B1598" s="198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18" t="s">
        <v>187</v>
      </c>
    </row>
    <row r="1599" spans="1:11">
      <c r="A1599" s="2">
        <f t="shared" si="229"/>
        <v>1598</v>
      </c>
      <c r="B1599" s="198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08" t="s">
        <v>184</v>
      </c>
    </row>
    <row r="1600" spans="1:11">
      <c r="A1600" s="2">
        <f t="shared" ref="A1600:A1601" si="230">A1599+1</f>
        <v>1599</v>
      </c>
      <c r="B1600" s="198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23" t="s">
        <v>184</v>
      </c>
    </row>
    <row r="1601" spans="1:11">
      <c r="A1601" s="2">
        <f t="shared" si="230"/>
        <v>1600</v>
      </c>
      <c r="B1601" s="198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199" t="s">
        <v>334</v>
      </c>
      <c r="J1601" s="2">
        <v>2</v>
      </c>
      <c r="K1601" s="223" t="s">
        <v>184</v>
      </c>
    </row>
    <row r="1602" spans="1:11">
      <c r="A1602" s="2">
        <f>A1601+1</f>
        <v>1601</v>
      </c>
      <c r="B1602" s="198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24" t="s">
        <v>188</v>
      </c>
    </row>
    <row r="1603" spans="1:11">
      <c r="A1603" s="2">
        <f>A1602+1</f>
        <v>1602</v>
      </c>
      <c r="B1603" s="198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25" t="s">
        <v>189</v>
      </c>
    </row>
    <row r="1604" spans="1:11">
      <c r="A1604" s="2">
        <f>A1603+1</f>
        <v>1603</v>
      </c>
      <c r="B1604" s="198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06" t="s">
        <v>185</v>
      </c>
    </row>
    <row r="1605" spans="1:11">
      <c r="A1605" s="2">
        <f t="shared" ref="A1605:A1606" si="231">A1604+1</f>
        <v>1604</v>
      </c>
      <c r="B1605" s="198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24" t="s">
        <v>188</v>
      </c>
    </row>
    <row r="1606" spans="1:11">
      <c r="A1606" s="2">
        <f t="shared" si="231"/>
        <v>1605</v>
      </c>
      <c r="B1606" s="198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14" t="s">
        <v>186</v>
      </c>
    </row>
    <row r="1607" spans="1:11">
      <c r="A1607" s="2">
        <f t="shared" ref="A1607:A1609" si="232">A1606+1</f>
        <v>1606</v>
      </c>
      <c r="B1607" s="198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199" t="s">
        <v>334</v>
      </c>
      <c r="J1607" s="2">
        <v>2</v>
      </c>
      <c r="K1607" s="224" t="s">
        <v>188</v>
      </c>
    </row>
    <row r="1608" spans="1:11">
      <c r="A1608" s="2">
        <f t="shared" si="232"/>
        <v>1607</v>
      </c>
      <c r="B1608" s="198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24" t="s">
        <v>188</v>
      </c>
    </row>
    <row r="1609" spans="1:11">
      <c r="A1609" s="2">
        <f t="shared" si="232"/>
        <v>1608</v>
      </c>
      <c r="B1609" s="198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14" t="s">
        <v>186</v>
      </c>
    </row>
    <row r="1610" spans="1:11">
      <c r="A1610" s="2">
        <f t="shared" ref="A1610:A1611" si="233">A1609+1</f>
        <v>1609</v>
      </c>
      <c r="B1610" s="198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24" t="s">
        <v>188</v>
      </c>
    </row>
    <row r="1611" spans="1:11">
      <c r="A1611" s="2">
        <f t="shared" si="233"/>
        <v>1610</v>
      </c>
      <c r="B1611" s="198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24" t="s">
        <v>188</v>
      </c>
    </row>
    <row r="1612" spans="1:11">
      <c r="A1612" s="2">
        <f>A1611+1</f>
        <v>1611</v>
      </c>
      <c r="B1612" s="198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23" t="s">
        <v>184</v>
      </c>
    </row>
    <row r="1613" spans="1:11">
      <c r="A1613" s="2">
        <f>A1612+1</f>
        <v>1612</v>
      </c>
      <c r="B1613" s="198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199" t="s">
        <v>334</v>
      </c>
      <c r="J1613" s="2">
        <v>1</v>
      </c>
      <c r="K1613" s="214" t="s">
        <v>186</v>
      </c>
    </row>
    <row r="1614" spans="1:11">
      <c r="A1614" s="2">
        <f t="shared" ref="A1614:A1616" si="234">A1613+1</f>
        <v>1613</v>
      </c>
      <c r="B1614" s="198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23" t="s">
        <v>184</v>
      </c>
    </row>
    <row r="1615" spans="1:11">
      <c r="A1615" s="2">
        <f t="shared" si="234"/>
        <v>1614</v>
      </c>
      <c r="B1615" s="198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23" t="s">
        <v>184</v>
      </c>
    </row>
    <row r="1616" spans="1:11">
      <c r="A1616" s="2">
        <f t="shared" si="234"/>
        <v>1615</v>
      </c>
      <c r="B1616" s="198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199" t="s">
        <v>334</v>
      </c>
      <c r="J1616" s="2">
        <v>1</v>
      </c>
      <c r="K1616" s="223" t="s">
        <v>184</v>
      </c>
    </row>
    <row r="1617" spans="1:11">
      <c r="A1617" s="2">
        <f>A1616+1</f>
        <v>1616</v>
      </c>
      <c r="B1617" s="198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27" t="s">
        <v>185</v>
      </c>
    </row>
    <row r="1618" spans="1:11">
      <c r="A1618" s="2">
        <f t="shared" ref="A1618:A1620" si="235">A1617+1</f>
        <v>1617</v>
      </c>
      <c r="B1618" s="198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28" t="s">
        <v>189</v>
      </c>
    </row>
    <row r="1619" spans="1:11">
      <c r="A1619" s="2">
        <f t="shared" si="235"/>
        <v>1618</v>
      </c>
      <c r="B1619" s="198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199" t="s">
        <v>334</v>
      </c>
      <c r="J1619" s="2">
        <v>2</v>
      </c>
      <c r="K1619" s="208" t="s">
        <v>184</v>
      </c>
    </row>
    <row r="1620" spans="1:11">
      <c r="A1620" s="2">
        <f t="shared" si="235"/>
        <v>1619</v>
      </c>
      <c r="B1620" s="198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28" t="s">
        <v>187</v>
      </c>
    </row>
    <row r="1621" spans="1:11">
      <c r="A1621" s="2">
        <f t="shared" ref="A1621:A1628" si="236">A1620+1</f>
        <v>1620</v>
      </c>
      <c r="B1621" s="198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29" t="s">
        <v>189</v>
      </c>
    </row>
    <row r="1622" spans="1:11">
      <c r="A1622" s="2">
        <f t="shared" si="236"/>
        <v>1621</v>
      </c>
      <c r="B1622" s="198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26" t="s">
        <v>185</v>
      </c>
    </row>
    <row r="1623" spans="1:11">
      <c r="A1623" s="2">
        <f t="shared" si="236"/>
        <v>1622</v>
      </c>
      <c r="B1623" s="198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33" t="s">
        <v>188</v>
      </c>
    </row>
    <row r="1624" spans="1:11">
      <c r="A1624" s="2">
        <f t="shared" si="236"/>
        <v>1623</v>
      </c>
      <c r="B1624" s="198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199" t="s">
        <v>334</v>
      </c>
      <c r="J1624" s="2">
        <v>1</v>
      </c>
      <c r="K1624" s="233" t="s">
        <v>188</v>
      </c>
    </row>
    <row r="1625" spans="1:11">
      <c r="A1625" s="2">
        <f t="shared" si="236"/>
        <v>1624</v>
      </c>
      <c r="B1625" s="198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33" t="s">
        <v>188</v>
      </c>
    </row>
    <row r="1626" spans="1:11">
      <c r="A1626" s="2">
        <f t="shared" si="236"/>
        <v>1625</v>
      </c>
      <c r="B1626" s="198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33" t="s">
        <v>188</v>
      </c>
    </row>
    <row r="1627" spans="1:11">
      <c r="A1627" s="2">
        <f t="shared" si="236"/>
        <v>1626</v>
      </c>
      <c r="B1627" s="198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47" t="s">
        <v>189</v>
      </c>
    </row>
    <row r="1628" spans="1:11">
      <c r="A1628" s="2">
        <f t="shared" si="236"/>
        <v>1627</v>
      </c>
      <c r="B1628" s="198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199" t="s">
        <v>334</v>
      </c>
      <c r="J1628" s="2">
        <v>1</v>
      </c>
      <c r="K1628" s="247" t="s">
        <v>189</v>
      </c>
    </row>
    <row r="1629" spans="1:11">
      <c r="A1629" s="2">
        <f>A1628+1</f>
        <v>1628</v>
      </c>
      <c r="B1629" s="198" t="s">
        <v>4</v>
      </c>
      <c r="C1629" s="2">
        <v>2025</v>
      </c>
      <c r="D1629" s="2" t="s">
        <v>211</v>
      </c>
      <c r="E1629" s="2" t="s">
        <v>211</v>
      </c>
      <c r="F1629" s="18">
        <v>45839</v>
      </c>
      <c r="G1629" s="2">
        <v>31</v>
      </c>
      <c r="H1629" s="19">
        <v>45858</v>
      </c>
      <c r="I1629" t="s">
        <v>333</v>
      </c>
      <c r="J1629" s="2">
        <v>1</v>
      </c>
      <c r="K1629" s="228" t="s">
        <v>189</v>
      </c>
    </row>
    <row r="1630" spans="1:11">
      <c r="A1630" s="2">
        <f t="shared" ref="A1630:A1631" si="237">A1629+1</f>
        <v>1629</v>
      </c>
      <c r="B1630" s="198" t="s">
        <v>4</v>
      </c>
      <c r="C1630" s="2">
        <v>2025</v>
      </c>
      <c r="D1630" s="2" t="s">
        <v>211</v>
      </c>
      <c r="E1630" s="2" t="s">
        <v>211</v>
      </c>
      <c r="F1630" s="18">
        <v>45839</v>
      </c>
      <c r="G1630" s="2">
        <v>31</v>
      </c>
      <c r="H1630" s="19">
        <v>45861</v>
      </c>
      <c r="I1630" t="s">
        <v>333</v>
      </c>
      <c r="J1630" s="2">
        <v>1</v>
      </c>
      <c r="K1630" s="3" t="s">
        <v>184</v>
      </c>
    </row>
    <row r="1631" spans="1:11">
      <c r="A1631" s="2">
        <f t="shared" si="237"/>
        <v>1630</v>
      </c>
      <c r="B1631" s="198" t="s">
        <v>4</v>
      </c>
      <c r="C1631" s="2">
        <v>2025</v>
      </c>
      <c r="D1631" s="2" t="s">
        <v>211</v>
      </c>
      <c r="E1631" s="2" t="s">
        <v>211</v>
      </c>
      <c r="F1631" s="18">
        <v>45839</v>
      </c>
      <c r="G1631" s="2">
        <v>31</v>
      </c>
      <c r="H1631" s="19">
        <v>45865</v>
      </c>
      <c r="I1631" t="s">
        <v>384</v>
      </c>
      <c r="J1631" s="2">
        <v>1</v>
      </c>
      <c r="K1631" s="3" t="s">
        <v>189</v>
      </c>
    </row>
    <row r="1632" spans="1:11">
      <c r="A1632" s="2">
        <f>A1631+1</f>
        <v>1631</v>
      </c>
      <c r="B1632" s="198" t="s">
        <v>4</v>
      </c>
      <c r="C1632" s="2">
        <v>2025</v>
      </c>
      <c r="D1632" s="2" t="s">
        <v>211</v>
      </c>
      <c r="E1632" s="2" t="s">
        <v>211</v>
      </c>
      <c r="F1632" s="18">
        <v>45839</v>
      </c>
      <c r="G1632" s="2">
        <v>31</v>
      </c>
      <c r="H1632" s="19">
        <v>45866</v>
      </c>
      <c r="I1632" s="199" t="s">
        <v>334</v>
      </c>
      <c r="J1632" s="2">
        <v>1</v>
      </c>
      <c r="K1632" s="3" t="s">
        <v>186</v>
      </c>
    </row>
    <row r="1633" spans="1:11">
      <c r="A1633" s="2">
        <f t="shared" ref="A1633:A1634" si="238">A1632+1</f>
        <v>1632</v>
      </c>
      <c r="B1633" s="198" t="s">
        <v>4</v>
      </c>
      <c r="C1633" s="2">
        <v>2025</v>
      </c>
      <c r="D1633" s="2" t="s">
        <v>211</v>
      </c>
      <c r="E1633" s="2" t="s">
        <v>211</v>
      </c>
      <c r="F1633" s="18">
        <v>45870</v>
      </c>
      <c r="G1633" s="2">
        <v>30</v>
      </c>
      <c r="H1633" s="19">
        <v>45870</v>
      </c>
      <c r="I1633" t="s">
        <v>1743</v>
      </c>
      <c r="J1633" s="2">
        <v>1</v>
      </c>
      <c r="K1633" s="335" t="s">
        <v>189</v>
      </c>
    </row>
    <row r="1634" spans="1:11">
      <c r="A1634" s="2">
        <f t="shared" si="238"/>
        <v>1633</v>
      </c>
      <c r="B1634" s="198" t="s">
        <v>4</v>
      </c>
      <c r="C1634" s="2">
        <v>2025</v>
      </c>
      <c r="D1634" s="2" t="s">
        <v>211</v>
      </c>
      <c r="E1634" s="2" t="s">
        <v>211</v>
      </c>
      <c r="F1634" s="18">
        <v>45870</v>
      </c>
      <c r="G1634" s="2">
        <v>30</v>
      </c>
      <c r="H1634" s="19">
        <v>45870</v>
      </c>
      <c r="I1634" t="s">
        <v>1744</v>
      </c>
      <c r="J1634" s="2">
        <v>2</v>
      </c>
      <c r="K1634" s="335" t="s">
        <v>189</v>
      </c>
    </row>
    <row r="1635" spans="1:11">
      <c r="A1635" s="2">
        <f t="shared" ref="A1635:A1636" si="239">A1634+1</f>
        <v>1634</v>
      </c>
      <c r="B1635" s="198" t="s">
        <v>4</v>
      </c>
      <c r="C1635" s="2">
        <v>2025</v>
      </c>
      <c r="D1635" s="2" t="s">
        <v>211</v>
      </c>
      <c r="E1635" s="2" t="s">
        <v>211</v>
      </c>
      <c r="F1635" s="18">
        <v>45870</v>
      </c>
      <c r="G1635" s="2">
        <v>30</v>
      </c>
      <c r="H1635" s="19">
        <v>45873</v>
      </c>
      <c r="I1635" t="s">
        <v>431</v>
      </c>
      <c r="J1635" s="2">
        <v>1</v>
      </c>
      <c r="K1635" s="357" t="s">
        <v>188</v>
      </c>
    </row>
    <row r="1636" spans="1:11">
      <c r="A1636" s="2">
        <f t="shared" si="239"/>
        <v>1635</v>
      </c>
      <c r="B1636" s="198" t="s">
        <v>4</v>
      </c>
      <c r="C1636" s="2">
        <v>2025</v>
      </c>
      <c r="D1636" s="2" t="s">
        <v>211</v>
      </c>
      <c r="E1636" s="2" t="s">
        <v>211</v>
      </c>
      <c r="F1636" s="18">
        <v>45870</v>
      </c>
      <c r="G1636" s="2">
        <v>30</v>
      </c>
      <c r="H1636" s="19">
        <v>45873</v>
      </c>
      <c r="I1636" t="s">
        <v>1750</v>
      </c>
      <c r="J1636" s="2">
        <v>1</v>
      </c>
      <c r="K1636" s="248" t="s">
        <v>184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C5E78-44C5-497A-9382-55FDDEB27AE4}">
  <sheetPr codeName="Sheet18"/>
  <dimension ref="A1:U6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8.85546875" defaultRowHeight="15"/>
  <cols>
    <col min="1" max="2" width="8.85546875" style="277"/>
    <col min="3" max="3" width="10" style="277" bestFit="1" customWidth="1"/>
    <col min="4" max="4" width="12.42578125" style="277" customWidth="1"/>
    <col min="5" max="5" width="14" style="277" customWidth="1"/>
    <col min="6" max="6" width="17.42578125" style="277" customWidth="1"/>
    <col min="7" max="7" width="12.85546875" style="277" customWidth="1"/>
    <col min="8" max="9" width="8.85546875" style="277"/>
    <col min="10" max="10" width="16.42578125" style="277" customWidth="1"/>
    <col min="11" max="11" width="20.85546875" style="277" customWidth="1"/>
    <col min="12" max="12" width="23" style="277" customWidth="1"/>
    <col min="13" max="13" width="10.42578125" style="277" customWidth="1"/>
    <col min="14" max="14" width="11.42578125" style="277" customWidth="1"/>
    <col min="15" max="15" width="9.85546875" style="277" customWidth="1"/>
    <col min="16" max="16" width="23.140625" style="277" customWidth="1"/>
    <col min="17" max="18" width="22.85546875" style="277" customWidth="1"/>
    <col min="19" max="19" width="58.42578125" style="277" bestFit="1" customWidth="1"/>
    <col min="20" max="20" width="39.140625" style="277" customWidth="1"/>
    <col min="21" max="21" width="27.140625" style="277" customWidth="1"/>
    <col min="22" max="16384" width="8.85546875" style="277"/>
  </cols>
  <sheetData>
    <row r="1" spans="1:21" ht="30">
      <c r="A1" s="274" t="s">
        <v>1710</v>
      </c>
      <c r="B1" s="275" t="s">
        <v>83</v>
      </c>
      <c r="C1" s="275" t="s">
        <v>36</v>
      </c>
      <c r="D1" s="275" t="s">
        <v>1700</v>
      </c>
      <c r="E1" s="275" t="s">
        <v>1711</v>
      </c>
      <c r="F1" s="275" t="s">
        <v>1712</v>
      </c>
      <c r="G1" s="275" t="s">
        <v>1713</v>
      </c>
      <c r="H1" s="275" t="s">
        <v>1714</v>
      </c>
      <c r="I1" s="275" t="s">
        <v>1715</v>
      </c>
      <c r="J1" s="275" t="s">
        <v>1716</v>
      </c>
      <c r="K1" s="275" t="s">
        <v>1717</v>
      </c>
      <c r="L1" s="275" t="s">
        <v>1718</v>
      </c>
      <c r="M1" s="275" t="s">
        <v>432</v>
      </c>
      <c r="N1" s="275" t="s">
        <v>1719</v>
      </c>
      <c r="O1" s="275" t="s">
        <v>1720</v>
      </c>
      <c r="P1" s="275" t="s">
        <v>1721</v>
      </c>
      <c r="Q1" s="275" t="s">
        <v>1722</v>
      </c>
      <c r="R1" s="275" t="s">
        <v>1723</v>
      </c>
      <c r="S1" s="275" t="s">
        <v>1724</v>
      </c>
      <c r="T1" s="275" t="s">
        <v>1725</v>
      </c>
      <c r="U1" s="276" t="s">
        <v>1726</v>
      </c>
    </row>
    <row r="2" spans="1:21">
      <c r="A2" s="278">
        <v>1</v>
      </c>
      <c r="B2" s="279"/>
      <c r="C2" s="280"/>
      <c r="D2" s="279"/>
      <c r="E2" s="279"/>
      <c r="F2" s="279"/>
      <c r="G2" s="279"/>
      <c r="H2" s="281"/>
      <c r="I2" s="281"/>
      <c r="J2" s="281">
        <f t="shared" ref="J2:J6" si="0">I2-H2</f>
        <v>0</v>
      </c>
      <c r="K2" s="281">
        <f t="shared" ref="K2:K6" si="1">J2*24</f>
        <v>0</v>
      </c>
      <c r="L2" s="279"/>
      <c r="M2" s="279"/>
      <c r="N2" s="282"/>
      <c r="O2" s="282">
        <f t="shared" ref="O2:O6" si="2">(N2-M2)</f>
        <v>0</v>
      </c>
      <c r="P2" s="282"/>
      <c r="Q2" s="283"/>
      <c r="R2" s="284">
        <f t="shared" ref="R2:R6" si="3">(M2*P2*Q2)/100</f>
        <v>0</v>
      </c>
      <c r="S2" s="285"/>
      <c r="T2" s="279"/>
      <c r="U2" s="286"/>
    </row>
    <row r="3" spans="1:21">
      <c r="A3" s="278">
        <f>A2+1</f>
        <v>2</v>
      </c>
      <c r="B3" s="279"/>
      <c r="C3" s="280"/>
      <c r="D3" s="279"/>
      <c r="E3" s="279"/>
      <c r="F3" s="279"/>
      <c r="G3" s="279"/>
      <c r="H3" s="281"/>
      <c r="I3" s="281"/>
      <c r="J3" s="281">
        <f t="shared" si="0"/>
        <v>0</v>
      </c>
      <c r="K3" s="281">
        <f t="shared" si="1"/>
        <v>0</v>
      </c>
      <c r="L3" s="279"/>
      <c r="M3" s="279"/>
      <c r="N3" s="282"/>
      <c r="O3" s="282">
        <f t="shared" si="2"/>
        <v>0</v>
      </c>
      <c r="P3" s="282"/>
      <c r="Q3" s="283"/>
      <c r="R3" s="284">
        <f t="shared" si="3"/>
        <v>0</v>
      </c>
      <c r="S3" s="279"/>
      <c r="T3" s="279"/>
      <c r="U3" s="286"/>
    </row>
    <row r="4" spans="1:21">
      <c r="A4" s="278">
        <f t="shared" ref="A4:A6" si="4">A3+1</f>
        <v>3</v>
      </c>
      <c r="B4" s="279"/>
      <c r="C4" s="280"/>
      <c r="D4" s="279"/>
      <c r="E4" s="279"/>
      <c r="F4" s="279"/>
      <c r="G4" s="279"/>
      <c r="H4" s="281"/>
      <c r="I4" s="281"/>
      <c r="J4" s="281">
        <f t="shared" si="0"/>
        <v>0</v>
      </c>
      <c r="K4" s="281">
        <f t="shared" si="1"/>
        <v>0</v>
      </c>
      <c r="L4" s="279"/>
      <c r="M4" s="279"/>
      <c r="N4" s="282"/>
      <c r="O4" s="282">
        <f t="shared" si="2"/>
        <v>0</v>
      </c>
      <c r="P4" s="282"/>
      <c r="Q4" s="283"/>
      <c r="R4" s="284">
        <f t="shared" si="3"/>
        <v>0</v>
      </c>
      <c r="S4" s="285"/>
      <c r="T4" s="279"/>
      <c r="U4" s="286"/>
    </row>
    <row r="5" spans="1:21">
      <c r="A5" s="278">
        <f t="shared" si="4"/>
        <v>4</v>
      </c>
      <c r="B5" s="279"/>
      <c r="C5" s="280"/>
      <c r="D5" s="279"/>
      <c r="E5" s="279"/>
      <c r="F5" s="279"/>
      <c r="G5" s="279"/>
      <c r="H5" s="281"/>
      <c r="I5" s="281"/>
      <c r="J5" s="281">
        <f t="shared" si="0"/>
        <v>0</v>
      </c>
      <c r="K5" s="281">
        <f t="shared" si="1"/>
        <v>0</v>
      </c>
      <c r="L5" s="279"/>
      <c r="M5" s="279"/>
      <c r="N5" s="282"/>
      <c r="O5" s="282">
        <f t="shared" si="2"/>
        <v>0</v>
      </c>
      <c r="P5" s="282"/>
      <c r="Q5" s="283"/>
      <c r="R5" s="284">
        <f t="shared" si="3"/>
        <v>0</v>
      </c>
      <c r="S5" s="285"/>
      <c r="T5" s="279"/>
      <c r="U5" s="286"/>
    </row>
    <row r="6" spans="1:21">
      <c r="A6" s="278">
        <f t="shared" si="4"/>
        <v>5</v>
      </c>
      <c r="B6" s="279"/>
      <c r="C6" s="280"/>
      <c r="D6" s="279"/>
      <c r="E6" s="279"/>
      <c r="F6" s="279"/>
      <c r="G6" s="279"/>
      <c r="H6" s="281"/>
      <c r="I6" s="281"/>
      <c r="J6" s="281">
        <f t="shared" si="0"/>
        <v>0</v>
      </c>
      <c r="K6" s="281">
        <f t="shared" si="1"/>
        <v>0</v>
      </c>
      <c r="L6" s="279"/>
      <c r="M6" s="279"/>
      <c r="N6" s="282"/>
      <c r="O6" s="282">
        <f t="shared" si="2"/>
        <v>0</v>
      </c>
      <c r="P6" s="282"/>
      <c r="Q6" s="283"/>
      <c r="R6" s="284">
        <f t="shared" si="3"/>
        <v>0</v>
      </c>
      <c r="S6" s="285"/>
      <c r="T6" s="279"/>
      <c r="U6" s="286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5"/>
  <cols>
    <col min="1" max="1" width="18.85546875" customWidth="1"/>
    <col min="2" max="3" width="18.42578125" style="2" customWidth="1"/>
    <col min="5" max="5" width="25.42578125" customWidth="1"/>
    <col min="7" max="7" width="27.42578125" customWidth="1"/>
    <col min="9" max="9" width="18.42578125" style="3" customWidth="1"/>
    <col min="10" max="10" width="14.5703125" style="2" customWidth="1"/>
    <col min="11" max="11" width="19.85546875" style="2" customWidth="1"/>
  </cols>
  <sheetData>
    <row r="1" spans="1:13" s="1" customFormat="1" ht="30">
      <c r="A1" s="4" t="s">
        <v>1483</v>
      </c>
      <c r="B1" s="5" t="s">
        <v>1484</v>
      </c>
      <c r="C1" s="6" t="s">
        <v>234</v>
      </c>
      <c r="E1" s="4" t="s">
        <v>1485</v>
      </c>
      <c r="G1" s="4" t="s">
        <v>1486</v>
      </c>
      <c r="I1" s="11" t="s">
        <v>1487</v>
      </c>
      <c r="J1" s="5" t="s">
        <v>1488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1489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436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1490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469</v>
      </c>
      <c r="G5" s="7" t="s">
        <v>269</v>
      </c>
      <c r="I5" s="14" t="s">
        <v>1491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1492</v>
      </c>
      <c r="G6" s="7" t="s">
        <v>281</v>
      </c>
      <c r="I6" s="14" t="s">
        <v>1493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717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1494</v>
      </c>
      <c r="B8" s="8">
        <v>188.16</v>
      </c>
      <c r="C8" s="9">
        <f t="shared" si="0"/>
        <v>1.7909254447331602E-2</v>
      </c>
      <c r="E8" s="7" t="s">
        <v>435</v>
      </c>
      <c r="G8" s="7" t="s">
        <v>1495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1496</v>
      </c>
      <c r="B9" s="8">
        <v>188.58</v>
      </c>
      <c r="C9" s="9">
        <f t="shared" si="0"/>
        <v>1.7949230461722969E-2</v>
      </c>
      <c r="E9" s="7" t="s">
        <v>1497</v>
      </c>
      <c r="G9" s="7" t="s">
        <v>1498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1499</v>
      </c>
      <c r="B10" s="8">
        <v>188.79</v>
      </c>
      <c r="C10" s="9">
        <f t="shared" si="0"/>
        <v>1.7969218468918649E-2</v>
      </c>
      <c r="E10" s="7" t="s">
        <v>1500</v>
      </c>
      <c r="G10" s="7" t="s">
        <v>1501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1502</v>
      </c>
      <c r="B11" s="8">
        <v>188.37</v>
      </c>
      <c r="C11" s="9">
        <f t="shared" si="0"/>
        <v>1.7929242454527285E-2</v>
      </c>
      <c r="E11" s="7" t="s">
        <v>1503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1504</v>
      </c>
      <c r="B12" s="8">
        <v>188.37</v>
      </c>
      <c r="C12" s="9">
        <f t="shared" si="0"/>
        <v>1.7929242454527285E-2</v>
      </c>
      <c r="E12" s="7" t="s">
        <v>1505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1506</v>
      </c>
      <c r="B13" s="8">
        <v>188.16</v>
      </c>
      <c r="C13" s="9">
        <f t="shared" si="0"/>
        <v>1.7909254447331602E-2</v>
      </c>
      <c r="E13" s="7" t="s">
        <v>1507</v>
      </c>
      <c r="G13" s="7"/>
      <c r="I13" s="14" t="s">
        <v>1508</v>
      </c>
      <c r="J13" s="15">
        <f>5*42</f>
        <v>210</v>
      </c>
      <c r="K13" s="16">
        <f t="shared" si="1"/>
        <v>6.4432989690721646E-3</v>
      </c>
    </row>
    <row r="14" spans="1:13">
      <c r="A14" s="7" t="s">
        <v>1509</v>
      </c>
      <c r="B14" s="8">
        <v>188.16</v>
      </c>
      <c r="C14" s="9">
        <f t="shared" si="0"/>
        <v>1.7909254447331602E-2</v>
      </c>
      <c r="E14" s="7" t="s">
        <v>1510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1511</v>
      </c>
      <c r="B15" s="8">
        <v>188.16</v>
      </c>
      <c r="C15" s="9">
        <f t="shared" si="0"/>
        <v>1.7909254447331602E-2</v>
      </c>
      <c r="E15" s="7" t="s">
        <v>1512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1513</v>
      </c>
      <c r="B16" s="8">
        <v>162.54</v>
      </c>
      <c r="C16" s="9">
        <f t="shared" si="0"/>
        <v>1.5470717569458326E-2</v>
      </c>
      <c r="E16" s="7" t="s">
        <v>706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1514</v>
      </c>
      <c r="B17" s="8" t="s">
        <v>265</v>
      </c>
      <c r="C17" s="9" t="str">
        <f t="shared" si="0"/>
        <v/>
      </c>
      <c r="E17" s="7" t="s">
        <v>1515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1516</v>
      </c>
      <c r="B18" s="8" t="s">
        <v>265</v>
      </c>
      <c r="C18" s="9" t="str">
        <f t="shared" si="0"/>
        <v/>
      </c>
      <c r="E18" s="7" t="s">
        <v>1517</v>
      </c>
      <c r="I18" s="14" t="s">
        <v>1518</v>
      </c>
      <c r="J18" s="15">
        <f>3*63</f>
        <v>189</v>
      </c>
      <c r="K18" s="16">
        <f t="shared" si="1"/>
        <v>5.7989690721649487E-3</v>
      </c>
    </row>
    <row r="19" spans="1:11">
      <c r="A19" s="7" t="s">
        <v>1519</v>
      </c>
      <c r="B19" s="8">
        <v>188.16</v>
      </c>
      <c r="C19" s="9">
        <f t="shared" si="0"/>
        <v>1.7909254447331602E-2</v>
      </c>
      <c r="E19" s="7" t="s">
        <v>1501</v>
      </c>
      <c r="I19" s="14" t="s">
        <v>1520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1521</v>
      </c>
      <c r="B20" s="8">
        <v>188.16</v>
      </c>
      <c r="C20" s="9">
        <f t="shared" si="0"/>
        <v>1.7909254447331602E-2</v>
      </c>
      <c r="E20" s="7" t="s">
        <v>893</v>
      </c>
      <c r="I20" s="14" t="s">
        <v>1522</v>
      </c>
      <c r="J20" s="15">
        <f>4*42</f>
        <v>168</v>
      </c>
      <c r="K20" s="16">
        <f t="shared" si="1"/>
        <v>5.1546391752577319E-3</v>
      </c>
    </row>
    <row r="21" spans="1:11">
      <c r="A21" s="7" t="s">
        <v>1523</v>
      </c>
      <c r="B21" s="8">
        <v>188.37</v>
      </c>
      <c r="C21" s="9">
        <f t="shared" si="0"/>
        <v>1.7929242454527285E-2</v>
      </c>
      <c r="E21" s="7" t="s">
        <v>1524</v>
      </c>
      <c r="I21" s="14" t="s">
        <v>1525</v>
      </c>
      <c r="J21" s="15">
        <f>3*42</f>
        <v>126</v>
      </c>
      <c r="K21" s="16">
        <f t="shared" si="1"/>
        <v>3.8659793814432991E-3</v>
      </c>
    </row>
    <row r="22" spans="1:11">
      <c r="A22" s="7" t="s">
        <v>1526</v>
      </c>
      <c r="B22" s="8">
        <v>188.37</v>
      </c>
      <c r="C22" s="9">
        <f t="shared" si="0"/>
        <v>1.7929242454527285E-2</v>
      </c>
      <c r="E22" s="7" t="s">
        <v>1527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1528</v>
      </c>
      <c r="B23" s="8">
        <v>188.16</v>
      </c>
      <c r="C23" s="9">
        <f t="shared" si="0"/>
        <v>1.7909254447331602E-2</v>
      </c>
      <c r="E23" s="7" t="s">
        <v>1529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1530</v>
      </c>
      <c r="B24" s="8">
        <v>188.16</v>
      </c>
      <c r="C24" s="9">
        <f t="shared" si="0"/>
        <v>1.7909254447331602E-2</v>
      </c>
      <c r="E24" s="7" t="s">
        <v>1531</v>
      </c>
      <c r="I24" s="14" t="s">
        <v>1495</v>
      </c>
      <c r="J24" s="15"/>
      <c r="K24" s="15"/>
    </row>
    <row r="25" spans="1:11">
      <c r="A25" s="7" t="s">
        <v>1532</v>
      </c>
      <c r="B25" s="8">
        <v>190.05</v>
      </c>
      <c r="C25" s="9">
        <f t="shared" si="0"/>
        <v>1.8089146512092747E-2</v>
      </c>
      <c r="E25" s="10" t="s">
        <v>437</v>
      </c>
      <c r="I25" s="14" t="s">
        <v>1498</v>
      </c>
      <c r="J25" s="15"/>
      <c r="K25" s="15"/>
    </row>
    <row r="26" spans="1:11">
      <c r="A26" s="7" t="s">
        <v>1533</v>
      </c>
      <c r="B26" s="8">
        <v>189.84</v>
      </c>
      <c r="C26" s="9">
        <f t="shared" si="0"/>
        <v>1.8069158504897063E-2</v>
      </c>
      <c r="E26" s="10" t="s">
        <v>442</v>
      </c>
      <c r="I26" s="14" t="s">
        <v>1534</v>
      </c>
      <c r="J26" s="15"/>
      <c r="K26" s="15"/>
    </row>
    <row r="27" spans="1:11">
      <c r="A27" s="7" t="s">
        <v>1535</v>
      </c>
      <c r="B27" s="8">
        <v>162.75</v>
      </c>
      <c r="C27" s="9">
        <f t="shared" si="0"/>
        <v>1.5490705576654008E-2</v>
      </c>
      <c r="I27" s="14" t="s">
        <v>1536</v>
      </c>
      <c r="J27" s="15"/>
      <c r="K27" s="15"/>
    </row>
    <row r="28" spans="1:11">
      <c r="A28" s="7" t="s">
        <v>1537</v>
      </c>
      <c r="B28" s="8">
        <v>161.28</v>
      </c>
      <c r="C28" s="9">
        <f t="shared" si="0"/>
        <v>1.535078952628423E-2</v>
      </c>
    </row>
    <row r="29" spans="1:11">
      <c r="A29" s="7" t="s">
        <v>1516</v>
      </c>
      <c r="B29" s="8" t="s">
        <v>265</v>
      </c>
      <c r="C29" s="9" t="str">
        <f t="shared" si="0"/>
        <v/>
      </c>
    </row>
    <row r="30" spans="1:11">
      <c r="A30" s="7" t="s">
        <v>1538</v>
      </c>
      <c r="B30" s="8">
        <v>188.16</v>
      </c>
      <c r="C30" s="9">
        <f t="shared" si="0"/>
        <v>1.7909254447331602E-2</v>
      </c>
    </row>
    <row r="31" spans="1:11">
      <c r="A31" s="7" t="s">
        <v>1539</v>
      </c>
      <c r="B31" s="8">
        <v>188.16</v>
      </c>
      <c r="C31" s="9">
        <f t="shared" si="0"/>
        <v>1.7909254447331602E-2</v>
      </c>
    </row>
    <row r="32" spans="1:11">
      <c r="A32" s="7" t="s">
        <v>1540</v>
      </c>
      <c r="B32" s="8">
        <v>201.81</v>
      </c>
      <c r="C32" s="9">
        <f t="shared" si="0"/>
        <v>1.9208474915050972E-2</v>
      </c>
    </row>
    <row r="33" spans="1:3">
      <c r="A33" s="7" t="s">
        <v>1541</v>
      </c>
      <c r="B33" s="8">
        <v>189.21</v>
      </c>
      <c r="C33" s="9">
        <f t="shared" si="0"/>
        <v>1.8009194483310016E-2</v>
      </c>
    </row>
    <row r="34" spans="1:3">
      <c r="A34" s="7" t="s">
        <v>1542</v>
      </c>
      <c r="B34" s="8">
        <v>190.05</v>
      </c>
      <c r="C34" s="9">
        <f t="shared" si="0"/>
        <v>1.8089146512092747E-2</v>
      </c>
    </row>
    <row r="35" spans="1:3">
      <c r="A35" s="7" t="s">
        <v>1543</v>
      </c>
      <c r="B35" s="8">
        <v>190.47</v>
      </c>
      <c r="C35" s="9">
        <f t="shared" si="0"/>
        <v>1.8129122526484111E-2</v>
      </c>
    </row>
    <row r="36" spans="1:3">
      <c r="A36" s="7" t="s">
        <v>1544</v>
      </c>
      <c r="B36" s="8">
        <v>190.26</v>
      </c>
      <c r="C36" s="9">
        <f t="shared" si="0"/>
        <v>1.8109134519288427E-2</v>
      </c>
    </row>
    <row r="37" spans="1:3">
      <c r="A37" s="7" t="s">
        <v>1545</v>
      </c>
      <c r="B37" s="8">
        <v>191.1</v>
      </c>
      <c r="C37" s="9">
        <f t="shared" si="0"/>
        <v>1.8189086548071158E-2</v>
      </c>
    </row>
    <row r="38" spans="1:3">
      <c r="A38" s="7" t="s">
        <v>1546</v>
      </c>
      <c r="B38" s="8">
        <v>95.34</v>
      </c>
      <c r="C38" s="9">
        <f t="shared" si="0"/>
        <v>9.0745552668398972E-3</v>
      </c>
    </row>
    <row r="39" spans="1:3">
      <c r="A39" s="7" t="s">
        <v>1547</v>
      </c>
      <c r="B39" s="8">
        <v>161.28</v>
      </c>
      <c r="C39" s="9">
        <f t="shared" si="0"/>
        <v>1.535078952628423E-2</v>
      </c>
    </row>
    <row r="40" spans="1:3">
      <c r="A40" s="7" t="s">
        <v>1548</v>
      </c>
      <c r="B40" s="8" t="s">
        <v>265</v>
      </c>
      <c r="C40" s="9" t="str">
        <f t="shared" si="0"/>
        <v/>
      </c>
    </row>
    <row r="41" spans="1:3">
      <c r="A41" s="7" t="s">
        <v>468</v>
      </c>
      <c r="B41" s="8">
        <v>204.54</v>
      </c>
      <c r="C41" s="9">
        <f t="shared" si="0"/>
        <v>1.9468319008594845E-2</v>
      </c>
    </row>
    <row r="42" spans="1:3">
      <c r="A42" s="7" t="s">
        <v>470</v>
      </c>
      <c r="B42" s="8">
        <v>191.1</v>
      </c>
      <c r="C42" s="9">
        <f t="shared" si="0"/>
        <v>1.8189086548071158E-2</v>
      </c>
    </row>
    <row r="43" spans="1:3">
      <c r="A43" s="7" t="s">
        <v>471</v>
      </c>
      <c r="B43" s="8">
        <v>191.1</v>
      </c>
      <c r="C43" s="9">
        <f t="shared" si="0"/>
        <v>1.8189086548071158E-2</v>
      </c>
    </row>
    <row r="44" spans="1:3">
      <c r="A44" s="7" t="s">
        <v>472</v>
      </c>
      <c r="B44" s="8">
        <v>191.1</v>
      </c>
      <c r="C44" s="9">
        <f t="shared" si="0"/>
        <v>1.8189086548071158E-2</v>
      </c>
    </row>
    <row r="45" spans="1:3">
      <c r="A45" s="7" t="s">
        <v>1549</v>
      </c>
      <c r="B45" s="8">
        <v>191.1</v>
      </c>
      <c r="C45" s="9">
        <f t="shared" si="0"/>
        <v>1.8189086548071158E-2</v>
      </c>
    </row>
    <row r="46" spans="1:3">
      <c r="A46" s="7" t="s">
        <v>1550</v>
      </c>
      <c r="B46" s="8">
        <v>191.1</v>
      </c>
      <c r="C46" s="9">
        <f t="shared" si="0"/>
        <v>1.8189086548071158E-2</v>
      </c>
    </row>
    <row r="47" spans="1:3">
      <c r="A47" s="7" t="s">
        <v>473</v>
      </c>
      <c r="B47" s="8">
        <v>204.54</v>
      </c>
      <c r="C47" s="9">
        <f t="shared" si="0"/>
        <v>1.9468319008594845E-2</v>
      </c>
    </row>
    <row r="48" spans="1:3">
      <c r="A48" s="7" t="s">
        <v>1551</v>
      </c>
      <c r="B48" s="8">
        <v>191.1</v>
      </c>
      <c r="C48" s="9">
        <f t="shared" si="0"/>
        <v>1.8189086548071158E-2</v>
      </c>
    </row>
    <row r="49" spans="1:3">
      <c r="A49" s="7" t="s">
        <v>1552</v>
      </c>
      <c r="B49" s="8">
        <v>81.900000000000006</v>
      </c>
      <c r="C49" s="9">
        <f t="shared" si="0"/>
        <v>7.7953228063162112E-3</v>
      </c>
    </row>
    <row r="50" spans="1:3">
      <c r="A50" s="7" t="s">
        <v>1553</v>
      </c>
      <c r="B50" s="8">
        <v>147.84</v>
      </c>
      <c r="C50" s="9">
        <f t="shared" si="0"/>
        <v>1.4071557065760545E-2</v>
      </c>
    </row>
    <row r="51" spans="1:3">
      <c r="A51" s="7" t="s">
        <v>1554</v>
      </c>
      <c r="B51" s="8" t="s">
        <v>265</v>
      </c>
      <c r="C51" s="9" t="str">
        <f t="shared" si="0"/>
        <v/>
      </c>
    </row>
    <row r="52" spans="1:3">
      <c r="A52" s="7" t="s">
        <v>1555</v>
      </c>
      <c r="B52" s="8">
        <v>201.6</v>
      </c>
      <c r="C52" s="9">
        <f t="shared" si="0"/>
        <v>1.9188486907855289E-2</v>
      </c>
    </row>
    <row r="53" spans="1:3">
      <c r="A53" s="7" t="s">
        <v>1556</v>
      </c>
      <c r="B53" s="8">
        <v>188.16</v>
      </c>
      <c r="C53" s="9">
        <f t="shared" si="0"/>
        <v>1.7909254447331602E-2</v>
      </c>
    </row>
    <row r="54" spans="1:3">
      <c r="A54" s="7" t="s">
        <v>1557</v>
      </c>
      <c r="B54" s="8">
        <v>188.16</v>
      </c>
      <c r="C54" s="9">
        <f t="shared" si="0"/>
        <v>1.7909254447331602E-2</v>
      </c>
    </row>
    <row r="55" spans="1:3">
      <c r="A55" s="7" t="s">
        <v>1558</v>
      </c>
      <c r="B55" s="8">
        <v>188.16</v>
      </c>
      <c r="C55" s="9">
        <f t="shared" si="0"/>
        <v>1.7909254447331602E-2</v>
      </c>
    </row>
    <row r="56" spans="1:3">
      <c r="A56" s="7" t="s">
        <v>1559</v>
      </c>
      <c r="B56" s="8">
        <v>188.37</v>
      </c>
      <c r="C56" s="9">
        <f t="shared" si="0"/>
        <v>1.7929242454527285E-2</v>
      </c>
    </row>
    <row r="57" spans="1:3">
      <c r="A57" s="7" t="s">
        <v>1560</v>
      </c>
      <c r="B57" s="8">
        <v>188.58</v>
      </c>
      <c r="C57" s="9">
        <f t="shared" si="0"/>
        <v>1.7949230461722969E-2</v>
      </c>
    </row>
    <row r="58" spans="1:3">
      <c r="A58" s="7" t="s">
        <v>1561</v>
      </c>
      <c r="B58" s="8">
        <v>188.16</v>
      </c>
      <c r="C58" s="9">
        <f t="shared" si="0"/>
        <v>1.7909254447331602E-2</v>
      </c>
    </row>
    <row r="59" spans="1:3">
      <c r="A59" s="7" t="s">
        <v>1562</v>
      </c>
      <c r="B59" s="8">
        <v>190.05</v>
      </c>
      <c r="C59" s="9">
        <f t="shared" si="0"/>
        <v>1.8089146512092747E-2</v>
      </c>
    </row>
    <row r="60" spans="1:3">
      <c r="A60" s="7" t="s">
        <v>1563</v>
      </c>
      <c r="B60" s="8">
        <v>161.28</v>
      </c>
      <c r="C60" s="9">
        <f t="shared" si="0"/>
        <v>1.535078952628423E-2</v>
      </c>
    </row>
    <row r="61" spans="1:3">
      <c r="A61" s="7" t="s">
        <v>1564</v>
      </c>
      <c r="B61" s="8">
        <v>80.64</v>
      </c>
      <c r="C61" s="9">
        <f t="shared" si="0"/>
        <v>7.6753947631421149E-3</v>
      </c>
    </row>
    <row r="62" spans="1:3">
      <c r="A62" s="7" t="s">
        <v>1565</v>
      </c>
      <c r="B62" s="8" t="s">
        <v>265</v>
      </c>
      <c r="C62" s="9" t="str">
        <f t="shared" si="0"/>
        <v/>
      </c>
    </row>
    <row r="63" spans="1:3">
      <c r="A63" s="7" t="s">
        <v>1566</v>
      </c>
      <c r="B63" s="8">
        <v>191.73</v>
      </c>
      <c r="C63" s="9">
        <f t="shared" si="0"/>
        <v>1.8249050569658205E-2</v>
      </c>
    </row>
    <row r="64" spans="1:3">
      <c r="A64" s="7" t="s">
        <v>1567</v>
      </c>
      <c r="B64" s="8">
        <v>192.57</v>
      </c>
      <c r="C64" s="9">
        <f t="shared" si="0"/>
        <v>1.8329002598440936E-2</v>
      </c>
    </row>
    <row r="65" spans="1:3">
      <c r="A65" s="7" t="s">
        <v>1568</v>
      </c>
      <c r="B65" s="8">
        <v>192.57</v>
      </c>
      <c r="C65" s="9">
        <f t="shared" si="0"/>
        <v>1.8329002598440936E-2</v>
      </c>
    </row>
    <row r="66" spans="1:3">
      <c r="A66" s="7" t="s">
        <v>1569</v>
      </c>
      <c r="B66" s="8">
        <v>191.94</v>
      </c>
      <c r="C66" s="9">
        <f t="shared" si="0"/>
        <v>1.8269038576853889E-2</v>
      </c>
    </row>
    <row r="67" spans="1:3">
      <c r="A67" s="7" t="s">
        <v>1570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1571</v>
      </c>
      <c r="B68" s="8">
        <v>191.1</v>
      </c>
      <c r="C68" s="9">
        <f t="shared" si="2"/>
        <v>1.8189086548071158E-2</v>
      </c>
    </row>
    <row r="69" spans="1:3">
      <c r="A69" s="7" t="s">
        <v>1572</v>
      </c>
      <c r="B69" s="8">
        <v>191.1</v>
      </c>
      <c r="C69" s="9">
        <f t="shared" si="2"/>
        <v>1.8189086548071158E-2</v>
      </c>
    </row>
    <row r="70" spans="1:3">
      <c r="A70" s="7" t="s">
        <v>1573</v>
      </c>
      <c r="B70" s="8">
        <v>191.1</v>
      </c>
      <c r="C70" s="9">
        <f t="shared" si="2"/>
        <v>1.8189086548071158E-2</v>
      </c>
    </row>
    <row r="71" spans="1:3">
      <c r="A71" s="7" t="s">
        <v>1574</v>
      </c>
      <c r="B71" s="8">
        <v>136.08000000000001</v>
      </c>
      <c r="C71" s="9">
        <f t="shared" si="2"/>
        <v>1.2952228662802321E-2</v>
      </c>
    </row>
    <row r="72" spans="1:3">
      <c r="A72" s="7" t="s">
        <v>1575</v>
      </c>
      <c r="B72" s="8" t="s">
        <v>265</v>
      </c>
      <c r="C72" s="9" t="str">
        <f t="shared" si="2"/>
        <v/>
      </c>
    </row>
    <row r="73" spans="1:3">
      <c r="A73" s="7" t="s">
        <v>1576</v>
      </c>
      <c r="B73" s="8" t="s">
        <v>265</v>
      </c>
      <c r="C73" s="9" t="str">
        <f t="shared" si="2"/>
        <v/>
      </c>
    </row>
    <row r="74" spans="1:3">
      <c r="A74" s="7" t="s">
        <v>1577</v>
      </c>
      <c r="B74" s="8">
        <v>7073.85</v>
      </c>
      <c r="C74" s="9">
        <f t="shared" si="2"/>
        <v>0.67329602238656816</v>
      </c>
    </row>
    <row r="75" spans="1:3">
      <c r="A75" s="7" t="s">
        <v>1578</v>
      </c>
      <c r="B75" s="8">
        <v>3432.45</v>
      </c>
      <c r="C75" s="9">
        <f t="shared" si="2"/>
        <v>0.32670397761343195</v>
      </c>
    </row>
    <row r="76" spans="1:3">
      <c r="A76" s="7" t="s">
        <v>1579</v>
      </c>
      <c r="B76" s="8">
        <f>B74</f>
        <v>7073.85</v>
      </c>
      <c r="C76" s="9">
        <f t="shared" si="2"/>
        <v>0.67329602238656816</v>
      </c>
    </row>
    <row r="77" spans="1:3">
      <c r="A77" s="7" t="s">
        <v>1580</v>
      </c>
      <c r="B77" s="8">
        <f>B74</f>
        <v>7073.85</v>
      </c>
      <c r="C77" s="9">
        <f t="shared" si="2"/>
        <v>0.67329602238656816</v>
      </c>
    </row>
    <row r="78" spans="1:3">
      <c r="A78" s="7" t="s">
        <v>1581</v>
      </c>
      <c r="B78" s="8">
        <f>B75</f>
        <v>3432.45</v>
      </c>
      <c r="C78" s="9">
        <f t="shared" si="2"/>
        <v>0.32670397761343195</v>
      </c>
    </row>
    <row r="79" spans="1:3">
      <c r="A79" s="7" t="s">
        <v>1582</v>
      </c>
      <c r="B79" s="8">
        <v>10506.3</v>
      </c>
      <c r="C79" s="9">
        <f t="shared" si="2"/>
        <v>1</v>
      </c>
    </row>
    <row r="80" spans="1:3">
      <c r="A80" s="7" t="s">
        <v>705</v>
      </c>
      <c r="B80" s="8">
        <v>10506.3</v>
      </c>
      <c r="C80" s="9">
        <f t="shared" si="2"/>
        <v>1</v>
      </c>
    </row>
    <row r="81" spans="1:3">
      <c r="A81" s="7" t="s">
        <v>1583</v>
      </c>
      <c r="B81" s="8">
        <f>B74</f>
        <v>7073.85</v>
      </c>
      <c r="C81" s="9">
        <f t="shared" si="2"/>
        <v>0.67329602238656816</v>
      </c>
    </row>
    <row r="82" spans="1:3">
      <c r="A82" s="7" t="s">
        <v>1584</v>
      </c>
      <c r="B82" s="8">
        <f>B75</f>
        <v>3432.45</v>
      </c>
      <c r="C82" s="9">
        <f t="shared" si="2"/>
        <v>0.32670397761343195</v>
      </c>
    </row>
    <row r="83" spans="1:3">
      <c r="A83" s="7" t="s">
        <v>1585</v>
      </c>
      <c r="B83" s="8">
        <f>B74</f>
        <v>7073.85</v>
      </c>
      <c r="C83" s="9">
        <f t="shared" si="2"/>
        <v>0.67329602238656816</v>
      </c>
    </row>
    <row r="84" spans="1:3">
      <c r="A84" s="7" t="s">
        <v>1586</v>
      </c>
      <c r="B84" s="8">
        <f>B75</f>
        <v>3432.45</v>
      </c>
      <c r="C84" s="9">
        <f t="shared" si="2"/>
        <v>0.32670397761343195</v>
      </c>
    </row>
    <row r="85" spans="1:3">
      <c r="A85" s="7" t="s">
        <v>1587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1588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1589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1590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1591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1592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1593</v>
      </c>
      <c r="B91" s="8">
        <v>0</v>
      </c>
      <c r="C91" s="9">
        <f t="shared" si="2"/>
        <v>0</v>
      </c>
    </row>
    <row r="92" spans="1:3">
      <c r="A92" s="7" t="s">
        <v>1594</v>
      </c>
      <c r="B92" s="8">
        <v>0</v>
      </c>
      <c r="C92" s="9">
        <f t="shared" si="2"/>
        <v>0</v>
      </c>
    </row>
    <row r="93" spans="1:3">
      <c r="A93" s="7" t="s">
        <v>1595</v>
      </c>
      <c r="B93" s="8">
        <v>0</v>
      </c>
      <c r="C93" s="9">
        <f t="shared" si="2"/>
        <v>0</v>
      </c>
    </row>
    <row r="94" spans="1:3">
      <c r="A94" s="7" t="s">
        <v>1596</v>
      </c>
      <c r="B94" s="8">
        <f>B80</f>
        <v>10506.3</v>
      </c>
      <c r="C94" s="9">
        <f t="shared" si="2"/>
        <v>1</v>
      </c>
    </row>
    <row r="95" spans="1:3">
      <c r="A95" s="7" t="s">
        <v>1597</v>
      </c>
      <c r="B95" s="8">
        <f>B94</f>
        <v>10506.3</v>
      </c>
      <c r="C95" s="9">
        <f t="shared" si="2"/>
        <v>1</v>
      </c>
    </row>
    <row r="96" spans="1:3">
      <c r="A96" s="7" t="s">
        <v>1598</v>
      </c>
      <c r="B96" s="8">
        <v>13.02</v>
      </c>
      <c r="C96" s="9">
        <f t="shared" si="2"/>
        <v>1.2392564461323208E-3</v>
      </c>
    </row>
    <row r="97" spans="1:3">
      <c r="A97" s="7" t="s">
        <v>1599</v>
      </c>
      <c r="B97" s="8">
        <v>13.23</v>
      </c>
      <c r="C97" s="9">
        <f t="shared" si="2"/>
        <v>1.2592444533280032E-3</v>
      </c>
    </row>
    <row r="98" spans="1:3">
      <c r="A98" s="7" t="s">
        <v>439</v>
      </c>
      <c r="B98" s="8">
        <v>13.44</v>
      </c>
      <c r="C98" s="9">
        <f t="shared" si="2"/>
        <v>1.2792324605236857E-3</v>
      </c>
    </row>
    <row r="99" spans="1:3">
      <c r="A99" s="7" t="s">
        <v>465</v>
      </c>
      <c r="B99" s="8">
        <v>13.65</v>
      </c>
      <c r="C99" s="9">
        <f t="shared" si="2"/>
        <v>1.2992204677193685E-3</v>
      </c>
    </row>
    <row r="100" spans="1:3">
      <c r="A100" s="7" t="s">
        <v>1600</v>
      </c>
      <c r="B100" s="8">
        <v>13.86</v>
      </c>
      <c r="C100" s="9">
        <f t="shared" si="2"/>
        <v>1.319208474915051E-3</v>
      </c>
    </row>
    <row r="101" spans="1:3">
      <c r="A101" s="7" t="s">
        <v>1601</v>
      </c>
      <c r="B101" s="8">
        <v>6.51</v>
      </c>
      <c r="C101" s="9">
        <f t="shared" si="2"/>
        <v>6.1962822306616038E-4</v>
      </c>
    </row>
    <row r="102" spans="1:3">
      <c r="A102" s="7" t="s">
        <v>1602</v>
      </c>
      <c r="B102" s="8">
        <v>6.6150000000000002</v>
      </c>
      <c r="C102" s="9">
        <f t="shared" si="2"/>
        <v>6.2962222666400162E-4</v>
      </c>
    </row>
    <row r="103" spans="1:3">
      <c r="A103" s="7" t="s">
        <v>1603</v>
      </c>
      <c r="B103" s="8">
        <v>6.72</v>
      </c>
      <c r="C103" s="9">
        <f t="shared" si="2"/>
        <v>6.3961623026184287E-4</v>
      </c>
    </row>
    <row r="104" spans="1:3">
      <c r="A104" s="7" t="s">
        <v>1604</v>
      </c>
      <c r="B104" s="8">
        <v>6.8250000000000002</v>
      </c>
      <c r="C104" s="9">
        <f t="shared" si="2"/>
        <v>6.4961023385968423E-4</v>
      </c>
    </row>
    <row r="105" spans="1:3">
      <c r="A105" s="7" t="s">
        <v>1605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5592074-C17F-4E37-BB30-134128FA98FD}"/>
</file>

<file path=customXml/itemProps2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Dashboard</vt:lpstr>
      <vt:lpstr>CMS_Data</vt:lpstr>
      <vt:lpstr>Annual KPI</vt:lpstr>
      <vt:lpstr>Monthly KPI</vt:lpstr>
      <vt:lpstr>Daily KPI</vt:lpstr>
      <vt:lpstr>Raw Data</vt:lpstr>
      <vt:lpstr>JMR</vt:lpstr>
      <vt:lpstr>Modelling New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Curtailment records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Srinivas M N</cp:lastModifiedBy>
  <cp:revision/>
  <dcterms:created xsi:type="dcterms:W3CDTF">2015-06-05T18:17:00Z</dcterms:created>
  <dcterms:modified xsi:type="dcterms:W3CDTF">2025-08-05T02:40:37Z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